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aazhon\Downloads\Cost Report for upload\"/>
    </mc:Choice>
  </mc:AlternateContent>
  <xr:revisionPtr revIDLastSave="0" documentId="8_{AB2336D2-DBC7-4CC1-AE17-F230C0218E32}" xr6:coauthVersionLast="47" xr6:coauthVersionMax="47" xr10:uidLastSave="{00000000-0000-0000-0000-000000000000}"/>
  <bookViews>
    <workbookView xWindow="28680" yWindow="-120" windowWidth="29040" windowHeight="15720" tabRatio="907" firstSheet="1" activeTab="1" xr2:uid="{00000000-000D-0000-FFFF-FFFF00000000}"/>
  </bookViews>
  <sheets>
    <sheet name="Instructions" sheetId="54" state="hidden" r:id="rId1"/>
    <sheet name="Results" sheetId="52" r:id="rId2"/>
    <sheet name="Adjustments" sheetId="53" r:id="rId3"/>
    <sheet name="Adjusted Schedule 1" sheetId="29" r:id="rId4"/>
    <sheet name="Adjusted Schedule 1A" sheetId="30" r:id="rId5"/>
    <sheet name="Adjusted Schedule 1B" sheetId="31" r:id="rId6"/>
    <sheet name="Adjusted Schedule 1C" sheetId="32" r:id="rId7"/>
    <sheet name="Adjusted Schedule 2" sheetId="33" r:id="rId8"/>
    <sheet name="Adjusted Schedule 2A" sheetId="34" r:id="rId9"/>
    <sheet name="Adjusted Schedule 2B" sheetId="35" r:id="rId10"/>
    <sheet name="Adjusted Schedule 2C" sheetId="36" r:id="rId11"/>
    <sheet name="Adjusted Schedule 2D" sheetId="37" r:id="rId12"/>
    <sheet name="Adjusted Schedule 2E" sheetId="74" state="hidden" r:id="rId13"/>
    <sheet name="Adjusted Schedule 2F" sheetId="75" state="hidden" r:id="rId14"/>
    <sheet name="Adjusted Schedule 2G" sheetId="76" state="hidden" r:id="rId15"/>
    <sheet name="Adjusted Schedule 2H" sheetId="77" state="hidden" r:id="rId16"/>
    <sheet name="Adjusted Schedule 2I" sheetId="78" state="hidden" r:id="rId17"/>
    <sheet name="Adjusted Schedule 2J" sheetId="79" state="hidden" r:id="rId18"/>
    <sheet name="Adjusted Schedule 2K" sheetId="80" state="hidden" r:id="rId19"/>
    <sheet name="Adjusted Schedule 2L" sheetId="81" state="hidden" r:id="rId20"/>
    <sheet name="Adjusted Schedule 2M" sheetId="82" state="hidden" r:id="rId21"/>
    <sheet name="Adjusted Schedule 3" sheetId="50" r:id="rId22"/>
    <sheet name="Adjusted Schedule 4" sheetId="39" r:id="rId23"/>
    <sheet name="Adjusted Schedule 5" sheetId="85" r:id="rId24"/>
    <sheet name="As-Filed Schedule 1" sheetId="2" r:id="rId25"/>
    <sheet name="As-Filed Schedule 1A" sheetId="20" r:id="rId26"/>
    <sheet name="As-Filed Schedule 1B" sheetId="24" r:id="rId27"/>
    <sheet name="As-Filed Schedule 1C" sheetId="28" r:id="rId28"/>
    <sheet name="As-Filed Schedule 2" sheetId="19" r:id="rId29"/>
    <sheet name="As-Filed Schedule 2A" sheetId="17" r:id="rId30"/>
    <sheet name="As-Filed Schedule 2B" sheetId="18" r:id="rId31"/>
    <sheet name="As-Filed Schedule 2C" sheetId="23" r:id="rId32"/>
    <sheet name="As-Filed Schedule 2D" sheetId="16" r:id="rId33"/>
    <sheet name="As-Filed Schedule 2E" sheetId="56" state="hidden" r:id="rId34"/>
    <sheet name="As-Filed Schedule 2F" sheetId="57" state="hidden" r:id="rId35"/>
    <sheet name="As-Filed Schedule 2G" sheetId="58" state="hidden" r:id="rId36"/>
    <sheet name="As-Filed Schedule 2H" sheetId="59" state="hidden" r:id="rId37"/>
    <sheet name="As-Filed Schedule 2I" sheetId="60" state="hidden" r:id="rId38"/>
    <sheet name="As-Filed Schedule 2J" sheetId="61" state="hidden" r:id="rId39"/>
    <sheet name="As-Filed Schedule 2K" sheetId="62" state="hidden" r:id="rId40"/>
    <sheet name="As-Filed Schedule 2L" sheetId="63" state="hidden" r:id="rId41"/>
    <sheet name="As-Filed Schedule 2M" sheetId="64" state="hidden" r:id="rId42"/>
    <sheet name="As-Filed Schedule 3" sheetId="12" r:id="rId43"/>
    <sheet name="As-Filed Schedule 4" sheetId="22" r:id="rId44"/>
    <sheet name="As-Filed Schedule 5" sheetId="83" r:id="rId45"/>
    <sheet name="Schedule 1 Adjustments" sheetId="40" r:id="rId46"/>
    <sheet name="Schedule 1A Adjustments" sheetId="41" r:id="rId47"/>
    <sheet name="Schedule 1C Adjustments" sheetId="43" r:id="rId48"/>
    <sheet name="Schedule 2A Adjustments" sheetId="46" r:id="rId49"/>
    <sheet name="Schedule 2B Adjustments" sheetId="47" r:id="rId50"/>
    <sheet name="Schedule 2C Adjustments" sheetId="48" r:id="rId51"/>
    <sheet name="Schedule 2D Adjustments" sheetId="49" r:id="rId52"/>
    <sheet name="Schedule 2E Adjustments" sheetId="65" state="hidden" r:id="rId53"/>
    <sheet name="Schedule 2F Adjustments" sheetId="66" state="hidden" r:id="rId54"/>
    <sheet name="Schedule 2G Adjustments" sheetId="67" state="hidden" r:id="rId55"/>
    <sheet name="Schedule 2H Adjustments" sheetId="68" state="hidden" r:id="rId56"/>
    <sheet name="Schedule 2I Adjustments" sheetId="69" state="hidden" r:id="rId57"/>
    <sheet name="Schedule 2J Adjustments" sheetId="70" state="hidden" r:id="rId58"/>
    <sheet name="Schedule 2K Adjustments" sheetId="71" state="hidden" r:id="rId59"/>
    <sheet name="Schedule 2L Adjustments" sheetId="72" state="hidden" r:id="rId60"/>
    <sheet name="Schedule 2M Adjustments" sheetId="73" state="hidden" r:id="rId61"/>
    <sheet name="Schedule 3 Adjustments" sheetId="38" r:id="rId62"/>
    <sheet name="Schedule 4 Adjustments" sheetId="51" r:id="rId63"/>
    <sheet name="Schedule 5 Adjustments" sheetId="84" r:id="rId64"/>
  </sheets>
  <definedNames>
    <definedName name="_xlnm._FilterDatabase" localSheetId="1" hidden="1">Results!$A$49:$F$318</definedName>
    <definedName name="_xlnm.Print_Area" localSheetId="1">Results!$A:$F</definedName>
    <definedName name="_xlnm.Print_Titles" localSheetId="1">Results!$10:$10</definedName>
    <definedName name="Z_27BAF95E_10B4_4025_9660_F5A8EBC66DC3_.wvu.Cols" localSheetId="2" hidden="1">Adjustments!$AA:$AA</definedName>
    <definedName name="Z_27BAF95E_10B4_4025_9660_F5A8EBC66DC3_.wvu.FilterData" localSheetId="1" hidden="1">Results!$A$49:$F$318</definedName>
    <definedName name="Z_27BAF95E_10B4_4025_9660_F5A8EBC66DC3_.wvu.PrintArea" localSheetId="1" hidden="1">Results!$A:$F</definedName>
    <definedName name="Z_27BAF95E_10B4_4025_9660_F5A8EBC66DC3_.wvu.PrintTitles" localSheetId="1" hidden="1">Results!$10:$10</definedName>
    <definedName name="Z_27BAF95E_10B4_4025_9660_F5A8EBC66DC3_.wvu.Rows" localSheetId="4" hidden="1">'Adjusted Schedule 1A'!$93:$96</definedName>
    <definedName name="Z_27BAF95E_10B4_4025_9660_F5A8EBC66DC3_.wvu.Rows" localSheetId="6" hidden="1">'Adjusted Schedule 1C'!$97:$100</definedName>
    <definedName name="Z_27BAF95E_10B4_4025_9660_F5A8EBC66DC3_.wvu.Rows" localSheetId="21" hidden="1">'Adjusted Schedule 3'!$252:$262</definedName>
    <definedName name="Z_27BAF95E_10B4_4025_9660_F5A8EBC66DC3_.wvu.Rows" localSheetId="25" hidden="1">'As-Filed Schedule 1A'!$92:$95</definedName>
    <definedName name="Z_27BAF95E_10B4_4025_9660_F5A8EBC66DC3_.wvu.Rows" localSheetId="27" hidden="1">'As-Filed Schedule 1C'!$96:$99</definedName>
    <definedName name="Z_27BAF95E_10B4_4025_9660_F5A8EBC66DC3_.wvu.Rows" localSheetId="42" hidden="1">'As-Filed Schedule 3'!$251:$261</definedName>
    <definedName name="Z_27BAF95E_10B4_4025_9660_F5A8EBC66DC3_.wvu.Rows" localSheetId="1" hidden="1">Results!$19:$27</definedName>
    <definedName name="Z_27BAF95E_10B4_4025_9660_F5A8EBC66DC3_.wvu.Rows" localSheetId="46" hidden="1">'Schedule 1A Adjustments'!$92:$95</definedName>
    <definedName name="Z_27BAF95E_10B4_4025_9660_F5A8EBC66DC3_.wvu.Rows" localSheetId="47" hidden="1">'Schedule 1C Adjustments'!$96:$99</definedName>
    <definedName name="Z_27BAF95E_10B4_4025_9660_F5A8EBC66DC3_.wvu.Rows" localSheetId="61" hidden="1">'Schedule 3 Adjustments'!$251:$261</definedName>
    <definedName name="Z_D0F83CC0_0361_4280_BCA4_9A92C986158B_.wvu.Cols" localSheetId="2" hidden="1">Adjustments!$AA:$AA</definedName>
    <definedName name="Z_D0F83CC0_0361_4280_BCA4_9A92C986158B_.wvu.FilterData" localSheetId="1" hidden="1">Results!$A$49:$F$318</definedName>
    <definedName name="Z_D0F83CC0_0361_4280_BCA4_9A92C986158B_.wvu.PrintArea" localSheetId="1" hidden="1">Results!$A:$F</definedName>
    <definedName name="Z_D0F83CC0_0361_4280_BCA4_9A92C986158B_.wvu.PrintTitles" localSheetId="1" hidden="1">Results!$10:$10</definedName>
    <definedName name="Z_D0F83CC0_0361_4280_BCA4_9A92C986158B_.wvu.Rows" localSheetId="4" hidden="1">'Adjusted Schedule 1A'!$93:$96</definedName>
    <definedName name="Z_D0F83CC0_0361_4280_BCA4_9A92C986158B_.wvu.Rows" localSheetId="6" hidden="1">'Adjusted Schedule 1C'!$97:$100</definedName>
    <definedName name="Z_D0F83CC0_0361_4280_BCA4_9A92C986158B_.wvu.Rows" localSheetId="21" hidden="1">'Adjusted Schedule 3'!$252:$262</definedName>
    <definedName name="Z_D0F83CC0_0361_4280_BCA4_9A92C986158B_.wvu.Rows" localSheetId="25" hidden="1">'As-Filed Schedule 1A'!$92:$95</definedName>
    <definedName name="Z_D0F83CC0_0361_4280_BCA4_9A92C986158B_.wvu.Rows" localSheetId="27" hidden="1">'As-Filed Schedule 1C'!$96:$99</definedName>
    <definedName name="Z_D0F83CC0_0361_4280_BCA4_9A92C986158B_.wvu.Rows" localSheetId="42" hidden="1">'As-Filed Schedule 3'!$251:$261</definedName>
    <definedName name="Z_D0F83CC0_0361_4280_BCA4_9A92C986158B_.wvu.Rows" localSheetId="1" hidden="1">Results!$19:$27</definedName>
    <definedName name="Z_D0F83CC0_0361_4280_BCA4_9A92C986158B_.wvu.Rows" localSheetId="46" hidden="1">'Schedule 1A Adjustments'!$92:$95</definedName>
    <definedName name="Z_D0F83CC0_0361_4280_BCA4_9A92C986158B_.wvu.Rows" localSheetId="47" hidden="1">'Schedule 1C Adjustments'!$96:$99</definedName>
    <definedName name="Z_D0F83CC0_0361_4280_BCA4_9A92C986158B_.wvu.Rows" localSheetId="61" hidden="1">'Schedule 3 Adjustments'!$251:$261</definedName>
  </definedNames>
  <calcPr calcId="191029"/>
  <customWorkbookViews>
    <customWorkbookView name="SHow All" guid="{27BAF95E-10B4-4025-9660-F5A8EBC66DC3}" maximized="1" xWindow="-8" yWindow="-8" windowWidth="1936" windowHeight="1056" tabRatio="907" activeSheetId="52"/>
    <customWorkbookView name="Hide" guid="{D0F83CC0-0361-4280-BCA4-9A92C986158B}" maximized="1" xWindow="-8" yWindow="-8" windowWidth="1936" windowHeight="1056" tabRatio="907" activeSheetId="5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52" l="1"/>
  <c r="E36" i="52" l="1"/>
  <c r="M17" i="51" l="1"/>
  <c r="G16" i="72"/>
  <c r="G17" i="72"/>
  <c r="G18" i="72"/>
  <c r="G19" i="72"/>
  <c r="G20" i="72"/>
  <c r="G21" i="72"/>
  <c r="G22" i="72"/>
  <c r="G23" i="72"/>
  <c r="G24" i="72"/>
  <c r="G25" i="72"/>
  <c r="G26" i="72"/>
  <c r="G27" i="72"/>
  <c r="G28" i="72"/>
  <c r="G29" i="72"/>
  <c r="G30" i="72"/>
  <c r="G31" i="72"/>
  <c r="G32" i="72"/>
  <c r="G33" i="72"/>
  <c r="G34" i="72"/>
  <c r="G35" i="72"/>
  <c r="G36" i="72"/>
  <c r="G37" i="72"/>
  <c r="G38" i="72"/>
  <c r="G39" i="72"/>
  <c r="G40" i="72"/>
  <c r="G41" i="72"/>
  <c r="G42" i="72"/>
  <c r="G43" i="72"/>
  <c r="G44" i="72"/>
  <c r="G45" i="72"/>
  <c r="G46" i="72"/>
  <c r="G47" i="72"/>
  <c r="G48" i="72"/>
  <c r="G49" i="72"/>
  <c r="G50" i="72"/>
  <c r="G51" i="72"/>
  <c r="G52" i="72"/>
  <c r="G53" i="72"/>
  <c r="G54" i="72"/>
  <c r="G55" i="72"/>
  <c r="G56" i="72"/>
  <c r="G57" i="72"/>
  <c r="G58" i="72"/>
  <c r="G59" i="72"/>
  <c r="G60" i="72"/>
  <c r="G61" i="72"/>
  <c r="G62" i="72"/>
  <c r="G63" i="72"/>
  <c r="G64" i="72"/>
  <c r="G65" i="72"/>
  <c r="G66" i="72"/>
  <c r="G67" i="72"/>
  <c r="G68" i="72"/>
  <c r="G69" i="72"/>
  <c r="G70" i="72"/>
  <c r="G71" i="72"/>
  <c r="G72" i="72"/>
  <c r="G15" i="72"/>
  <c r="Z16" i="66"/>
  <c r="Z17" i="66"/>
  <c r="Z18" i="66"/>
  <c r="Z19" i="66"/>
  <c r="Z20" i="66"/>
  <c r="Z21" i="66"/>
  <c r="Z22" i="66"/>
  <c r="Z23" i="66"/>
  <c r="Z24" i="66"/>
  <c r="Z25" i="66"/>
  <c r="Z26" i="66"/>
  <c r="Z27" i="66"/>
  <c r="Z28" i="66"/>
  <c r="Z29" i="66"/>
  <c r="Z30" i="66"/>
  <c r="Z31" i="66"/>
  <c r="Z32" i="66"/>
  <c r="Z33" i="66"/>
  <c r="Z34" i="66"/>
  <c r="Z35" i="66"/>
  <c r="Z36" i="66"/>
  <c r="Z37" i="66"/>
  <c r="Z38" i="66"/>
  <c r="Z39" i="66"/>
  <c r="Z40" i="66"/>
  <c r="Z41" i="66"/>
  <c r="Z42" i="66"/>
  <c r="Z43" i="66"/>
  <c r="Z44" i="66"/>
  <c r="Z45" i="66"/>
  <c r="Z46" i="66"/>
  <c r="Z47" i="66"/>
  <c r="Z48" i="66"/>
  <c r="Z49" i="66"/>
  <c r="Z50" i="66"/>
  <c r="Z51" i="66"/>
  <c r="Z52" i="66"/>
  <c r="Z53" i="66"/>
  <c r="Z54" i="66"/>
  <c r="Z55" i="66"/>
  <c r="Z56" i="66"/>
  <c r="Z57" i="66"/>
  <c r="Z58" i="66"/>
  <c r="Z59" i="66"/>
  <c r="Z60" i="66"/>
  <c r="Z61" i="66"/>
  <c r="Z62" i="66"/>
  <c r="Z63" i="66"/>
  <c r="Z64" i="66"/>
  <c r="Z65" i="66"/>
  <c r="Z66" i="66"/>
  <c r="Z67" i="66"/>
  <c r="Z68" i="66"/>
  <c r="Z69" i="66"/>
  <c r="Z70" i="66"/>
  <c r="Z71" i="66"/>
  <c r="Z72" i="66"/>
  <c r="W16" i="66"/>
  <c r="W17" i="66"/>
  <c r="W18" i="66"/>
  <c r="W19" i="66"/>
  <c r="W20" i="66"/>
  <c r="W21" i="66"/>
  <c r="W22" i="66"/>
  <c r="W23" i="66"/>
  <c r="W24" i="66"/>
  <c r="W25" i="66"/>
  <c r="W26" i="66"/>
  <c r="W27" i="66"/>
  <c r="W28" i="66"/>
  <c r="W29" i="66"/>
  <c r="W30" i="66"/>
  <c r="W31" i="66"/>
  <c r="W32" i="66"/>
  <c r="W33" i="66"/>
  <c r="W34" i="66"/>
  <c r="W35" i="66"/>
  <c r="W36" i="66"/>
  <c r="W37" i="66"/>
  <c r="W38" i="66"/>
  <c r="W39" i="66"/>
  <c r="W40" i="66"/>
  <c r="W41" i="66"/>
  <c r="W42" i="66"/>
  <c r="W43" i="66"/>
  <c r="W44" i="66"/>
  <c r="W45" i="66"/>
  <c r="W46" i="66"/>
  <c r="W47" i="66"/>
  <c r="W48" i="66"/>
  <c r="W49" i="66"/>
  <c r="W50" i="66"/>
  <c r="W51" i="66"/>
  <c r="W52" i="66"/>
  <c r="W53" i="66"/>
  <c r="W54" i="66"/>
  <c r="W55" i="66"/>
  <c r="W56" i="66"/>
  <c r="W57" i="66"/>
  <c r="W58" i="66"/>
  <c r="W59" i="66"/>
  <c r="W60" i="66"/>
  <c r="W61" i="66"/>
  <c r="W62" i="66"/>
  <c r="W63" i="66"/>
  <c r="W64" i="66"/>
  <c r="W65" i="66"/>
  <c r="W66" i="66"/>
  <c r="W67" i="66"/>
  <c r="W68" i="66"/>
  <c r="W69" i="66"/>
  <c r="W70" i="66"/>
  <c r="W71" i="66"/>
  <c r="W72" i="66"/>
  <c r="Z15" i="66"/>
  <c r="W15" i="66"/>
  <c r="O16" i="66"/>
  <c r="O17" i="66"/>
  <c r="O18" i="66"/>
  <c r="O19" i="66"/>
  <c r="O20" i="66"/>
  <c r="O21" i="66"/>
  <c r="O22" i="66"/>
  <c r="O23" i="66"/>
  <c r="O24" i="66"/>
  <c r="O25" i="66"/>
  <c r="O26" i="66"/>
  <c r="O27" i="66"/>
  <c r="O28" i="66"/>
  <c r="O29" i="66"/>
  <c r="O30" i="66"/>
  <c r="O31" i="66"/>
  <c r="O32" i="66"/>
  <c r="O33" i="66"/>
  <c r="O34" i="66"/>
  <c r="O35" i="66"/>
  <c r="O36" i="66"/>
  <c r="O37" i="66"/>
  <c r="O38" i="66"/>
  <c r="O39" i="66"/>
  <c r="O40" i="66"/>
  <c r="O41" i="66"/>
  <c r="O42" i="66"/>
  <c r="O43" i="66"/>
  <c r="O44" i="66"/>
  <c r="O45" i="66"/>
  <c r="O46" i="66"/>
  <c r="O47" i="66"/>
  <c r="O48" i="66"/>
  <c r="O49" i="66"/>
  <c r="O50" i="66"/>
  <c r="O51" i="66"/>
  <c r="O52" i="66"/>
  <c r="O53" i="66"/>
  <c r="O54" i="66"/>
  <c r="O55" i="66"/>
  <c r="O56" i="66"/>
  <c r="O57" i="66"/>
  <c r="O58" i="66"/>
  <c r="O59" i="66"/>
  <c r="O60" i="66"/>
  <c r="O61" i="66"/>
  <c r="O62" i="66"/>
  <c r="O63" i="66"/>
  <c r="O64" i="66"/>
  <c r="O65" i="66"/>
  <c r="O66" i="66"/>
  <c r="O67" i="66"/>
  <c r="O68" i="66"/>
  <c r="O69" i="66"/>
  <c r="O70" i="66"/>
  <c r="O71" i="66"/>
  <c r="O72" i="66"/>
  <c r="G16" i="66"/>
  <c r="G17" i="66"/>
  <c r="G18" i="66"/>
  <c r="G19" i="66"/>
  <c r="G20" i="66"/>
  <c r="G21" i="66"/>
  <c r="G22" i="66"/>
  <c r="G23" i="66"/>
  <c r="G24" i="66"/>
  <c r="G25" i="66"/>
  <c r="G26" i="66"/>
  <c r="G27" i="66"/>
  <c r="G28" i="66"/>
  <c r="G29" i="66"/>
  <c r="G30" i="66"/>
  <c r="G31" i="66"/>
  <c r="G32" i="66"/>
  <c r="G33" i="66"/>
  <c r="G34" i="66"/>
  <c r="G35" i="66"/>
  <c r="G36" i="66"/>
  <c r="G37" i="66"/>
  <c r="G38" i="66"/>
  <c r="G39" i="66"/>
  <c r="G40" i="66"/>
  <c r="G41" i="66"/>
  <c r="G42" i="66"/>
  <c r="G43" i="66"/>
  <c r="G44" i="66"/>
  <c r="G45" i="66"/>
  <c r="G46" i="66"/>
  <c r="G47" i="66"/>
  <c r="G48" i="66"/>
  <c r="G49" i="66"/>
  <c r="G50" i="66"/>
  <c r="G51" i="66"/>
  <c r="G52" i="66"/>
  <c r="G53" i="66"/>
  <c r="G54" i="66"/>
  <c r="G55" i="66"/>
  <c r="G56" i="66"/>
  <c r="G57" i="66"/>
  <c r="G58" i="66"/>
  <c r="G59" i="66"/>
  <c r="G60" i="66"/>
  <c r="G61" i="66"/>
  <c r="G62" i="66"/>
  <c r="G63" i="66"/>
  <c r="G64" i="66"/>
  <c r="G65" i="66"/>
  <c r="G66" i="66"/>
  <c r="G67" i="66"/>
  <c r="G68" i="66"/>
  <c r="G69" i="66"/>
  <c r="G70" i="66"/>
  <c r="G71" i="66"/>
  <c r="G72" i="66"/>
  <c r="O15" i="66"/>
  <c r="G15" i="66"/>
  <c r="Z16" i="65"/>
  <c r="Z17" i="65"/>
  <c r="Z18" i="65"/>
  <c r="Z19" i="65"/>
  <c r="Z20" i="65"/>
  <c r="Z21" i="65"/>
  <c r="Z22" i="65"/>
  <c r="Z23" i="65"/>
  <c r="Z24" i="65"/>
  <c r="Z25" i="65"/>
  <c r="Z26" i="65"/>
  <c r="Z27" i="65"/>
  <c r="Z28" i="65"/>
  <c r="Z29" i="65"/>
  <c r="Z30" i="65"/>
  <c r="Z31" i="65"/>
  <c r="Z32" i="65"/>
  <c r="Z33" i="65"/>
  <c r="Z34" i="65"/>
  <c r="Z35" i="65"/>
  <c r="Z36" i="65"/>
  <c r="Z37" i="65"/>
  <c r="Z38" i="65"/>
  <c r="Z39" i="65"/>
  <c r="Z40" i="65"/>
  <c r="Z41" i="65"/>
  <c r="Z42" i="65"/>
  <c r="Z43" i="65"/>
  <c r="Z44" i="65"/>
  <c r="Z45" i="65"/>
  <c r="Z46" i="65"/>
  <c r="Z47" i="65"/>
  <c r="Z48" i="65"/>
  <c r="Z49" i="65"/>
  <c r="Z50" i="65"/>
  <c r="Z51" i="65"/>
  <c r="Z52" i="65"/>
  <c r="Z53" i="65"/>
  <c r="Z54" i="65"/>
  <c r="Z55" i="65"/>
  <c r="Z56" i="65"/>
  <c r="Z57" i="65"/>
  <c r="Z58" i="65"/>
  <c r="Z59" i="65"/>
  <c r="Z60" i="65"/>
  <c r="Z61" i="65"/>
  <c r="Z62" i="65"/>
  <c r="Z63" i="65"/>
  <c r="Z64" i="65"/>
  <c r="Z65" i="65"/>
  <c r="Z66" i="65"/>
  <c r="Z67" i="65"/>
  <c r="Z68" i="65"/>
  <c r="Z69" i="65"/>
  <c r="Z70" i="65"/>
  <c r="Z71" i="65"/>
  <c r="Z72" i="65"/>
  <c r="W16" i="65"/>
  <c r="W17" i="65"/>
  <c r="W18" i="65"/>
  <c r="W19" i="65"/>
  <c r="W20" i="65"/>
  <c r="W21" i="65"/>
  <c r="W22" i="65"/>
  <c r="W23" i="65"/>
  <c r="W24" i="65"/>
  <c r="W25" i="65"/>
  <c r="W26" i="65"/>
  <c r="W27" i="65"/>
  <c r="W28" i="65"/>
  <c r="W29" i="65"/>
  <c r="W30" i="65"/>
  <c r="W31" i="65"/>
  <c r="W32" i="65"/>
  <c r="W33" i="65"/>
  <c r="W34" i="65"/>
  <c r="W35" i="65"/>
  <c r="W36" i="65"/>
  <c r="W37" i="65"/>
  <c r="W38" i="65"/>
  <c r="W39" i="65"/>
  <c r="W40" i="65"/>
  <c r="W41" i="65"/>
  <c r="W42" i="65"/>
  <c r="W43" i="65"/>
  <c r="W44" i="65"/>
  <c r="W45" i="65"/>
  <c r="W46" i="65"/>
  <c r="W47" i="65"/>
  <c r="W48" i="65"/>
  <c r="W49" i="65"/>
  <c r="W50" i="65"/>
  <c r="W51" i="65"/>
  <c r="W52" i="65"/>
  <c r="W53" i="65"/>
  <c r="W54" i="65"/>
  <c r="W55" i="65"/>
  <c r="W56" i="65"/>
  <c r="W57" i="65"/>
  <c r="W58" i="65"/>
  <c r="W59" i="65"/>
  <c r="W60" i="65"/>
  <c r="W61" i="65"/>
  <c r="W62" i="65"/>
  <c r="W63" i="65"/>
  <c r="W64" i="65"/>
  <c r="W65" i="65"/>
  <c r="W66" i="65"/>
  <c r="W67" i="65"/>
  <c r="W68" i="65"/>
  <c r="W69" i="65"/>
  <c r="W70" i="65"/>
  <c r="W71" i="65"/>
  <c r="W72" i="65"/>
  <c r="Z15" i="65"/>
  <c r="W15" i="65"/>
  <c r="G16" i="65"/>
  <c r="G17" i="65"/>
  <c r="G18" i="65"/>
  <c r="G19" i="65"/>
  <c r="G20" i="65"/>
  <c r="G21" i="65"/>
  <c r="G22" i="65"/>
  <c r="G23" i="65"/>
  <c r="G24" i="65"/>
  <c r="G25" i="65"/>
  <c r="G26" i="65"/>
  <c r="G27" i="65"/>
  <c r="G28" i="65"/>
  <c r="G29" i="65"/>
  <c r="G30" i="65"/>
  <c r="G31" i="65"/>
  <c r="G32" i="65"/>
  <c r="G33" i="65"/>
  <c r="G34" i="65"/>
  <c r="G35" i="65"/>
  <c r="G36" i="65"/>
  <c r="G37" i="65"/>
  <c r="G38" i="65"/>
  <c r="G39" i="65"/>
  <c r="G40" i="65"/>
  <c r="G41" i="65"/>
  <c r="G42" i="65"/>
  <c r="G43" i="65"/>
  <c r="G44" i="65"/>
  <c r="G45" i="65"/>
  <c r="G46" i="65"/>
  <c r="G47" i="65"/>
  <c r="G48" i="65"/>
  <c r="G49" i="65"/>
  <c r="G50" i="65"/>
  <c r="G51" i="65"/>
  <c r="G52" i="65"/>
  <c r="G53" i="65"/>
  <c r="G54" i="65"/>
  <c r="G55" i="65"/>
  <c r="G56" i="65"/>
  <c r="G57" i="65"/>
  <c r="G58" i="65"/>
  <c r="G59" i="65"/>
  <c r="G60" i="65"/>
  <c r="G61" i="65"/>
  <c r="G62" i="65"/>
  <c r="G63" i="65"/>
  <c r="G64" i="65"/>
  <c r="G65" i="65"/>
  <c r="G66" i="65"/>
  <c r="G67" i="65"/>
  <c r="G68" i="65"/>
  <c r="G69" i="65"/>
  <c r="G70" i="65"/>
  <c r="G71" i="65"/>
  <c r="G72" i="65"/>
  <c r="O16" i="65"/>
  <c r="O17" i="65"/>
  <c r="O18" i="65"/>
  <c r="O19" i="65"/>
  <c r="O20" i="65"/>
  <c r="O21" i="65"/>
  <c r="O22" i="65"/>
  <c r="O23" i="65"/>
  <c r="O24" i="65"/>
  <c r="O25" i="65"/>
  <c r="O26" i="65"/>
  <c r="O27" i="65"/>
  <c r="O28" i="65"/>
  <c r="O29" i="65"/>
  <c r="O30" i="65"/>
  <c r="O31" i="65"/>
  <c r="O32" i="65"/>
  <c r="O33" i="65"/>
  <c r="O34" i="65"/>
  <c r="O35" i="65"/>
  <c r="O36" i="65"/>
  <c r="O37" i="65"/>
  <c r="O38" i="65"/>
  <c r="O39" i="65"/>
  <c r="O40" i="65"/>
  <c r="O41" i="65"/>
  <c r="O42" i="65"/>
  <c r="O43" i="65"/>
  <c r="O44" i="65"/>
  <c r="O45" i="65"/>
  <c r="O46" i="65"/>
  <c r="O47" i="65"/>
  <c r="O48" i="65"/>
  <c r="O49" i="65"/>
  <c r="O50" i="65"/>
  <c r="O51" i="65"/>
  <c r="O52" i="65"/>
  <c r="O53" i="65"/>
  <c r="O54" i="65"/>
  <c r="O55" i="65"/>
  <c r="O56" i="65"/>
  <c r="O57" i="65"/>
  <c r="O58" i="65"/>
  <c r="O59" i="65"/>
  <c r="O60" i="65"/>
  <c r="O61" i="65"/>
  <c r="O62" i="65"/>
  <c r="O63" i="65"/>
  <c r="O64" i="65"/>
  <c r="O65" i="65"/>
  <c r="O66" i="65"/>
  <c r="O67" i="65"/>
  <c r="O68" i="65"/>
  <c r="O69" i="65"/>
  <c r="O70" i="65"/>
  <c r="O71" i="65"/>
  <c r="O72" i="65"/>
  <c r="O15" i="65"/>
  <c r="O29" i="49"/>
  <c r="G20" i="49"/>
  <c r="O15" i="48"/>
  <c r="G15" i="48"/>
  <c r="O15" i="47"/>
  <c r="G15" i="47"/>
  <c r="O72" i="46"/>
  <c r="G15" i="65"/>
  <c r="E44" i="52"/>
  <c r="E43" i="52"/>
  <c r="O73" i="65" l="1"/>
  <c r="B21" i="31"/>
  <c r="B16" i="31"/>
  <c r="L19" i="38" l="1"/>
  <c r="E27" i="52" l="1"/>
  <c r="Q122" i="12"/>
  <c r="K122" i="12"/>
  <c r="P122" i="12" s="1"/>
  <c r="I122" i="12"/>
  <c r="Q117" i="12"/>
  <c r="K117" i="12"/>
  <c r="N117" i="12" s="1"/>
  <c r="I117" i="12"/>
  <c r="Q112" i="12"/>
  <c r="K112" i="12"/>
  <c r="N112" i="12" s="1"/>
  <c r="I112" i="12"/>
  <c r="Q107" i="12"/>
  <c r="K107" i="12"/>
  <c r="L107" i="12" s="1"/>
  <c r="I107" i="12"/>
  <c r="Q102" i="12"/>
  <c r="K102" i="12"/>
  <c r="P102" i="12" s="1"/>
  <c r="I102" i="12"/>
  <c r="Q97" i="12"/>
  <c r="K97" i="12"/>
  <c r="P97" i="12" s="1"/>
  <c r="I97" i="12"/>
  <c r="Q92" i="12"/>
  <c r="K92" i="12"/>
  <c r="P92" i="12" s="1"/>
  <c r="I92" i="12"/>
  <c r="Q87" i="12"/>
  <c r="K87" i="12"/>
  <c r="P87" i="12" s="1"/>
  <c r="I87" i="12"/>
  <c r="Q82" i="12"/>
  <c r="K82" i="12"/>
  <c r="P82" i="12" s="1"/>
  <c r="I82" i="12"/>
  <c r="Q77" i="12"/>
  <c r="K77" i="12"/>
  <c r="P77" i="12" s="1"/>
  <c r="I77" i="12"/>
  <c r="Q72" i="12"/>
  <c r="K72" i="12"/>
  <c r="N72" i="12" s="1"/>
  <c r="I72" i="12"/>
  <c r="Q67" i="12"/>
  <c r="K67" i="12"/>
  <c r="N67" i="12" s="1"/>
  <c r="I67" i="12"/>
  <c r="Q62" i="12"/>
  <c r="K62" i="12"/>
  <c r="P62" i="12" s="1"/>
  <c r="I62" i="12"/>
  <c r="Q57" i="12"/>
  <c r="K57" i="12"/>
  <c r="P57" i="12" s="1"/>
  <c r="I57" i="12"/>
  <c r="Q52" i="12"/>
  <c r="K52" i="12"/>
  <c r="N52" i="12" s="1"/>
  <c r="I52" i="12"/>
  <c r="Q47" i="12"/>
  <c r="K47" i="12"/>
  <c r="N47" i="12" s="1"/>
  <c r="I47" i="12"/>
  <c r="Q42" i="12"/>
  <c r="K42" i="12"/>
  <c r="P42" i="12" s="1"/>
  <c r="I42" i="12"/>
  <c r="Q37" i="12"/>
  <c r="K37" i="12"/>
  <c r="L37" i="12" s="1"/>
  <c r="I37" i="12"/>
  <c r="Q32" i="12"/>
  <c r="K32" i="12"/>
  <c r="P32" i="12" s="1"/>
  <c r="I32" i="12"/>
  <c r="I27" i="12"/>
  <c r="Q27" i="12"/>
  <c r="K27" i="12"/>
  <c r="P27" i="12" s="1"/>
  <c r="Q22" i="12"/>
  <c r="K22" i="12"/>
  <c r="P22" i="12" s="1"/>
  <c r="I22" i="12"/>
  <c r="R117" i="12" l="1"/>
  <c r="R122" i="12"/>
  <c r="P107" i="12"/>
  <c r="R112" i="12"/>
  <c r="R52" i="12"/>
  <c r="P52" i="12"/>
  <c r="R92" i="12"/>
  <c r="R37" i="12"/>
  <c r="R97" i="12"/>
  <c r="R62" i="12"/>
  <c r="R107" i="12"/>
  <c r="R82" i="12"/>
  <c r="R102" i="12"/>
  <c r="R72" i="12"/>
  <c r="R57" i="12"/>
  <c r="L52" i="12"/>
  <c r="R42" i="12"/>
  <c r="R77" i="12"/>
  <c r="R47" i="12"/>
  <c r="R67" i="12"/>
  <c r="R87" i="12"/>
  <c r="N107" i="12"/>
  <c r="R32" i="12"/>
  <c r="R27" i="12"/>
  <c r="R22" i="12"/>
  <c r="L122" i="12"/>
  <c r="N122" i="12"/>
  <c r="L117" i="12"/>
  <c r="P117" i="12"/>
  <c r="P112" i="12"/>
  <c r="L112" i="12"/>
  <c r="L102" i="12"/>
  <c r="N102" i="12"/>
  <c r="L97" i="12"/>
  <c r="N97" i="12"/>
  <c r="L92" i="12"/>
  <c r="N92" i="12"/>
  <c r="L87" i="12"/>
  <c r="N87" i="12"/>
  <c r="L82" i="12"/>
  <c r="N82" i="12"/>
  <c r="L77" i="12"/>
  <c r="N77" i="12"/>
  <c r="P72" i="12"/>
  <c r="L72" i="12"/>
  <c r="P67" i="12"/>
  <c r="L67" i="12"/>
  <c r="N62" i="12"/>
  <c r="L62" i="12"/>
  <c r="L57" i="12"/>
  <c r="N57" i="12"/>
  <c r="P47" i="12"/>
  <c r="L47" i="12"/>
  <c r="L42" i="12"/>
  <c r="N42" i="12"/>
  <c r="N37" i="12"/>
  <c r="P37" i="12"/>
  <c r="L32" i="12"/>
  <c r="N32" i="12"/>
  <c r="L27" i="12"/>
  <c r="N27" i="12"/>
  <c r="N22" i="12"/>
  <c r="L22" i="12"/>
  <c r="M9" i="51" l="1"/>
  <c r="E14" i="84"/>
  <c r="A4" i="85"/>
  <c r="C7" i="85"/>
  <c r="C6" i="85"/>
  <c r="F45" i="84"/>
  <c r="D46" i="85" s="1"/>
  <c r="E39" i="84"/>
  <c r="E40" i="84"/>
  <c r="E38" i="84"/>
  <c r="E31" i="84"/>
  <c r="E32" i="84"/>
  <c r="E33" i="84"/>
  <c r="E34" i="84"/>
  <c r="E30" i="84"/>
  <c r="E23" i="84"/>
  <c r="E24" i="84"/>
  <c r="E25" i="84"/>
  <c r="E26" i="84"/>
  <c r="E22" i="84"/>
  <c r="E18" i="84"/>
  <c r="E13" i="84"/>
  <c r="E15" i="84"/>
  <c r="E16" i="84"/>
  <c r="E17" i="84"/>
  <c r="E12" i="84"/>
  <c r="E18" i="51"/>
  <c r="D45" i="84"/>
  <c r="D39" i="84"/>
  <c r="D40" i="84"/>
  <c r="D38" i="84"/>
  <c r="D31" i="84"/>
  <c r="D32" i="84"/>
  <c r="D33" i="84"/>
  <c r="D34" i="84"/>
  <c r="D30" i="84"/>
  <c r="D23" i="84"/>
  <c r="D24" i="84"/>
  <c r="D25" i="84"/>
  <c r="D26" i="84"/>
  <c r="D22" i="84"/>
  <c r="D13" i="84"/>
  <c r="D14" i="84"/>
  <c r="D15" i="84"/>
  <c r="D16" i="84"/>
  <c r="D17" i="84"/>
  <c r="D18" i="84"/>
  <c r="D12" i="84"/>
  <c r="C6" i="84"/>
  <c r="C5" i="84"/>
  <c r="C6" i="83"/>
  <c r="C5" i="83"/>
  <c r="D41" i="83"/>
  <c r="D35" i="83"/>
  <c r="D27" i="83"/>
  <c r="D19" i="83"/>
  <c r="Q8" i="51"/>
  <c r="R8" i="51"/>
  <c r="N9" i="51"/>
  <c r="O9" i="51" s="1"/>
  <c r="I10" i="39" s="1"/>
  <c r="D43" i="52" s="1"/>
  <c r="C7" i="82"/>
  <c r="C6" i="82"/>
  <c r="A5" i="82"/>
  <c r="C7" i="81"/>
  <c r="C6" i="81"/>
  <c r="A4" i="81"/>
  <c r="F30" i="84" l="1"/>
  <c r="D31" i="85" s="1"/>
  <c r="F26" i="84"/>
  <c r="D27" i="85" s="1"/>
  <c r="F31" i="84"/>
  <c r="D32" i="85" s="1"/>
  <c r="F25" i="84"/>
  <c r="D26" i="85" s="1"/>
  <c r="F39" i="84"/>
  <c r="D40" i="85" s="1"/>
  <c r="F38" i="84"/>
  <c r="D39" i="85" s="1"/>
  <c r="F43" i="52"/>
  <c r="D35" i="84"/>
  <c r="F32" i="84"/>
  <c r="D33" i="85" s="1"/>
  <c r="F17" i="84"/>
  <c r="D18" i="85" s="1"/>
  <c r="F16" i="84"/>
  <c r="D17" i="85" s="1"/>
  <c r="D27" i="84"/>
  <c r="F14" i="84"/>
  <c r="D15" i="85" s="1"/>
  <c r="F15" i="84"/>
  <c r="D16" i="85" s="1"/>
  <c r="F18" i="84"/>
  <c r="D19" i="85" s="1"/>
  <c r="F34" i="84"/>
  <c r="D35" i="85" s="1"/>
  <c r="F12" i="84"/>
  <c r="D13" i="85" s="1"/>
  <c r="F33" i="84"/>
  <c r="D34" i="85" s="1"/>
  <c r="F13" i="84"/>
  <c r="D14" i="85" s="1"/>
  <c r="F40" i="84"/>
  <c r="F22" i="84"/>
  <c r="D23" i="85" s="1"/>
  <c r="F24" i="84"/>
  <c r="D25" i="85" s="1"/>
  <c r="D41" i="84"/>
  <c r="F23" i="84"/>
  <c r="D24" i="85" s="1"/>
  <c r="D43" i="83"/>
  <c r="D46" i="83" s="1"/>
  <c r="E46" i="83" s="1"/>
  <c r="D19" i="84"/>
  <c r="S8" i="51"/>
  <c r="K9" i="39" s="1"/>
  <c r="E41" i="84"/>
  <c r="E35" i="84"/>
  <c r="E27" i="84"/>
  <c r="E19" i="84"/>
  <c r="D44" i="52" l="1"/>
  <c r="F44" i="52" s="1"/>
  <c r="D32" i="52"/>
  <c r="F32" i="52" s="1"/>
  <c r="F41" i="84"/>
  <c r="E43" i="84"/>
  <c r="D43" i="84"/>
  <c r="D46" i="84" s="1"/>
  <c r="G46" i="84" s="1"/>
  <c r="D41" i="85"/>
  <c r="D42" i="85" s="1"/>
  <c r="F35" i="84"/>
  <c r="D20" i="85"/>
  <c r="F19" i="84"/>
  <c r="D36" i="85"/>
  <c r="F27" i="84"/>
  <c r="D28" i="85"/>
  <c r="C7" i="80"/>
  <c r="C6" i="80"/>
  <c r="A4" i="80"/>
  <c r="C7" i="79"/>
  <c r="C6" i="79"/>
  <c r="A4" i="79"/>
  <c r="C7" i="78"/>
  <c r="C6" i="78"/>
  <c r="A4" i="78"/>
  <c r="C7" i="77"/>
  <c r="C6" i="77"/>
  <c r="A4" i="77"/>
  <c r="C7" i="76"/>
  <c r="C6" i="76"/>
  <c r="A4" i="76"/>
  <c r="C7" i="75"/>
  <c r="C6" i="75"/>
  <c r="A4" i="75"/>
  <c r="C7" i="74"/>
  <c r="C6" i="74"/>
  <c r="A4" i="74"/>
  <c r="F8" i="71"/>
  <c r="F9" i="80" s="1"/>
  <c r="F8" i="72"/>
  <c r="F9" i="81" s="1"/>
  <c r="I8" i="73"/>
  <c r="J9" i="82" s="1"/>
  <c r="F8" i="70"/>
  <c r="F9" i="79" s="1"/>
  <c r="F8" i="65"/>
  <c r="F9" i="74" s="1"/>
  <c r="Z72" i="73"/>
  <c r="Y72" i="73"/>
  <c r="W72" i="73"/>
  <c r="V72" i="73"/>
  <c r="O72" i="73"/>
  <c r="N72" i="73"/>
  <c r="G72" i="73"/>
  <c r="F72" i="73"/>
  <c r="B72" i="73"/>
  <c r="B73" i="82" s="1"/>
  <c r="Z71" i="73"/>
  <c r="Y71" i="73"/>
  <c r="W71" i="73"/>
  <c r="V71" i="73"/>
  <c r="O71" i="73"/>
  <c r="N71" i="73"/>
  <c r="G71" i="73"/>
  <c r="F71" i="73"/>
  <c r="B71" i="73"/>
  <c r="B72" i="82" s="1"/>
  <c r="Z70" i="73"/>
  <c r="Y70" i="73"/>
  <c r="W70" i="73"/>
  <c r="V70" i="73"/>
  <c r="O70" i="73"/>
  <c r="N70" i="73"/>
  <c r="G70" i="73"/>
  <c r="F70" i="73"/>
  <c r="B70" i="73"/>
  <c r="B71" i="82" s="1"/>
  <c r="Z69" i="73"/>
  <c r="Y69" i="73"/>
  <c r="W69" i="73"/>
  <c r="V69" i="73"/>
  <c r="O69" i="73"/>
  <c r="N69" i="73"/>
  <c r="G69" i="73"/>
  <c r="F69" i="73"/>
  <c r="B69" i="73"/>
  <c r="B70" i="82" s="1"/>
  <c r="Z68" i="73"/>
  <c r="Y68" i="73"/>
  <c r="W68" i="73"/>
  <c r="V68" i="73"/>
  <c r="O68" i="73"/>
  <c r="N68" i="73"/>
  <c r="G68" i="73"/>
  <c r="F68" i="73"/>
  <c r="B68" i="73"/>
  <c r="B69" i="82" s="1"/>
  <c r="Z67" i="73"/>
  <c r="Y67" i="73"/>
  <c r="W67" i="73"/>
  <c r="V67" i="73"/>
  <c r="O67" i="73"/>
  <c r="N67" i="73"/>
  <c r="G67" i="73"/>
  <c r="F67" i="73"/>
  <c r="B67" i="73"/>
  <c r="B68" i="82" s="1"/>
  <c r="Z66" i="73"/>
  <c r="Y66" i="73"/>
  <c r="W66" i="73"/>
  <c r="V66" i="73"/>
  <c r="O66" i="73"/>
  <c r="N66" i="73"/>
  <c r="G66" i="73"/>
  <c r="F66" i="73"/>
  <c r="B66" i="73"/>
  <c r="B67" i="82" s="1"/>
  <c r="Z65" i="73"/>
  <c r="Y65" i="73"/>
  <c r="W65" i="73"/>
  <c r="V65" i="73"/>
  <c r="O65" i="73"/>
  <c r="N65" i="73"/>
  <c r="G65" i="73"/>
  <c r="F65" i="73"/>
  <c r="B65" i="73"/>
  <c r="B66" i="82" s="1"/>
  <c r="Z64" i="73"/>
  <c r="Y64" i="73"/>
  <c r="W64" i="73"/>
  <c r="V64" i="73"/>
  <c r="O64" i="73"/>
  <c r="N64" i="73"/>
  <c r="G64" i="73"/>
  <c r="F64" i="73"/>
  <c r="B64" i="73"/>
  <c r="B65" i="82" s="1"/>
  <c r="Z63" i="73"/>
  <c r="Y63" i="73"/>
  <c r="W63" i="73"/>
  <c r="V63" i="73"/>
  <c r="O63" i="73"/>
  <c r="N63" i="73"/>
  <c r="G63" i="73"/>
  <c r="F63" i="73"/>
  <c r="B63" i="73"/>
  <c r="B64" i="82" s="1"/>
  <c r="Z62" i="73"/>
  <c r="Y62" i="73"/>
  <c r="W62" i="73"/>
  <c r="V62" i="73"/>
  <c r="O62" i="73"/>
  <c r="N62" i="73"/>
  <c r="G62" i="73"/>
  <c r="F62" i="73"/>
  <c r="B62" i="73"/>
  <c r="B63" i="82" s="1"/>
  <c r="Z61" i="73"/>
  <c r="Y61" i="73"/>
  <c r="W61" i="73"/>
  <c r="V61" i="73"/>
  <c r="O61" i="73"/>
  <c r="N61" i="73"/>
  <c r="G61" i="73"/>
  <c r="F61" i="73"/>
  <c r="B61" i="73"/>
  <c r="B62" i="82" s="1"/>
  <c r="Z60" i="73"/>
  <c r="Y60" i="73"/>
  <c r="W60" i="73"/>
  <c r="V60" i="73"/>
  <c r="O60" i="73"/>
  <c r="N60" i="73"/>
  <c r="G60" i="73"/>
  <c r="F60" i="73"/>
  <c r="B60" i="73"/>
  <c r="B61" i="82" s="1"/>
  <c r="Z59" i="73"/>
  <c r="Y59" i="73"/>
  <c r="W59" i="73"/>
  <c r="V59" i="73"/>
  <c r="O59" i="73"/>
  <c r="N59" i="73"/>
  <c r="G59" i="73"/>
  <c r="F59" i="73"/>
  <c r="B59" i="73"/>
  <c r="B60" i="82" s="1"/>
  <c r="Z58" i="73"/>
  <c r="Y58" i="73"/>
  <c r="W58" i="73"/>
  <c r="V58" i="73"/>
  <c r="O58" i="73"/>
  <c r="N58" i="73"/>
  <c r="G58" i="73"/>
  <c r="F58" i="73"/>
  <c r="B58" i="73"/>
  <c r="B59" i="82" s="1"/>
  <c r="Z57" i="73"/>
  <c r="Y57" i="73"/>
  <c r="W57" i="73"/>
  <c r="V57" i="73"/>
  <c r="O57" i="73"/>
  <c r="N57" i="73"/>
  <c r="G57" i="73"/>
  <c r="F57" i="73"/>
  <c r="B57" i="73"/>
  <c r="B58" i="82" s="1"/>
  <c r="Z56" i="73"/>
  <c r="Y56" i="73"/>
  <c r="W56" i="73"/>
  <c r="V56" i="73"/>
  <c r="O56" i="73"/>
  <c r="N56" i="73"/>
  <c r="G56" i="73"/>
  <c r="F56" i="73"/>
  <c r="B56" i="73"/>
  <c r="B57" i="82" s="1"/>
  <c r="Z55" i="73"/>
  <c r="Y55" i="73"/>
  <c r="W55" i="73"/>
  <c r="V55" i="73"/>
  <c r="O55" i="73"/>
  <c r="N55" i="73"/>
  <c r="G55" i="73"/>
  <c r="F55" i="73"/>
  <c r="B55" i="73"/>
  <c r="B56" i="82" s="1"/>
  <c r="Z54" i="73"/>
  <c r="Y54" i="73"/>
  <c r="W54" i="73"/>
  <c r="V54" i="73"/>
  <c r="O54" i="73"/>
  <c r="N54" i="73"/>
  <c r="G54" i="73"/>
  <c r="F54" i="73"/>
  <c r="B54" i="73"/>
  <c r="B55" i="82" s="1"/>
  <c r="Z53" i="73"/>
  <c r="Y53" i="73"/>
  <c r="W53" i="73"/>
  <c r="V53" i="73"/>
  <c r="O53" i="73"/>
  <c r="N53" i="73"/>
  <c r="G53" i="73"/>
  <c r="F53" i="73"/>
  <c r="B53" i="73"/>
  <c r="B54" i="82" s="1"/>
  <c r="Z52" i="73"/>
  <c r="Y52" i="73"/>
  <c r="W52" i="73"/>
  <c r="V52" i="73"/>
  <c r="O52" i="73"/>
  <c r="N52" i="73"/>
  <c r="G52" i="73"/>
  <c r="F52" i="73"/>
  <c r="B52" i="73"/>
  <c r="B53" i="82" s="1"/>
  <c r="Z51" i="73"/>
  <c r="Y51" i="73"/>
  <c r="W51" i="73"/>
  <c r="V51" i="73"/>
  <c r="O51" i="73"/>
  <c r="N51" i="73"/>
  <c r="G51" i="73"/>
  <c r="F51" i="73"/>
  <c r="B51" i="73"/>
  <c r="B52" i="82" s="1"/>
  <c r="Z50" i="73"/>
  <c r="Y50" i="73"/>
  <c r="W50" i="73"/>
  <c r="V50" i="73"/>
  <c r="O50" i="73"/>
  <c r="N50" i="73"/>
  <c r="G50" i="73"/>
  <c r="F50" i="73"/>
  <c r="B50" i="73"/>
  <c r="B51" i="82" s="1"/>
  <c r="Z49" i="73"/>
  <c r="Y49" i="73"/>
  <c r="W49" i="73"/>
  <c r="V49" i="73"/>
  <c r="O49" i="73"/>
  <c r="N49" i="73"/>
  <c r="G49" i="73"/>
  <c r="F49" i="73"/>
  <c r="B49" i="73"/>
  <c r="B50" i="82" s="1"/>
  <c r="Z48" i="73"/>
  <c r="Y48" i="73"/>
  <c r="W48" i="73"/>
  <c r="V48" i="73"/>
  <c r="O48" i="73"/>
  <c r="N48" i="73"/>
  <c r="G48" i="73"/>
  <c r="F48" i="73"/>
  <c r="B48" i="73"/>
  <c r="B49" i="82" s="1"/>
  <c r="Z47" i="73"/>
  <c r="Y47" i="73"/>
  <c r="W47" i="73"/>
  <c r="V47" i="73"/>
  <c r="O47" i="73"/>
  <c r="N47" i="73"/>
  <c r="G47" i="73"/>
  <c r="F47" i="73"/>
  <c r="B47" i="73"/>
  <c r="B48" i="82" s="1"/>
  <c r="Z46" i="73"/>
  <c r="Y46" i="73"/>
  <c r="W46" i="73"/>
  <c r="V46" i="73"/>
  <c r="O46" i="73"/>
  <c r="N46" i="73"/>
  <c r="G46" i="73"/>
  <c r="F46" i="73"/>
  <c r="B46" i="73"/>
  <c r="B47" i="82" s="1"/>
  <c r="Z45" i="73"/>
  <c r="Y45" i="73"/>
  <c r="W45" i="73"/>
  <c r="V45" i="73"/>
  <c r="O45" i="73"/>
  <c r="N45" i="73"/>
  <c r="G45" i="73"/>
  <c r="F45" i="73"/>
  <c r="B45" i="73"/>
  <c r="B46" i="82" s="1"/>
  <c r="Z44" i="73"/>
  <c r="Y44" i="73"/>
  <c r="W44" i="73"/>
  <c r="V44" i="73"/>
  <c r="O44" i="73"/>
  <c r="N44" i="73"/>
  <c r="G44" i="73"/>
  <c r="F44" i="73"/>
  <c r="B44" i="73"/>
  <c r="B45" i="82" s="1"/>
  <c r="Z43" i="73"/>
  <c r="Y43" i="73"/>
  <c r="W43" i="73"/>
  <c r="V43" i="73"/>
  <c r="O43" i="73"/>
  <c r="N43" i="73"/>
  <c r="G43" i="73"/>
  <c r="F43" i="73"/>
  <c r="B43" i="73"/>
  <c r="B44" i="82" s="1"/>
  <c r="Z42" i="73"/>
  <c r="Y42" i="73"/>
  <c r="W42" i="73"/>
  <c r="V42" i="73"/>
  <c r="O42" i="73"/>
  <c r="N42" i="73"/>
  <c r="G42" i="73"/>
  <c r="F42" i="73"/>
  <c r="B42" i="73"/>
  <c r="B43" i="82" s="1"/>
  <c r="Z41" i="73"/>
  <c r="Y41" i="73"/>
  <c r="W41" i="73"/>
  <c r="V41" i="73"/>
  <c r="O41" i="73"/>
  <c r="N41" i="73"/>
  <c r="G41" i="73"/>
  <c r="F41" i="73"/>
  <c r="B41" i="73"/>
  <c r="B42" i="82" s="1"/>
  <c r="Z40" i="73"/>
  <c r="Y40" i="73"/>
  <c r="W40" i="73"/>
  <c r="V40" i="73"/>
  <c r="O40" i="73"/>
  <c r="N40" i="73"/>
  <c r="G40" i="73"/>
  <c r="F40" i="73"/>
  <c r="B40" i="73"/>
  <c r="B41" i="82" s="1"/>
  <c r="Z39" i="73"/>
  <c r="Y39" i="73"/>
  <c r="W39" i="73"/>
  <c r="V39" i="73"/>
  <c r="O39" i="73"/>
  <c r="N39" i="73"/>
  <c r="G39" i="73"/>
  <c r="F39" i="73"/>
  <c r="B39" i="73"/>
  <c r="B40" i="82" s="1"/>
  <c r="Z38" i="73"/>
  <c r="Y38" i="73"/>
  <c r="W38" i="73"/>
  <c r="V38" i="73"/>
  <c r="O38" i="73"/>
  <c r="N38" i="73"/>
  <c r="G38" i="73"/>
  <c r="F38" i="73"/>
  <c r="B38" i="73"/>
  <c r="B39" i="82" s="1"/>
  <c r="Z37" i="73"/>
  <c r="Y37" i="73"/>
  <c r="W37" i="73"/>
  <c r="V37" i="73"/>
  <c r="O37" i="73"/>
  <c r="N37" i="73"/>
  <c r="G37" i="73"/>
  <c r="F37" i="73"/>
  <c r="B37" i="73"/>
  <c r="B38" i="82" s="1"/>
  <c r="Z36" i="73"/>
  <c r="Y36" i="73"/>
  <c r="W36" i="73"/>
  <c r="V36" i="73"/>
  <c r="O36" i="73"/>
  <c r="N36" i="73"/>
  <c r="G36" i="73"/>
  <c r="F36" i="73"/>
  <c r="B36" i="73"/>
  <c r="B37" i="82" s="1"/>
  <c r="Z35" i="73"/>
  <c r="Y35" i="73"/>
  <c r="W35" i="73"/>
  <c r="V35" i="73"/>
  <c r="O35" i="73"/>
  <c r="N35" i="73"/>
  <c r="G35" i="73"/>
  <c r="F35" i="73"/>
  <c r="B35" i="73"/>
  <c r="B36" i="82" s="1"/>
  <c r="Z34" i="73"/>
  <c r="Y34" i="73"/>
  <c r="W34" i="73"/>
  <c r="V34" i="73"/>
  <c r="O34" i="73"/>
  <c r="N34" i="73"/>
  <c r="G34" i="73"/>
  <c r="F34" i="73"/>
  <c r="B34" i="73"/>
  <c r="B35" i="82" s="1"/>
  <c r="Z33" i="73"/>
  <c r="Y33" i="73"/>
  <c r="W33" i="73"/>
  <c r="V33" i="73"/>
  <c r="O33" i="73"/>
  <c r="N33" i="73"/>
  <c r="G33" i="73"/>
  <c r="F33" i="73"/>
  <c r="B33" i="73"/>
  <c r="B34" i="82" s="1"/>
  <c r="Z32" i="73"/>
  <c r="Y32" i="73"/>
  <c r="W32" i="73"/>
  <c r="V32" i="73"/>
  <c r="O32" i="73"/>
  <c r="N32" i="73"/>
  <c r="G32" i="73"/>
  <c r="F32" i="73"/>
  <c r="B32" i="73"/>
  <c r="B33" i="82" s="1"/>
  <c r="Z31" i="73"/>
  <c r="Y31" i="73"/>
  <c r="W31" i="73"/>
  <c r="V31" i="73"/>
  <c r="O31" i="73"/>
  <c r="N31" i="73"/>
  <c r="G31" i="73"/>
  <c r="F31" i="73"/>
  <c r="B31" i="73"/>
  <c r="B32" i="82" s="1"/>
  <c r="Z30" i="73"/>
  <c r="Y30" i="73"/>
  <c r="W30" i="73"/>
  <c r="V30" i="73"/>
  <c r="O30" i="73"/>
  <c r="N30" i="73"/>
  <c r="G30" i="73"/>
  <c r="F30" i="73"/>
  <c r="B30" i="73"/>
  <c r="B31" i="82" s="1"/>
  <c r="Z29" i="73"/>
  <c r="Y29" i="73"/>
  <c r="W29" i="73"/>
  <c r="V29" i="73"/>
  <c r="O29" i="73"/>
  <c r="N29" i="73"/>
  <c r="G29" i="73"/>
  <c r="F29" i="73"/>
  <c r="B29" i="73"/>
  <c r="B30" i="82" s="1"/>
  <c r="Z28" i="73"/>
  <c r="Y28" i="73"/>
  <c r="W28" i="73"/>
  <c r="V28" i="73"/>
  <c r="O28" i="73"/>
  <c r="N28" i="73"/>
  <c r="G28" i="73"/>
  <c r="F28" i="73"/>
  <c r="B28" i="73"/>
  <c r="B29" i="82" s="1"/>
  <c r="Z27" i="73"/>
  <c r="Y27" i="73"/>
  <c r="W27" i="73"/>
  <c r="V27" i="73"/>
  <c r="O27" i="73"/>
  <c r="N27" i="73"/>
  <c r="G27" i="73"/>
  <c r="F27" i="73"/>
  <c r="B27" i="73"/>
  <c r="B28" i="82" s="1"/>
  <c r="Z26" i="73"/>
  <c r="Y26" i="73"/>
  <c r="W26" i="73"/>
  <c r="V26" i="73"/>
  <c r="O26" i="73"/>
  <c r="N26" i="73"/>
  <c r="G26" i="73"/>
  <c r="F26" i="73"/>
  <c r="B26" i="73"/>
  <c r="B27" i="82" s="1"/>
  <c r="Z25" i="73"/>
  <c r="Y25" i="73"/>
  <c r="W25" i="73"/>
  <c r="V25" i="73"/>
  <c r="O25" i="73"/>
  <c r="N25" i="73"/>
  <c r="G25" i="73"/>
  <c r="F25" i="73"/>
  <c r="B25" i="73"/>
  <c r="B26" i="82" s="1"/>
  <c r="Z24" i="73"/>
  <c r="Y24" i="73"/>
  <c r="W24" i="73"/>
  <c r="V24" i="73"/>
  <c r="O24" i="73"/>
  <c r="N24" i="73"/>
  <c r="G24" i="73"/>
  <c r="F24" i="73"/>
  <c r="B24" i="73"/>
  <c r="B25" i="82" s="1"/>
  <c r="Z23" i="73"/>
  <c r="Y23" i="73"/>
  <c r="W23" i="73"/>
  <c r="V23" i="73"/>
  <c r="O23" i="73"/>
  <c r="N23" i="73"/>
  <c r="G23" i="73"/>
  <c r="F23" i="73"/>
  <c r="B23" i="73"/>
  <c r="B24" i="82" s="1"/>
  <c r="Z22" i="73"/>
  <c r="Y22" i="73"/>
  <c r="W22" i="73"/>
  <c r="V22" i="73"/>
  <c r="O22" i="73"/>
  <c r="N22" i="73"/>
  <c r="G22" i="73"/>
  <c r="F22" i="73"/>
  <c r="B22" i="73"/>
  <c r="B23" i="82" s="1"/>
  <c r="Z21" i="73"/>
  <c r="Y21" i="73"/>
  <c r="W21" i="73"/>
  <c r="V21" i="73"/>
  <c r="O21" i="73"/>
  <c r="N21" i="73"/>
  <c r="G21" i="73"/>
  <c r="F21" i="73"/>
  <c r="B21" i="73"/>
  <c r="B22" i="82" s="1"/>
  <c r="Z20" i="73"/>
  <c r="Y20" i="73"/>
  <c r="W20" i="73"/>
  <c r="V20" i="73"/>
  <c r="O20" i="73"/>
  <c r="N20" i="73"/>
  <c r="G20" i="73"/>
  <c r="F20" i="73"/>
  <c r="B20" i="73"/>
  <c r="B21" i="82" s="1"/>
  <c r="Z19" i="73"/>
  <c r="Y19" i="73"/>
  <c r="W19" i="73"/>
  <c r="V19" i="73"/>
  <c r="O19" i="73"/>
  <c r="N19" i="73"/>
  <c r="G19" i="73"/>
  <c r="F19" i="73"/>
  <c r="B19" i="73"/>
  <c r="B20" i="82" s="1"/>
  <c r="Z18" i="73"/>
  <c r="Y18" i="73"/>
  <c r="W18" i="73"/>
  <c r="V18" i="73"/>
  <c r="O18" i="73"/>
  <c r="N18" i="73"/>
  <c r="G18" i="73"/>
  <c r="F18" i="73"/>
  <c r="B18" i="73"/>
  <c r="B19" i="82" s="1"/>
  <c r="Z17" i="73"/>
  <c r="Y17" i="73"/>
  <c r="W17" i="73"/>
  <c r="V17" i="73"/>
  <c r="O17" i="73"/>
  <c r="N17" i="73"/>
  <c r="G17" i="73"/>
  <c r="F17" i="73"/>
  <c r="B17" i="73"/>
  <c r="B18" i="82" s="1"/>
  <c r="Z16" i="73"/>
  <c r="Y16" i="73"/>
  <c r="W16" i="73"/>
  <c r="V16" i="73"/>
  <c r="O16" i="73"/>
  <c r="N16" i="73"/>
  <c r="G16" i="73"/>
  <c r="F16" i="73"/>
  <c r="B16" i="73"/>
  <c r="B17" i="82" s="1"/>
  <c r="Z15" i="73"/>
  <c r="Y15" i="73"/>
  <c r="W15" i="73"/>
  <c r="V15" i="73"/>
  <c r="O15" i="73"/>
  <c r="N15" i="73"/>
  <c r="G15" i="73"/>
  <c r="F15" i="73"/>
  <c r="B15" i="73"/>
  <c r="B16" i="82" s="1"/>
  <c r="C6" i="73"/>
  <c r="C5" i="73"/>
  <c r="Z72" i="72"/>
  <c r="Y72" i="72"/>
  <c r="W72" i="72"/>
  <c r="V72" i="72"/>
  <c r="O72" i="72"/>
  <c r="N72" i="72"/>
  <c r="F72" i="72"/>
  <c r="H72" i="72" s="1"/>
  <c r="F73" i="81" s="1"/>
  <c r="B72" i="72"/>
  <c r="B73" i="81" s="1"/>
  <c r="Z71" i="72"/>
  <c r="Y71" i="72"/>
  <c r="W71" i="72"/>
  <c r="V71" i="72"/>
  <c r="O71" i="72"/>
  <c r="N71" i="72"/>
  <c r="F71" i="72"/>
  <c r="H71" i="72" s="1"/>
  <c r="F72" i="81" s="1"/>
  <c r="B71" i="72"/>
  <c r="B72" i="81" s="1"/>
  <c r="Z70" i="72"/>
  <c r="Y70" i="72"/>
  <c r="W70" i="72"/>
  <c r="V70" i="72"/>
  <c r="O70" i="72"/>
  <c r="N70" i="72"/>
  <c r="F70" i="72"/>
  <c r="B70" i="72"/>
  <c r="B71" i="81" s="1"/>
  <c r="Z69" i="72"/>
  <c r="Y69" i="72"/>
  <c r="W69" i="72"/>
  <c r="V69" i="72"/>
  <c r="O69" i="72"/>
  <c r="N69" i="72"/>
  <c r="F69" i="72"/>
  <c r="B69" i="72"/>
  <c r="B70" i="81" s="1"/>
  <c r="Z68" i="72"/>
  <c r="Y68" i="72"/>
  <c r="W68" i="72"/>
  <c r="V68" i="72"/>
  <c r="O68" i="72"/>
  <c r="N68" i="72"/>
  <c r="F68" i="72"/>
  <c r="B68" i="72"/>
  <c r="B69" i="81" s="1"/>
  <c r="Z67" i="72"/>
  <c r="Y67" i="72"/>
  <c r="W67" i="72"/>
  <c r="V67" i="72"/>
  <c r="O67" i="72"/>
  <c r="N67" i="72"/>
  <c r="F67" i="72"/>
  <c r="H67" i="72" s="1"/>
  <c r="F68" i="81" s="1"/>
  <c r="B67" i="72"/>
  <c r="B68" i="81" s="1"/>
  <c r="Z66" i="72"/>
  <c r="Y66" i="72"/>
  <c r="W66" i="72"/>
  <c r="V66" i="72"/>
  <c r="O66" i="72"/>
  <c r="N66" i="72"/>
  <c r="F66" i="72"/>
  <c r="B66" i="72"/>
  <c r="B67" i="81" s="1"/>
  <c r="Z65" i="72"/>
  <c r="Y65" i="72"/>
  <c r="W65" i="72"/>
  <c r="V65" i="72"/>
  <c r="O65" i="72"/>
  <c r="N65" i="72"/>
  <c r="F65" i="72"/>
  <c r="B65" i="72"/>
  <c r="B66" i="81" s="1"/>
  <c r="Z64" i="72"/>
  <c r="Y64" i="72"/>
  <c r="W64" i="72"/>
  <c r="V64" i="72"/>
  <c r="O64" i="72"/>
  <c r="N64" i="72"/>
  <c r="F64" i="72"/>
  <c r="B64" i="72"/>
  <c r="B65" i="81" s="1"/>
  <c r="Z63" i="72"/>
  <c r="Y63" i="72"/>
  <c r="W63" i="72"/>
  <c r="V63" i="72"/>
  <c r="O63" i="72"/>
  <c r="N63" i="72"/>
  <c r="F63" i="72"/>
  <c r="H63" i="72" s="1"/>
  <c r="F64" i="81" s="1"/>
  <c r="B63" i="72"/>
  <c r="B64" i="81" s="1"/>
  <c r="Z62" i="72"/>
  <c r="Y62" i="72"/>
  <c r="W62" i="72"/>
  <c r="V62" i="72"/>
  <c r="O62" i="72"/>
  <c r="N62" i="72"/>
  <c r="F62" i="72"/>
  <c r="B62" i="72"/>
  <c r="B63" i="81" s="1"/>
  <c r="Z61" i="72"/>
  <c r="Y61" i="72"/>
  <c r="W61" i="72"/>
  <c r="V61" i="72"/>
  <c r="O61" i="72"/>
  <c r="N61" i="72"/>
  <c r="F61" i="72"/>
  <c r="H61" i="72" s="1"/>
  <c r="F62" i="81" s="1"/>
  <c r="B61" i="72"/>
  <c r="B62" i="81" s="1"/>
  <c r="Z60" i="72"/>
  <c r="Y60" i="72"/>
  <c r="W60" i="72"/>
  <c r="V60" i="72"/>
  <c r="O60" i="72"/>
  <c r="N60" i="72"/>
  <c r="F60" i="72"/>
  <c r="B60" i="72"/>
  <c r="B61" i="81" s="1"/>
  <c r="Z59" i="72"/>
  <c r="Y59" i="72"/>
  <c r="W59" i="72"/>
  <c r="V59" i="72"/>
  <c r="O59" i="72"/>
  <c r="N59" i="72"/>
  <c r="F59" i="72"/>
  <c r="B59" i="72"/>
  <c r="B60" i="81" s="1"/>
  <c r="Z58" i="72"/>
  <c r="Y58" i="72"/>
  <c r="W58" i="72"/>
  <c r="V58" i="72"/>
  <c r="O58" i="72"/>
  <c r="N58" i="72"/>
  <c r="F58" i="72"/>
  <c r="B58" i="72"/>
  <c r="B59" i="81" s="1"/>
  <c r="Z57" i="72"/>
  <c r="Y57" i="72"/>
  <c r="W57" i="72"/>
  <c r="V57" i="72"/>
  <c r="O57" i="72"/>
  <c r="N57" i="72"/>
  <c r="F57" i="72"/>
  <c r="B57" i="72"/>
  <c r="B58" i="81" s="1"/>
  <c r="Z56" i="72"/>
  <c r="Y56" i="72"/>
  <c r="W56" i="72"/>
  <c r="V56" i="72"/>
  <c r="O56" i="72"/>
  <c r="N56" i="72"/>
  <c r="F56" i="72"/>
  <c r="B56" i="72"/>
  <c r="B57" i="81" s="1"/>
  <c r="Z55" i="72"/>
  <c r="Y55" i="72"/>
  <c r="W55" i="72"/>
  <c r="V55" i="72"/>
  <c r="O55" i="72"/>
  <c r="N55" i="72"/>
  <c r="F55" i="72"/>
  <c r="B55" i="72"/>
  <c r="B56" i="81" s="1"/>
  <c r="Z54" i="72"/>
  <c r="Y54" i="72"/>
  <c r="W54" i="72"/>
  <c r="V54" i="72"/>
  <c r="O54" i="72"/>
  <c r="N54" i="72"/>
  <c r="F54" i="72"/>
  <c r="B54" i="72"/>
  <c r="B55" i="81" s="1"/>
  <c r="Z53" i="72"/>
  <c r="Y53" i="72"/>
  <c r="W53" i="72"/>
  <c r="V53" i="72"/>
  <c r="O53" i="72"/>
  <c r="N53" i="72"/>
  <c r="F53" i="72"/>
  <c r="B53" i="72"/>
  <c r="B54" i="81" s="1"/>
  <c r="Z52" i="72"/>
  <c r="Y52" i="72"/>
  <c r="W52" i="72"/>
  <c r="V52" i="72"/>
  <c r="O52" i="72"/>
  <c r="N52" i="72"/>
  <c r="F52" i="72"/>
  <c r="B52" i="72"/>
  <c r="B53" i="81" s="1"/>
  <c r="Z51" i="72"/>
  <c r="Y51" i="72"/>
  <c r="W51" i="72"/>
  <c r="V51" i="72"/>
  <c r="O51" i="72"/>
  <c r="N51" i="72"/>
  <c r="F51" i="72"/>
  <c r="B51" i="72"/>
  <c r="B52" i="81" s="1"/>
  <c r="Z50" i="72"/>
  <c r="Y50" i="72"/>
  <c r="W50" i="72"/>
  <c r="V50" i="72"/>
  <c r="O50" i="72"/>
  <c r="N50" i="72"/>
  <c r="F50" i="72"/>
  <c r="B50" i="72"/>
  <c r="B51" i="81" s="1"/>
  <c r="Z49" i="72"/>
  <c r="Y49" i="72"/>
  <c r="W49" i="72"/>
  <c r="V49" i="72"/>
  <c r="O49" i="72"/>
  <c r="N49" i="72"/>
  <c r="F49" i="72"/>
  <c r="B49" i="72"/>
  <c r="B50" i="81" s="1"/>
  <c r="Z48" i="72"/>
  <c r="Y48" i="72"/>
  <c r="W48" i="72"/>
  <c r="V48" i="72"/>
  <c r="O48" i="72"/>
  <c r="N48" i="72"/>
  <c r="F48" i="72"/>
  <c r="B48" i="72"/>
  <c r="B49" i="81" s="1"/>
  <c r="Z47" i="72"/>
  <c r="Y47" i="72"/>
  <c r="W47" i="72"/>
  <c r="V47" i="72"/>
  <c r="O47" i="72"/>
  <c r="N47" i="72"/>
  <c r="F47" i="72"/>
  <c r="B47" i="72"/>
  <c r="B48" i="81" s="1"/>
  <c r="Z46" i="72"/>
  <c r="Y46" i="72"/>
  <c r="W46" i="72"/>
  <c r="V46" i="72"/>
  <c r="O46" i="72"/>
  <c r="N46" i="72"/>
  <c r="F46" i="72"/>
  <c r="B46" i="72"/>
  <c r="B47" i="81" s="1"/>
  <c r="Z45" i="72"/>
  <c r="Y45" i="72"/>
  <c r="W45" i="72"/>
  <c r="V45" i="72"/>
  <c r="O45" i="72"/>
  <c r="N45" i="72"/>
  <c r="F45" i="72"/>
  <c r="B45" i="72"/>
  <c r="B46" i="81" s="1"/>
  <c r="Z44" i="72"/>
  <c r="Y44" i="72"/>
  <c r="W44" i="72"/>
  <c r="V44" i="72"/>
  <c r="O44" i="72"/>
  <c r="N44" i="72"/>
  <c r="F44" i="72"/>
  <c r="B44" i="72"/>
  <c r="B45" i="81" s="1"/>
  <c r="Z43" i="72"/>
  <c r="Y43" i="72"/>
  <c r="W43" i="72"/>
  <c r="V43" i="72"/>
  <c r="O43" i="72"/>
  <c r="N43" i="72"/>
  <c r="F43" i="72"/>
  <c r="B43" i="72"/>
  <c r="B44" i="81" s="1"/>
  <c r="Z42" i="72"/>
  <c r="Y42" i="72"/>
  <c r="W42" i="72"/>
  <c r="V42" i="72"/>
  <c r="O42" i="72"/>
  <c r="N42" i="72"/>
  <c r="F42" i="72"/>
  <c r="B42" i="72"/>
  <c r="B43" i="81" s="1"/>
  <c r="Z41" i="72"/>
  <c r="Y41" i="72"/>
  <c r="W41" i="72"/>
  <c r="V41" i="72"/>
  <c r="O41" i="72"/>
  <c r="N41" i="72"/>
  <c r="F41" i="72"/>
  <c r="B41" i="72"/>
  <c r="B42" i="81" s="1"/>
  <c r="Z40" i="72"/>
  <c r="Y40" i="72"/>
  <c r="W40" i="72"/>
  <c r="V40" i="72"/>
  <c r="O40" i="72"/>
  <c r="N40" i="72"/>
  <c r="F40" i="72"/>
  <c r="B40" i="72"/>
  <c r="B41" i="81" s="1"/>
  <c r="Z39" i="72"/>
  <c r="Y39" i="72"/>
  <c r="W39" i="72"/>
  <c r="V39" i="72"/>
  <c r="O39" i="72"/>
  <c r="N39" i="72"/>
  <c r="F39" i="72"/>
  <c r="B39" i="72"/>
  <c r="B40" i="81" s="1"/>
  <c r="Z38" i="72"/>
  <c r="Y38" i="72"/>
  <c r="W38" i="72"/>
  <c r="V38" i="72"/>
  <c r="O38" i="72"/>
  <c r="N38" i="72"/>
  <c r="F38" i="72"/>
  <c r="B38" i="72"/>
  <c r="B39" i="81" s="1"/>
  <c r="Z37" i="72"/>
  <c r="Y37" i="72"/>
  <c r="W37" i="72"/>
  <c r="V37" i="72"/>
  <c r="O37" i="72"/>
  <c r="N37" i="72"/>
  <c r="F37" i="72"/>
  <c r="B37" i="72"/>
  <c r="B38" i="81" s="1"/>
  <c r="Z36" i="72"/>
  <c r="Y36" i="72"/>
  <c r="W36" i="72"/>
  <c r="V36" i="72"/>
  <c r="O36" i="72"/>
  <c r="N36" i="72"/>
  <c r="F36" i="72"/>
  <c r="B36" i="72"/>
  <c r="B37" i="81" s="1"/>
  <c r="Z35" i="72"/>
  <c r="Y35" i="72"/>
  <c r="W35" i="72"/>
  <c r="X35" i="72" s="1"/>
  <c r="N36" i="81" s="1"/>
  <c r="V35" i="72"/>
  <c r="O35" i="72"/>
  <c r="N35" i="72"/>
  <c r="F35" i="72"/>
  <c r="B35" i="72"/>
  <c r="B36" i="81" s="1"/>
  <c r="Z34" i="72"/>
  <c r="Y34" i="72"/>
  <c r="W34" i="72"/>
  <c r="V34" i="72"/>
  <c r="O34" i="72"/>
  <c r="N34" i="72"/>
  <c r="F34" i="72"/>
  <c r="B34" i="72"/>
  <c r="B35" i="81" s="1"/>
  <c r="Z33" i="72"/>
  <c r="Y33" i="72"/>
  <c r="W33" i="72"/>
  <c r="V33" i="72"/>
  <c r="O33" i="72"/>
  <c r="N33" i="72"/>
  <c r="F33" i="72"/>
  <c r="B33" i="72"/>
  <c r="B34" i="81" s="1"/>
  <c r="Z32" i="72"/>
  <c r="Y32" i="72"/>
  <c r="W32" i="72"/>
  <c r="V32" i="72"/>
  <c r="O32" i="72"/>
  <c r="N32" i="72"/>
  <c r="F32" i="72"/>
  <c r="H32" i="72" s="1"/>
  <c r="F33" i="81" s="1"/>
  <c r="B32" i="72"/>
  <c r="B33" i="81" s="1"/>
  <c r="Z31" i="72"/>
  <c r="Y31" i="72"/>
  <c r="W31" i="72"/>
  <c r="V31" i="72"/>
  <c r="O31" i="72"/>
  <c r="N31" i="72"/>
  <c r="F31" i="72"/>
  <c r="B31" i="72"/>
  <c r="B32" i="81" s="1"/>
  <c r="Z30" i="72"/>
  <c r="Y30" i="72"/>
  <c r="W30" i="72"/>
  <c r="V30" i="72"/>
  <c r="O30" i="72"/>
  <c r="N30" i="72"/>
  <c r="F30" i="72"/>
  <c r="B30" i="72"/>
  <c r="B31" i="81" s="1"/>
  <c r="Z29" i="72"/>
  <c r="Y29" i="72"/>
  <c r="W29" i="72"/>
  <c r="V29" i="72"/>
  <c r="O29" i="72"/>
  <c r="P29" i="72" s="1"/>
  <c r="J30" i="81" s="1"/>
  <c r="N29" i="72"/>
  <c r="F29" i="72"/>
  <c r="B29" i="72"/>
  <c r="B30" i="81" s="1"/>
  <c r="Z28" i="72"/>
  <c r="Y28" i="72"/>
  <c r="W28" i="72"/>
  <c r="V28" i="72"/>
  <c r="O28" i="72"/>
  <c r="N28" i="72"/>
  <c r="F28" i="72"/>
  <c r="B28" i="72"/>
  <c r="B29" i="81" s="1"/>
  <c r="Z27" i="72"/>
  <c r="Y27" i="72"/>
  <c r="W27" i="72"/>
  <c r="V27" i="72"/>
  <c r="O27" i="72"/>
  <c r="N27" i="72"/>
  <c r="F27" i="72"/>
  <c r="B27" i="72"/>
  <c r="B28" i="81" s="1"/>
  <c r="Z26" i="72"/>
  <c r="Y26" i="72"/>
  <c r="W26" i="72"/>
  <c r="V26" i="72"/>
  <c r="O26" i="72"/>
  <c r="N26" i="72"/>
  <c r="F26" i="72"/>
  <c r="B26" i="72"/>
  <c r="B27" i="81" s="1"/>
  <c r="Z25" i="72"/>
  <c r="Y25" i="72"/>
  <c r="W25" i="72"/>
  <c r="V25" i="72"/>
  <c r="O25" i="72"/>
  <c r="P25" i="72" s="1"/>
  <c r="J26" i="81" s="1"/>
  <c r="N25" i="72"/>
  <c r="F25" i="72"/>
  <c r="B25" i="72"/>
  <c r="B26" i="81" s="1"/>
  <c r="Z24" i="72"/>
  <c r="Y24" i="72"/>
  <c r="W24" i="72"/>
  <c r="V24" i="72"/>
  <c r="O24" i="72"/>
  <c r="N24" i="72"/>
  <c r="F24" i="72"/>
  <c r="B24" i="72"/>
  <c r="B25" i="81" s="1"/>
  <c r="Z23" i="72"/>
  <c r="Y23" i="72"/>
  <c r="W23" i="72"/>
  <c r="V23" i="72"/>
  <c r="O23" i="72"/>
  <c r="N23" i="72"/>
  <c r="F23" i="72"/>
  <c r="B23" i="72"/>
  <c r="B24" i="81" s="1"/>
  <c r="Z22" i="72"/>
  <c r="Y22" i="72"/>
  <c r="W22" i="72"/>
  <c r="V22" i="72"/>
  <c r="O22" i="72"/>
  <c r="N22" i="72"/>
  <c r="F22" i="72"/>
  <c r="B22" i="72"/>
  <c r="B23" i="81" s="1"/>
  <c r="Z21" i="72"/>
  <c r="Y21" i="72"/>
  <c r="W21" i="72"/>
  <c r="V21" i="72"/>
  <c r="O21" i="72"/>
  <c r="N21" i="72"/>
  <c r="F21" i="72"/>
  <c r="B21" i="72"/>
  <c r="B22" i="81" s="1"/>
  <c r="Z20" i="72"/>
  <c r="Y20" i="72"/>
  <c r="W20" i="72"/>
  <c r="V20" i="72"/>
  <c r="O20" i="72"/>
  <c r="N20" i="72"/>
  <c r="F20" i="72"/>
  <c r="B20" i="72"/>
  <c r="B21" i="81" s="1"/>
  <c r="Z19" i="72"/>
  <c r="Y19" i="72"/>
  <c r="W19" i="72"/>
  <c r="V19" i="72"/>
  <c r="O19" i="72"/>
  <c r="N19" i="72"/>
  <c r="F19" i="72"/>
  <c r="B19" i="72"/>
  <c r="B20" i="81" s="1"/>
  <c r="Z18" i="72"/>
  <c r="Y18" i="72"/>
  <c r="W18" i="72"/>
  <c r="V18" i="72"/>
  <c r="O18" i="72"/>
  <c r="N18" i="72"/>
  <c r="F18" i="72"/>
  <c r="B18" i="72"/>
  <c r="B19" i="81" s="1"/>
  <c r="Z17" i="72"/>
  <c r="Y17" i="72"/>
  <c r="W17" i="72"/>
  <c r="V17" i="72"/>
  <c r="O17" i="72"/>
  <c r="N17" i="72"/>
  <c r="F17" i="72"/>
  <c r="B17" i="72"/>
  <c r="B18" i="81" s="1"/>
  <c r="Z16" i="72"/>
  <c r="Y16" i="72"/>
  <c r="W16" i="72"/>
  <c r="V16" i="72"/>
  <c r="O16" i="72"/>
  <c r="N16" i="72"/>
  <c r="F16" i="72"/>
  <c r="B16" i="72"/>
  <c r="B17" i="81" s="1"/>
  <c r="Z15" i="72"/>
  <c r="Y15" i="72"/>
  <c r="W15" i="72"/>
  <c r="V15" i="72"/>
  <c r="O15" i="72"/>
  <c r="N15" i="72"/>
  <c r="F15" i="72"/>
  <c r="B15" i="72"/>
  <c r="B16" i="81" s="1"/>
  <c r="C6" i="72"/>
  <c r="C5" i="72"/>
  <c r="Z72" i="71"/>
  <c r="Y72" i="71"/>
  <c r="W72" i="71"/>
  <c r="V72" i="71"/>
  <c r="O72" i="71"/>
  <c r="N72" i="71"/>
  <c r="G72" i="71"/>
  <c r="F72" i="71"/>
  <c r="B72" i="71"/>
  <c r="B73" i="80" s="1"/>
  <c r="Z71" i="71"/>
  <c r="Y71" i="71"/>
  <c r="W71" i="71"/>
  <c r="V71" i="71"/>
  <c r="O71" i="71"/>
  <c r="N71" i="71"/>
  <c r="G71" i="71"/>
  <c r="F71" i="71"/>
  <c r="B71" i="71"/>
  <c r="B72" i="80" s="1"/>
  <c r="Z70" i="71"/>
  <c r="Y70" i="71"/>
  <c r="W70" i="71"/>
  <c r="V70" i="71"/>
  <c r="O70" i="71"/>
  <c r="N70" i="71"/>
  <c r="G70" i="71"/>
  <c r="F70" i="71"/>
  <c r="B70" i="71"/>
  <c r="B71" i="80" s="1"/>
  <c r="Z69" i="71"/>
  <c r="Y69" i="71"/>
  <c r="W69" i="71"/>
  <c r="V69" i="71"/>
  <c r="O69" i="71"/>
  <c r="N69" i="71"/>
  <c r="G69" i="71"/>
  <c r="F69" i="71"/>
  <c r="B69" i="71"/>
  <c r="B70" i="80" s="1"/>
  <c r="Z68" i="71"/>
  <c r="Y68" i="71"/>
  <c r="W68" i="71"/>
  <c r="V68" i="71"/>
  <c r="O68" i="71"/>
  <c r="N68" i="71"/>
  <c r="G68" i="71"/>
  <c r="F68" i="71"/>
  <c r="B68" i="71"/>
  <c r="B69" i="80" s="1"/>
  <c r="Z67" i="71"/>
  <c r="Y67" i="71"/>
  <c r="W67" i="71"/>
  <c r="V67" i="71"/>
  <c r="O67" i="71"/>
  <c r="N67" i="71"/>
  <c r="G67" i="71"/>
  <c r="F67" i="71"/>
  <c r="B67" i="71"/>
  <c r="B68" i="80" s="1"/>
  <c r="Z66" i="71"/>
  <c r="Y66" i="71"/>
  <c r="W66" i="71"/>
  <c r="V66" i="71"/>
  <c r="O66" i="71"/>
  <c r="N66" i="71"/>
  <c r="G66" i="71"/>
  <c r="F66" i="71"/>
  <c r="B66" i="71"/>
  <c r="B67" i="80" s="1"/>
  <c r="Z65" i="71"/>
  <c r="Y65" i="71"/>
  <c r="W65" i="71"/>
  <c r="V65" i="71"/>
  <c r="O65" i="71"/>
  <c r="N65" i="71"/>
  <c r="G65" i="71"/>
  <c r="F65" i="71"/>
  <c r="B65" i="71"/>
  <c r="B66" i="80" s="1"/>
  <c r="Z64" i="71"/>
  <c r="Y64" i="71"/>
  <c r="W64" i="71"/>
  <c r="V64" i="71"/>
  <c r="O64" i="71"/>
  <c r="N64" i="71"/>
  <c r="G64" i="71"/>
  <c r="F64" i="71"/>
  <c r="B64" i="71"/>
  <c r="B65" i="80" s="1"/>
  <c r="Z63" i="71"/>
  <c r="Y63" i="71"/>
  <c r="W63" i="71"/>
  <c r="V63" i="71"/>
  <c r="O63" i="71"/>
  <c r="N63" i="71"/>
  <c r="G63" i="71"/>
  <c r="F63" i="71"/>
  <c r="B63" i="71"/>
  <c r="B64" i="80" s="1"/>
  <c r="Z62" i="71"/>
  <c r="Y62" i="71"/>
  <c r="W62" i="71"/>
  <c r="V62" i="71"/>
  <c r="O62" i="71"/>
  <c r="N62" i="71"/>
  <c r="G62" i="71"/>
  <c r="F62" i="71"/>
  <c r="B62" i="71"/>
  <c r="B63" i="80" s="1"/>
  <c r="Z61" i="71"/>
  <c r="Y61" i="71"/>
  <c r="W61" i="71"/>
  <c r="V61" i="71"/>
  <c r="O61" i="71"/>
  <c r="N61" i="71"/>
  <c r="G61" i="71"/>
  <c r="F61" i="71"/>
  <c r="B61" i="71"/>
  <c r="B62" i="80" s="1"/>
  <c r="Z60" i="71"/>
  <c r="Y60" i="71"/>
  <c r="W60" i="71"/>
  <c r="V60" i="71"/>
  <c r="O60" i="71"/>
  <c r="N60" i="71"/>
  <c r="G60" i="71"/>
  <c r="F60" i="71"/>
  <c r="B60" i="71"/>
  <c r="B61" i="80" s="1"/>
  <c r="Z59" i="71"/>
  <c r="Y59" i="71"/>
  <c r="W59" i="71"/>
  <c r="V59" i="71"/>
  <c r="O59" i="71"/>
  <c r="N59" i="71"/>
  <c r="G59" i="71"/>
  <c r="F59" i="71"/>
  <c r="B59" i="71"/>
  <c r="B60" i="80" s="1"/>
  <c r="Z58" i="71"/>
  <c r="Y58" i="71"/>
  <c r="W58" i="71"/>
  <c r="V58" i="71"/>
  <c r="O58" i="71"/>
  <c r="N58" i="71"/>
  <c r="G58" i="71"/>
  <c r="F58" i="71"/>
  <c r="B58" i="71"/>
  <c r="B59" i="80" s="1"/>
  <c r="Z57" i="71"/>
  <c r="Y57" i="71"/>
  <c r="W57" i="71"/>
  <c r="V57" i="71"/>
  <c r="O57" i="71"/>
  <c r="N57" i="71"/>
  <c r="G57" i="71"/>
  <c r="F57" i="71"/>
  <c r="B57" i="71"/>
  <c r="B58" i="80" s="1"/>
  <c r="Z56" i="71"/>
  <c r="Y56" i="71"/>
  <c r="W56" i="71"/>
  <c r="V56" i="71"/>
  <c r="O56" i="71"/>
  <c r="N56" i="71"/>
  <c r="G56" i="71"/>
  <c r="F56" i="71"/>
  <c r="B56" i="71"/>
  <c r="B57" i="80" s="1"/>
  <c r="Z55" i="71"/>
  <c r="Y55" i="71"/>
  <c r="W55" i="71"/>
  <c r="V55" i="71"/>
  <c r="O55" i="71"/>
  <c r="N55" i="71"/>
  <c r="G55" i="71"/>
  <c r="F55" i="71"/>
  <c r="B55" i="71"/>
  <c r="B56" i="80" s="1"/>
  <c r="Z54" i="71"/>
  <c r="Y54" i="71"/>
  <c r="W54" i="71"/>
  <c r="V54" i="71"/>
  <c r="O54" i="71"/>
  <c r="N54" i="71"/>
  <c r="G54" i="71"/>
  <c r="F54" i="71"/>
  <c r="B54" i="71"/>
  <c r="B55" i="80" s="1"/>
  <c r="Z53" i="71"/>
  <c r="Y53" i="71"/>
  <c r="W53" i="71"/>
  <c r="V53" i="71"/>
  <c r="O53" i="71"/>
  <c r="N53" i="71"/>
  <c r="G53" i="71"/>
  <c r="F53" i="71"/>
  <c r="B53" i="71"/>
  <c r="B54" i="80" s="1"/>
  <c r="Z52" i="71"/>
  <c r="Y52" i="71"/>
  <c r="W52" i="71"/>
  <c r="V52" i="71"/>
  <c r="O52" i="71"/>
  <c r="N52" i="71"/>
  <c r="G52" i="71"/>
  <c r="F52" i="71"/>
  <c r="B52" i="71"/>
  <c r="B53" i="80" s="1"/>
  <c r="Z51" i="71"/>
  <c r="Y51" i="71"/>
  <c r="W51" i="71"/>
  <c r="V51" i="71"/>
  <c r="O51" i="71"/>
  <c r="N51" i="71"/>
  <c r="G51" i="71"/>
  <c r="F51" i="71"/>
  <c r="B51" i="71"/>
  <c r="B52" i="80" s="1"/>
  <c r="Z50" i="71"/>
  <c r="Y50" i="71"/>
  <c r="W50" i="71"/>
  <c r="V50" i="71"/>
  <c r="O50" i="71"/>
  <c r="N50" i="71"/>
  <c r="G50" i="71"/>
  <c r="F50" i="71"/>
  <c r="B50" i="71"/>
  <c r="B51" i="80" s="1"/>
  <c r="Z49" i="71"/>
  <c r="Y49" i="71"/>
  <c r="W49" i="71"/>
  <c r="V49" i="71"/>
  <c r="O49" i="71"/>
  <c r="N49" i="71"/>
  <c r="G49" i="71"/>
  <c r="F49" i="71"/>
  <c r="B49" i="71"/>
  <c r="B50" i="80" s="1"/>
  <c r="Z48" i="71"/>
  <c r="Y48" i="71"/>
  <c r="W48" i="71"/>
  <c r="V48" i="71"/>
  <c r="O48" i="71"/>
  <c r="N48" i="71"/>
  <c r="G48" i="71"/>
  <c r="F48" i="71"/>
  <c r="B48" i="71"/>
  <c r="B49" i="80" s="1"/>
  <c r="Z47" i="71"/>
  <c r="Y47" i="71"/>
  <c r="W47" i="71"/>
  <c r="V47" i="71"/>
  <c r="O47" i="71"/>
  <c r="N47" i="71"/>
  <c r="G47" i="71"/>
  <c r="F47" i="71"/>
  <c r="B47" i="71"/>
  <c r="B48" i="80" s="1"/>
  <c r="Z46" i="71"/>
  <c r="Y46" i="71"/>
  <c r="W46" i="71"/>
  <c r="V46" i="71"/>
  <c r="O46" i="71"/>
  <c r="N46" i="71"/>
  <c r="G46" i="71"/>
  <c r="F46" i="71"/>
  <c r="B46" i="71"/>
  <c r="B47" i="80" s="1"/>
  <c r="Z45" i="71"/>
  <c r="Y45" i="71"/>
  <c r="W45" i="71"/>
  <c r="V45" i="71"/>
  <c r="O45" i="71"/>
  <c r="N45" i="71"/>
  <c r="G45" i="71"/>
  <c r="F45" i="71"/>
  <c r="B45" i="71"/>
  <c r="B46" i="80" s="1"/>
  <c r="Z44" i="71"/>
  <c r="Y44" i="71"/>
  <c r="W44" i="71"/>
  <c r="V44" i="71"/>
  <c r="O44" i="71"/>
  <c r="N44" i="71"/>
  <c r="G44" i="71"/>
  <c r="F44" i="71"/>
  <c r="B44" i="71"/>
  <c r="B45" i="80" s="1"/>
  <c r="Z43" i="71"/>
  <c r="Y43" i="71"/>
  <c r="W43" i="71"/>
  <c r="V43" i="71"/>
  <c r="O43" i="71"/>
  <c r="N43" i="71"/>
  <c r="G43" i="71"/>
  <c r="F43" i="71"/>
  <c r="B43" i="71"/>
  <c r="B44" i="80" s="1"/>
  <c r="Z42" i="71"/>
  <c r="Y42" i="71"/>
  <c r="W42" i="71"/>
  <c r="V42" i="71"/>
  <c r="O42" i="71"/>
  <c r="N42" i="71"/>
  <c r="G42" i="71"/>
  <c r="F42" i="71"/>
  <c r="B42" i="71"/>
  <c r="B43" i="80" s="1"/>
  <c r="Z41" i="71"/>
  <c r="Y41" i="71"/>
  <c r="W41" i="71"/>
  <c r="V41" i="71"/>
  <c r="O41" i="71"/>
  <c r="N41" i="71"/>
  <c r="G41" i="71"/>
  <c r="F41" i="71"/>
  <c r="B41" i="71"/>
  <c r="B42" i="80" s="1"/>
  <c r="Z40" i="71"/>
  <c r="Y40" i="71"/>
  <c r="W40" i="71"/>
  <c r="V40" i="71"/>
  <c r="O40" i="71"/>
  <c r="N40" i="71"/>
  <c r="G40" i="71"/>
  <c r="F40" i="71"/>
  <c r="B40" i="71"/>
  <c r="B41" i="80" s="1"/>
  <c r="Z39" i="71"/>
  <c r="Y39" i="71"/>
  <c r="W39" i="71"/>
  <c r="V39" i="71"/>
  <c r="O39" i="71"/>
  <c r="N39" i="71"/>
  <c r="G39" i="71"/>
  <c r="F39" i="71"/>
  <c r="B39" i="71"/>
  <c r="B40" i="80" s="1"/>
  <c r="Z38" i="71"/>
  <c r="Y38" i="71"/>
  <c r="W38" i="71"/>
  <c r="V38" i="71"/>
  <c r="O38" i="71"/>
  <c r="N38" i="71"/>
  <c r="G38" i="71"/>
  <c r="F38" i="71"/>
  <c r="B38" i="71"/>
  <c r="B39" i="80" s="1"/>
  <c r="Z37" i="71"/>
  <c r="Y37" i="71"/>
  <c r="W37" i="71"/>
  <c r="V37" i="71"/>
  <c r="O37" i="71"/>
  <c r="N37" i="71"/>
  <c r="G37" i="71"/>
  <c r="F37" i="71"/>
  <c r="B37" i="71"/>
  <c r="B38" i="80" s="1"/>
  <c r="Z36" i="71"/>
  <c r="Y36" i="71"/>
  <c r="W36" i="71"/>
  <c r="V36" i="71"/>
  <c r="O36" i="71"/>
  <c r="N36" i="71"/>
  <c r="G36" i="71"/>
  <c r="F36" i="71"/>
  <c r="B36" i="71"/>
  <c r="B37" i="80" s="1"/>
  <c r="Z35" i="71"/>
  <c r="Y35" i="71"/>
  <c r="W35" i="71"/>
  <c r="V35" i="71"/>
  <c r="O35" i="71"/>
  <c r="N35" i="71"/>
  <c r="G35" i="71"/>
  <c r="F35" i="71"/>
  <c r="B35" i="71"/>
  <c r="B36" i="80" s="1"/>
  <c r="Z34" i="71"/>
  <c r="Y34" i="71"/>
  <c r="W34" i="71"/>
  <c r="V34" i="71"/>
  <c r="O34" i="71"/>
  <c r="N34" i="71"/>
  <c r="G34" i="71"/>
  <c r="F34" i="71"/>
  <c r="B34" i="71"/>
  <c r="B35" i="80" s="1"/>
  <c r="Z33" i="71"/>
  <c r="Y33" i="71"/>
  <c r="W33" i="71"/>
  <c r="V33" i="71"/>
  <c r="O33" i="71"/>
  <c r="N33" i="71"/>
  <c r="G33" i="71"/>
  <c r="F33" i="71"/>
  <c r="B33" i="71"/>
  <c r="B34" i="80" s="1"/>
  <c r="Z32" i="71"/>
  <c r="Y32" i="71"/>
  <c r="W32" i="71"/>
  <c r="V32" i="71"/>
  <c r="O32" i="71"/>
  <c r="N32" i="71"/>
  <c r="G32" i="71"/>
  <c r="F32" i="71"/>
  <c r="B32" i="71"/>
  <c r="B33" i="80" s="1"/>
  <c r="Z31" i="71"/>
  <c r="Y31" i="71"/>
  <c r="W31" i="71"/>
  <c r="V31" i="71"/>
  <c r="O31" i="71"/>
  <c r="N31" i="71"/>
  <c r="G31" i="71"/>
  <c r="F31" i="71"/>
  <c r="B31" i="71"/>
  <c r="B32" i="80" s="1"/>
  <c r="Z30" i="71"/>
  <c r="Y30" i="71"/>
  <c r="W30" i="71"/>
  <c r="V30" i="71"/>
  <c r="O30" i="71"/>
  <c r="N30" i="71"/>
  <c r="G30" i="71"/>
  <c r="F30" i="71"/>
  <c r="B30" i="71"/>
  <c r="B31" i="80" s="1"/>
  <c r="Z29" i="71"/>
  <c r="Y29" i="71"/>
  <c r="W29" i="71"/>
  <c r="V29" i="71"/>
  <c r="O29" i="71"/>
  <c r="N29" i="71"/>
  <c r="G29" i="71"/>
  <c r="F29" i="71"/>
  <c r="B29" i="71"/>
  <c r="B30" i="80" s="1"/>
  <c r="Z28" i="71"/>
  <c r="Y28" i="71"/>
  <c r="W28" i="71"/>
  <c r="V28" i="71"/>
  <c r="O28" i="71"/>
  <c r="N28" i="71"/>
  <c r="G28" i="71"/>
  <c r="F28" i="71"/>
  <c r="B28" i="71"/>
  <c r="B29" i="80" s="1"/>
  <c r="Z27" i="71"/>
  <c r="Y27" i="71"/>
  <c r="W27" i="71"/>
  <c r="V27" i="71"/>
  <c r="O27" i="71"/>
  <c r="N27" i="71"/>
  <c r="G27" i="71"/>
  <c r="F27" i="71"/>
  <c r="B27" i="71"/>
  <c r="B28" i="80" s="1"/>
  <c r="Z26" i="71"/>
  <c r="Y26" i="71"/>
  <c r="W26" i="71"/>
  <c r="V26" i="71"/>
  <c r="O26" i="71"/>
  <c r="N26" i="71"/>
  <c r="G26" i="71"/>
  <c r="F26" i="71"/>
  <c r="B26" i="71"/>
  <c r="B27" i="80" s="1"/>
  <c r="Z25" i="71"/>
  <c r="Y25" i="71"/>
  <c r="W25" i="71"/>
  <c r="V25" i="71"/>
  <c r="O25" i="71"/>
  <c r="N25" i="71"/>
  <c r="G25" i="71"/>
  <c r="F25" i="71"/>
  <c r="B25" i="71"/>
  <c r="B26" i="80" s="1"/>
  <c r="Z24" i="71"/>
  <c r="Y24" i="71"/>
  <c r="W24" i="71"/>
  <c r="V24" i="71"/>
  <c r="O24" i="71"/>
  <c r="N24" i="71"/>
  <c r="G24" i="71"/>
  <c r="F24" i="71"/>
  <c r="B24" i="71"/>
  <c r="B25" i="80" s="1"/>
  <c r="Z23" i="71"/>
  <c r="Y23" i="71"/>
  <c r="W23" i="71"/>
  <c r="V23" i="71"/>
  <c r="O23" i="71"/>
  <c r="N23" i="71"/>
  <c r="G23" i="71"/>
  <c r="F23" i="71"/>
  <c r="B23" i="71"/>
  <c r="B24" i="80" s="1"/>
  <c r="Z22" i="71"/>
  <c r="Y22" i="71"/>
  <c r="W22" i="71"/>
  <c r="V22" i="71"/>
  <c r="O22" i="71"/>
  <c r="N22" i="71"/>
  <c r="G22" i="71"/>
  <c r="F22" i="71"/>
  <c r="B22" i="71"/>
  <c r="B23" i="80" s="1"/>
  <c r="Z21" i="71"/>
  <c r="Y21" i="71"/>
  <c r="W21" i="71"/>
  <c r="V21" i="71"/>
  <c r="O21" i="71"/>
  <c r="N21" i="71"/>
  <c r="G21" i="71"/>
  <c r="F21" i="71"/>
  <c r="B21" i="71"/>
  <c r="B22" i="80" s="1"/>
  <c r="Z20" i="71"/>
  <c r="Y20" i="71"/>
  <c r="W20" i="71"/>
  <c r="V20" i="71"/>
  <c r="O20" i="71"/>
  <c r="N20" i="71"/>
  <c r="G20" i="71"/>
  <c r="F20" i="71"/>
  <c r="B20" i="71"/>
  <c r="B21" i="80" s="1"/>
  <c r="Z19" i="71"/>
  <c r="Y19" i="71"/>
  <c r="W19" i="71"/>
  <c r="V19" i="71"/>
  <c r="O19" i="71"/>
  <c r="N19" i="71"/>
  <c r="G19" i="71"/>
  <c r="F19" i="71"/>
  <c r="B19" i="71"/>
  <c r="B20" i="80" s="1"/>
  <c r="Z18" i="71"/>
  <c r="Y18" i="71"/>
  <c r="W18" i="71"/>
  <c r="V18" i="71"/>
  <c r="O18" i="71"/>
  <c r="N18" i="71"/>
  <c r="G18" i="71"/>
  <c r="F18" i="71"/>
  <c r="B18" i="71"/>
  <c r="B19" i="80" s="1"/>
  <c r="Z17" i="71"/>
  <c r="Y17" i="71"/>
  <c r="W17" i="71"/>
  <c r="V17" i="71"/>
  <c r="O17" i="71"/>
  <c r="N17" i="71"/>
  <c r="G17" i="71"/>
  <c r="F17" i="71"/>
  <c r="B17" i="71"/>
  <c r="B18" i="80" s="1"/>
  <c r="Z16" i="71"/>
  <c r="Y16" i="71"/>
  <c r="W16" i="71"/>
  <c r="V16" i="71"/>
  <c r="O16" i="71"/>
  <c r="N16" i="71"/>
  <c r="G16" i="71"/>
  <c r="F16" i="71"/>
  <c r="B16" i="71"/>
  <c r="B17" i="80" s="1"/>
  <c r="Z15" i="71"/>
  <c r="Y15" i="71"/>
  <c r="W15" i="71"/>
  <c r="V15" i="71"/>
  <c r="O15" i="71"/>
  <c r="N15" i="71"/>
  <c r="G15" i="71"/>
  <c r="F15" i="71"/>
  <c r="B15" i="71"/>
  <c r="B16" i="80" s="1"/>
  <c r="C6" i="71"/>
  <c r="C5" i="71"/>
  <c r="Z72" i="70"/>
  <c r="Y72" i="70"/>
  <c r="W72" i="70"/>
  <c r="V72" i="70"/>
  <c r="O72" i="70"/>
  <c r="N72" i="70"/>
  <c r="G72" i="70"/>
  <c r="F72" i="70"/>
  <c r="B72" i="70"/>
  <c r="B73" i="79" s="1"/>
  <c r="Z71" i="70"/>
  <c r="Y71" i="70"/>
  <c r="W71" i="70"/>
  <c r="V71" i="70"/>
  <c r="O71" i="70"/>
  <c r="N71" i="70"/>
  <c r="G71" i="70"/>
  <c r="F71" i="70"/>
  <c r="B71" i="70"/>
  <c r="B72" i="79" s="1"/>
  <c r="Z70" i="70"/>
  <c r="Y70" i="70"/>
  <c r="W70" i="70"/>
  <c r="V70" i="70"/>
  <c r="O70" i="70"/>
  <c r="N70" i="70"/>
  <c r="G70" i="70"/>
  <c r="F70" i="70"/>
  <c r="B70" i="70"/>
  <c r="B71" i="79" s="1"/>
  <c r="Z69" i="70"/>
  <c r="Y69" i="70"/>
  <c r="W69" i="70"/>
  <c r="V69" i="70"/>
  <c r="O69" i="70"/>
  <c r="N69" i="70"/>
  <c r="G69" i="70"/>
  <c r="F69" i="70"/>
  <c r="B69" i="70"/>
  <c r="B70" i="79" s="1"/>
  <c r="Z68" i="70"/>
  <c r="Y68" i="70"/>
  <c r="W68" i="70"/>
  <c r="X68" i="70" s="1"/>
  <c r="N69" i="79" s="1"/>
  <c r="V68" i="70"/>
  <c r="O68" i="70"/>
  <c r="N68" i="70"/>
  <c r="G68" i="70"/>
  <c r="F68" i="70"/>
  <c r="B68" i="70"/>
  <c r="B69" i="79" s="1"/>
  <c r="Z67" i="70"/>
  <c r="Y67" i="70"/>
  <c r="W67" i="70"/>
  <c r="V67" i="70"/>
  <c r="O67" i="70"/>
  <c r="N67" i="70"/>
  <c r="G67" i="70"/>
  <c r="F67" i="70"/>
  <c r="B67" i="70"/>
  <c r="B68" i="79" s="1"/>
  <c r="Z66" i="70"/>
  <c r="Y66" i="70"/>
  <c r="W66" i="70"/>
  <c r="V66" i="70"/>
  <c r="O66" i="70"/>
  <c r="N66" i="70"/>
  <c r="G66" i="70"/>
  <c r="F66" i="70"/>
  <c r="B66" i="70"/>
  <c r="B67" i="79" s="1"/>
  <c r="Z65" i="70"/>
  <c r="Y65" i="70"/>
  <c r="W65" i="70"/>
  <c r="V65" i="70"/>
  <c r="O65" i="70"/>
  <c r="N65" i="70"/>
  <c r="G65" i="70"/>
  <c r="F65" i="70"/>
  <c r="B65" i="70"/>
  <c r="B66" i="79" s="1"/>
  <c r="Z64" i="70"/>
  <c r="Y64" i="70"/>
  <c r="W64" i="70"/>
  <c r="V64" i="70"/>
  <c r="O64" i="70"/>
  <c r="N64" i="70"/>
  <c r="G64" i="70"/>
  <c r="F64" i="70"/>
  <c r="B64" i="70"/>
  <c r="B65" i="79" s="1"/>
  <c r="Z63" i="70"/>
  <c r="Y63" i="70"/>
  <c r="W63" i="70"/>
  <c r="V63" i="70"/>
  <c r="O63" i="70"/>
  <c r="N63" i="70"/>
  <c r="G63" i="70"/>
  <c r="F63" i="70"/>
  <c r="B63" i="70"/>
  <c r="B64" i="79" s="1"/>
  <c r="Z62" i="70"/>
  <c r="Y62" i="70"/>
  <c r="W62" i="70"/>
  <c r="V62" i="70"/>
  <c r="O62" i="70"/>
  <c r="N62" i="70"/>
  <c r="G62" i="70"/>
  <c r="F62" i="70"/>
  <c r="B62" i="70"/>
  <c r="B63" i="79" s="1"/>
  <c r="Z61" i="70"/>
  <c r="Y61" i="70"/>
  <c r="W61" i="70"/>
  <c r="V61" i="70"/>
  <c r="O61" i="70"/>
  <c r="N61" i="70"/>
  <c r="G61" i="70"/>
  <c r="F61" i="70"/>
  <c r="B61" i="70"/>
  <c r="B62" i="79" s="1"/>
  <c r="Z60" i="70"/>
  <c r="Y60" i="70"/>
  <c r="W60" i="70"/>
  <c r="X60" i="70" s="1"/>
  <c r="N61" i="79" s="1"/>
  <c r="V60" i="70"/>
  <c r="O60" i="70"/>
  <c r="N60" i="70"/>
  <c r="G60" i="70"/>
  <c r="F60" i="70"/>
  <c r="B60" i="70"/>
  <c r="B61" i="79" s="1"/>
  <c r="Z59" i="70"/>
  <c r="Y59" i="70"/>
  <c r="W59" i="70"/>
  <c r="V59" i="70"/>
  <c r="O59" i="70"/>
  <c r="N59" i="70"/>
  <c r="G59" i="70"/>
  <c r="F59" i="70"/>
  <c r="B59" i="70"/>
  <c r="B60" i="79" s="1"/>
  <c r="Z58" i="70"/>
  <c r="Y58" i="70"/>
  <c r="W58" i="70"/>
  <c r="V58" i="70"/>
  <c r="O58" i="70"/>
  <c r="N58" i="70"/>
  <c r="G58" i="70"/>
  <c r="F58" i="70"/>
  <c r="B58" i="70"/>
  <c r="B59" i="79" s="1"/>
  <c r="Z57" i="70"/>
  <c r="Y57" i="70"/>
  <c r="W57" i="70"/>
  <c r="V57" i="70"/>
  <c r="O57" i="70"/>
  <c r="N57" i="70"/>
  <c r="G57" i="70"/>
  <c r="F57" i="70"/>
  <c r="B57" i="70"/>
  <c r="B58" i="79" s="1"/>
  <c r="Z56" i="70"/>
  <c r="Y56" i="70"/>
  <c r="W56" i="70"/>
  <c r="V56" i="70"/>
  <c r="O56" i="70"/>
  <c r="N56" i="70"/>
  <c r="G56" i="70"/>
  <c r="F56" i="70"/>
  <c r="B56" i="70"/>
  <c r="B57" i="79" s="1"/>
  <c r="Z55" i="70"/>
  <c r="Y55" i="70"/>
  <c r="W55" i="70"/>
  <c r="V55" i="70"/>
  <c r="O55" i="70"/>
  <c r="N55" i="70"/>
  <c r="G55" i="70"/>
  <c r="F55" i="70"/>
  <c r="B55" i="70"/>
  <c r="B56" i="79" s="1"/>
  <c r="Z54" i="70"/>
  <c r="Y54" i="70"/>
  <c r="W54" i="70"/>
  <c r="V54" i="70"/>
  <c r="O54" i="70"/>
  <c r="N54" i="70"/>
  <c r="G54" i="70"/>
  <c r="F54" i="70"/>
  <c r="B54" i="70"/>
  <c r="B55" i="79" s="1"/>
  <c r="Z53" i="70"/>
  <c r="Y53" i="70"/>
  <c r="W53" i="70"/>
  <c r="V53" i="70"/>
  <c r="O53" i="70"/>
  <c r="N53" i="70"/>
  <c r="G53" i="70"/>
  <c r="F53" i="70"/>
  <c r="B53" i="70"/>
  <c r="B54" i="79" s="1"/>
  <c r="Z52" i="70"/>
  <c r="Y52" i="70"/>
  <c r="W52" i="70"/>
  <c r="V52" i="70"/>
  <c r="O52" i="70"/>
  <c r="N52" i="70"/>
  <c r="G52" i="70"/>
  <c r="F52" i="70"/>
  <c r="B52" i="70"/>
  <c r="B53" i="79" s="1"/>
  <c r="Z51" i="70"/>
  <c r="Y51" i="70"/>
  <c r="W51" i="70"/>
  <c r="V51" i="70"/>
  <c r="O51" i="70"/>
  <c r="N51" i="70"/>
  <c r="G51" i="70"/>
  <c r="F51" i="70"/>
  <c r="B51" i="70"/>
  <c r="B52" i="79" s="1"/>
  <c r="Z50" i="70"/>
  <c r="Y50" i="70"/>
  <c r="W50" i="70"/>
  <c r="V50" i="70"/>
  <c r="O50" i="70"/>
  <c r="N50" i="70"/>
  <c r="G50" i="70"/>
  <c r="F50" i="70"/>
  <c r="B50" i="70"/>
  <c r="B51" i="79" s="1"/>
  <c r="Z49" i="70"/>
  <c r="Y49" i="70"/>
  <c r="W49" i="70"/>
  <c r="V49" i="70"/>
  <c r="O49" i="70"/>
  <c r="N49" i="70"/>
  <c r="G49" i="70"/>
  <c r="F49" i="70"/>
  <c r="B49" i="70"/>
  <c r="B50" i="79" s="1"/>
  <c r="Z48" i="70"/>
  <c r="Y48" i="70"/>
  <c r="W48" i="70"/>
  <c r="V48" i="70"/>
  <c r="O48" i="70"/>
  <c r="N48" i="70"/>
  <c r="G48" i="70"/>
  <c r="F48" i="70"/>
  <c r="B48" i="70"/>
  <c r="B49" i="79" s="1"/>
  <c r="Z47" i="70"/>
  <c r="Y47" i="70"/>
  <c r="W47" i="70"/>
  <c r="V47" i="70"/>
  <c r="O47" i="70"/>
  <c r="N47" i="70"/>
  <c r="G47" i="70"/>
  <c r="F47" i="70"/>
  <c r="B47" i="70"/>
  <c r="B48" i="79" s="1"/>
  <c r="Z46" i="70"/>
  <c r="Y46" i="70"/>
  <c r="W46" i="70"/>
  <c r="V46" i="70"/>
  <c r="O46" i="70"/>
  <c r="N46" i="70"/>
  <c r="G46" i="70"/>
  <c r="F46" i="70"/>
  <c r="B46" i="70"/>
  <c r="B47" i="79" s="1"/>
  <c r="Z45" i="70"/>
  <c r="Y45" i="70"/>
  <c r="W45" i="70"/>
  <c r="V45" i="70"/>
  <c r="O45" i="70"/>
  <c r="N45" i="70"/>
  <c r="G45" i="70"/>
  <c r="F45" i="70"/>
  <c r="B45" i="70"/>
  <c r="B46" i="79" s="1"/>
  <c r="Z44" i="70"/>
  <c r="Y44" i="70"/>
  <c r="W44" i="70"/>
  <c r="V44" i="70"/>
  <c r="O44" i="70"/>
  <c r="N44" i="70"/>
  <c r="G44" i="70"/>
  <c r="F44" i="70"/>
  <c r="B44" i="70"/>
  <c r="B45" i="79" s="1"/>
  <c r="Z43" i="70"/>
  <c r="Y43" i="70"/>
  <c r="W43" i="70"/>
  <c r="V43" i="70"/>
  <c r="O43" i="70"/>
  <c r="N43" i="70"/>
  <c r="G43" i="70"/>
  <c r="F43" i="70"/>
  <c r="B43" i="70"/>
  <c r="B44" i="79" s="1"/>
  <c r="Z42" i="70"/>
  <c r="Y42" i="70"/>
  <c r="W42" i="70"/>
  <c r="V42" i="70"/>
  <c r="O42" i="70"/>
  <c r="N42" i="70"/>
  <c r="G42" i="70"/>
  <c r="F42" i="70"/>
  <c r="B42" i="70"/>
  <c r="B43" i="79" s="1"/>
  <c r="Z41" i="70"/>
  <c r="Y41" i="70"/>
  <c r="W41" i="70"/>
  <c r="V41" i="70"/>
  <c r="O41" i="70"/>
  <c r="N41" i="70"/>
  <c r="G41" i="70"/>
  <c r="F41" i="70"/>
  <c r="B41" i="70"/>
  <c r="B42" i="79" s="1"/>
  <c r="Z40" i="70"/>
  <c r="Y40" i="70"/>
  <c r="W40" i="70"/>
  <c r="V40" i="70"/>
  <c r="O40" i="70"/>
  <c r="N40" i="70"/>
  <c r="G40" i="70"/>
  <c r="F40" i="70"/>
  <c r="B40" i="70"/>
  <c r="B41" i="79" s="1"/>
  <c r="Z39" i="70"/>
  <c r="Y39" i="70"/>
  <c r="W39" i="70"/>
  <c r="V39" i="70"/>
  <c r="O39" i="70"/>
  <c r="N39" i="70"/>
  <c r="G39" i="70"/>
  <c r="F39" i="70"/>
  <c r="B39" i="70"/>
  <c r="B40" i="79" s="1"/>
  <c r="Z38" i="70"/>
  <c r="Y38" i="70"/>
  <c r="W38" i="70"/>
  <c r="V38" i="70"/>
  <c r="O38" i="70"/>
  <c r="N38" i="70"/>
  <c r="G38" i="70"/>
  <c r="F38" i="70"/>
  <c r="B38" i="70"/>
  <c r="B39" i="79" s="1"/>
  <c r="Z37" i="70"/>
  <c r="Y37" i="70"/>
  <c r="W37" i="70"/>
  <c r="V37" i="70"/>
  <c r="O37" i="70"/>
  <c r="N37" i="70"/>
  <c r="G37" i="70"/>
  <c r="F37" i="70"/>
  <c r="B37" i="70"/>
  <c r="B38" i="79" s="1"/>
  <c r="Z36" i="70"/>
  <c r="Y36" i="70"/>
  <c r="W36" i="70"/>
  <c r="X36" i="70" s="1"/>
  <c r="N37" i="79" s="1"/>
  <c r="V36" i="70"/>
  <c r="O36" i="70"/>
  <c r="N36" i="70"/>
  <c r="G36" i="70"/>
  <c r="F36" i="70"/>
  <c r="B36" i="70"/>
  <c r="B37" i="79" s="1"/>
  <c r="Z35" i="70"/>
  <c r="Y35" i="70"/>
  <c r="W35" i="70"/>
  <c r="V35" i="70"/>
  <c r="O35" i="70"/>
  <c r="N35" i="70"/>
  <c r="G35" i="70"/>
  <c r="F35" i="70"/>
  <c r="B35" i="70"/>
  <c r="B36" i="79" s="1"/>
  <c r="Z34" i="70"/>
  <c r="Y34" i="70"/>
  <c r="W34" i="70"/>
  <c r="V34" i="70"/>
  <c r="O34" i="70"/>
  <c r="N34" i="70"/>
  <c r="G34" i="70"/>
  <c r="F34" i="70"/>
  <c r="B34" i="70"/>
  <c r="B35" i="79" s="1"/>
  <c r="Z33" i="70"/>
  <c r="Y33" i="70"/>
  <c r="W33" i="70"/>
  <c r="V33" i="70"/>
  <c r="O33" i="70"/>
  <c r="N33" i="70"/>
  <c r="G33" i="70"/>
  <c r="F33" i="70"/>
  <c r="B33" i="70"/>
  <c r="B34" i="79" s="1"/>
  <c r="Z32" i="70"/>
  <c r="Y32" i="70"/>
  <c r="W32" i="70"/>
  <c r="V32" i="70"/>
  <c r="O32" i="70"/>
  <c r="N32" i="70"/>
  <c r="G32" i="70"/>
  <c r="F32" i="70"/>
  <c r="B32" i="70"/>
  <c r="B33" i="79" s="1"/>
  <c r="Z31" i="70"/>
  <c r="Y31" i="70"/>
  <c r="W31" i="70"/>
  <c r="V31" i="70"/>
  <c r="O31" i="70"/>
  <c r="N31" i="70"/>
  <c r="G31" i="70"/>
  <c r="F31" i="70"/>
  <c r="B31" i="70"/>
  <c r="B32" i="79" s="1"/>
  <c r="Z30" i="70"/>
  <c r="Y30" i="70"/>
  <c r="W30" i="70"/>
  <c r="V30" i="70"/>
  <c r="O30" i="70"/>
  <c r="N30" i="70"/>
  <c r="G30" i="70"/>
  <c r="F30" i="70"/>
  <c r="B30" i="70"/>
  <c r="B31" i="79" s="1"/>
  <c r="Z29" i="70"/>
  <c r="Y29" i="70"/>
  <c r="W29" i="70"/>
  <c r="V29" i="70"/>
  <c r="O29" i="70"/>
  <c r="N29" i="70"/>
  <c r="G29" i="70"/>
  <c r="F29" i="70"/>
  <c r="B29" i="70"/>
  <c r="B30" i="79" s="1"/>
  <c r="Z28" i="70"/>
  <c r="Y28" i="70"/>
  <c r="W28" i="70"/>
  <c r="V28" i="70"/>
  <c r="O28" i="70"/>
  <c r="N28" i="70"/>
  <c r="G28" i="70"/>
  <c r="F28" i="70"/>
  <c r="B28" i="70"/>
  <c r="B29" i="79" s="1"/>
  <c r="Z27" i="70"/>
  <c r="Y27" i="70"/>
  <c r="W27" i="70"/>
  <c r="V27" i="70"/>
  <c r="O27" i="70"/>
  <c r="N27" i="70"/>
  <c r="G27" i="70"/>
  <c r="F27" i="70"/>
  <c r="B27" i="70"/>
  <c r="B28" i="79" s="1"/>
  <c r="Z26" i="70"/>
  <c r="Y26" i="70"/>
  <c r="W26" i="70"/>
  <c r="V26" i="70"/>
  <c r="O26" i="70"/>
  <c r="N26" i="70"/>
  <c r="G26" i="70"/>
  <c r="F26" i="70"/>
  <c r="B26" i="70"/>
  <c r="B27" i="79" s="1"/>
  <c r="Z25" i="70"/>
  <c r="Y25" i="70"/>
  <c r="W25" i="70"/>
  <c r="V25" i="70"/>
  <c r="O25" i="70"/>
  <c r="N25" i="70"/>
  <c r="G25" i="70"/>
  <c r="F25" i="70"/>
  <c r="B25" i="70"/>
  <c r="B26" i="79" s="1"/>
  <c r="Z24" i="70"/>
  <c r="Y24" i="70"/>
  <c r="W24" i="70"/>
  <c r="V24" i="70"/>
  <c r="O24" i="70"/>
  <c r="N24" i="70"/>
  <c r="G24" i="70"/>
  <c r="F24" i="70"/>
  <c r="B24" i="70"/>
  <c r="B25" i="79" s="1"/>
  <c r="Z23" i="70"/>
  <c r="Y23" i="70"/>
  <c r="W23" i="70"/>
  <c r="V23" i="70"/>
  <c r="O23" i="70"/>
  <c r="N23" i="70"/>
  <c r="G23" i="70"/>
  <c r="F23" i="70"/>
  <c r="B23" i="70"/>
  <c r="B24" i="79" s="1"/>
  <c r="Z22" i="70"/>
  <c r="Y22" i="70"/>
  <c r="W22" i="70"/>
  <c r="V22" i="70"/>
  <c r="O22" i="70"/>
  <c r="N22" i="70"/>
  <c r="G22" i="70"/>
  <c r="F22" i="70"/>
  <c r="B22" i="70"/>
  <c r="B23" i="79" s="1"/>
  <c r="Z21" i="70"/>
  <c r="Y21" i="70"/>
  <c r="W21" i="70"/>
  <c r="V21" i="70"/>
  <c r="O21" i="70"/>
  <c r="N21" i="70"/>
  <c r="G21" i="70"/>
  <c r="F21" i="70"/>
  <c r="B21" i="70"/>
  <c r="B22" i="79" s="1"/>
  <c r="Z20" i="70"/>
  <c r="Y20" i="70"/>
  <c r="W20" i="70"/>
  <c r="V20" i="70"/>
  <c r="O20" i="70"/>
  <c r="N20" i="70"/>
  <c r="G20" i="70"/>
  <c r="F20" i="70"/>
  <c r="B20" i="70"/>
  <c r="B21" i="79" s="1"/>
  <c r="Z19" i="70"/>
  <c r="Y19" i="70"/>
  <c r="W19" i="70"/>
  <c r="V19" i="70"/>
  <c r="O19" i="70"/>
  <c r="N19" i="70"/>
  <c r="G19" i="70"/>
  <c r="F19" i="70"/>
  <c r="B19" i="70"/>
  <c r="B20" i="79" s="1"/>
  <c r="Z18" i="70"/>
  <c r="Y18" i="70"/>
  <c r="W18" i="70"/>
  <c r="V18" i="70"/>
  <c r="O18" i="70"/>
  <c r="N18" i="70"/>
  <c r="G18" i="70"/>
  <c r="F18" i="70"/>
  <c r="B18" i="70"/>
  <c r="B19" i="79" s="1"/>
  <c r="Z17" i="70"/>
  <c r="Y17" i="70"/>
  <c r="W17" i="70"/>
  <c r="V17" i="70"/>
  <c r="O17" i="70"/>
  <c r="N17" i="70"/>
  <c r="G17" i="70"/>
  <c r="F17" i="70"/>
  <c r="B17" i="70"/>
  <c r="B18" i="79" s="1"/>
  <c r="Z16" i="70"/>
  <c r="Y16" i="70"/>
  <c r="W16" i="70"/>
  <c r="V16" i="70"/>
  <c r="O16" i="70"/>
  <c r="N16" i="70"/>
  <c r="G16" i="70"/>
  <c r="F16" i="70"/>
  <c r="B16" i="70"/>
  <c r="B17" i="79" s="1"/>
  <c r="Z15" i="70"/>
  <c r="Y15" i="70"/>
  <c r="W15" i="70"/>
  <c r="V15" i="70"/>
  <c r="O15" i="70"/>
  <c r="N15" i="70"/>
  <c r="G15" i="70"/>
  <c r="F15" i="70"/>
  <c r="B15" i="70"/>
  <c r="B16" i="79" s="1"/>
  <c r="C6" i="70"/>
  <c r="C5" i="70"/>
  <c r="Z72" i="69"/>
  <c r="Y72" i="69"/>
  <c r="W72" i="69"/>
  <c r="V72" i="69"/>
  <c r="O72" i="69"/>
  <c r="N72" i="69"/>
  <c r="G72" i="69"/>
  <c r="F72" i="69"/>
  <c r="B72" i="69"/>
  <c r="B73" i="78" s="1"/>
  <c r="Z71" i="69"/>
  <c r="Y71" i="69"/>
  <c r="W71" i="69"/>
  <c r="V71" i="69"/>
  <c r="O71" i="69"/>
  <c r="N71" i="69"/>
  <c r="G71" i="69"/>
  <c r="F71" i="69"/>
  <c r="B71" i="69"/>
  <c r="B72" i="78" s="1"/>
  <c r="Z70" i="69"/>
  <c r="Y70" i="69"/>
  <c r="W70" i="69"/>
  <c r="V70" i="69"/>
  <c r="O70" i="69"/>
  <c r="N70" i="69"/>
  <c r="G70" i="69"/>
  <c r="F70" i="69"/>
  <c r="B70" i="69"/>
  <c r="B71" i="78" s="1"/>
  <c r="Z69" i="69"/>
  <c r="Y69" i="69"/>
  <c r="W69" i="69"/>
  <c r="V69" i="69"/>
  <c r="O69" i="69"/>
  <c r="N69" i="69"/>
  <c r="G69" i="69"/>
  <c r="F69" i="69"/>
  <c r="B69" i="69"/>
  <c r="B70" i="78" s="1"/>
  <c r="Z68" i="69"/>
  <c r="Y68" i="69"/>
  <c r="W68" i="69"/>
  <c r="V68" i="69"/>
  <c r="O68" i="69"/>
  <c r="N68" i="69"/>
  <c r="G68" i="69"/>
  <c r="F68" i="69"/>
  <c r="B68" i="69"/>
  <c r="B69" i="78" s="1"/>
  <c r="Z67" i="69"/>
  <c r="Y67" i="69"/>
  <c r="W67" i="69"/>
  <c r="V67" i="69"/>
  <c r="O67" i="69"/>
  <c r="N67" i="69"/>
  <c r="G67" i="69"/>
  <c r="F67" i="69"/>
  <c r="B67" i="69"/>
  <c r="B68" i="78" s="1"/>
  <c r="Z66" i="69"/>
  <c r="Y66" i="69"/>
  <c r="W66" i="69"/>
  <c r="V66" i="69"/>
  <c r="O66" i="69"/>
  <c r="N66" i="69"/>
  <c r="G66" i="69"/>
  <c r="F66" i="69"/>
  <c r="B66" i="69"/>
  <c r="B67" i="78" s="1"/>
  <c r="Z65" i="69"/>
  <c r="Y65" i="69"/>
  <c r="W65" i="69"/>
  <c r="V65" i="69"/>
  <c r="O65" i="69"/>
  <c r="N65" i="69"/>
  <c r="G65" i="69"/>
  <c r="F65" i="69"/>
  <c r="B65" i="69"/>
  <c r="B66" i="78" s="1"/>
  <c r="Z64" i="69"/>
  <c r="Y64" i="69"/>
  <c r="W64" i="69"/>
  <c r="V64" i="69"/>
  <c r="O64" i="69"/>
  <c r="N64" i="69"/>
  <c r="G64" i="69"/>
  <c r="F64" i="69"/>
  <c r="B64" i="69"/>
  <c r="B65" i="78" s="1"/>
  <c r="Z63" i="69"/>
  <c r="Y63" i="69"/>
  <c r="W63" i="69"/>
  <c r="V63" i="69"/>
  <c r="O63" i="69"/>
  <c r="N63" i="69"/>
  <c r="G63" i="69"/>
  <c r="F63" i="69"/>
  <c r="B63" i="69"/>
  <c r="B64" i="78" s="1"/>
  <c r="Z62" i="69"/>
  <c r="Y62" i="69"/>
  <c r="W62" i="69"/>
  <c r="V62" i="69"/>
  <c r="O62" i="69"/>
  <c r="N62" i="69"/>
  <c r="G62" i="69"/>
  <c r="F62" i="69"/>
  <c r="B62" i="69"/>
  <c r="B63" i="78" s="1"/>
  <c r="Z61" i="69"/>
  <c r="Y61" i="69"/>
  <c r="W61" i="69"/>
  <c r="V61" i="69"/>
  <c r="O61" i="69"/>
  <c r="N61" i="69"/>
  <c r="G61" i="69"/>
  <c r="F61" i="69"/>
  <c r="B61" i="69"/>
  <c r="B62" i="78" s="1"/>
  <c r="Z60" i="69"/>
  <c r="Y60" i="69"/>
  <c r="W60" i="69"/>
  <c r="V60" i="69"/>
  <c r="O60" i="69"/>
  <c r="N60" i="69"/>
  <c r="G60" i="69"/>
  <c r="F60" i="69"/>
  <c r="B60" i="69"/>
  <c r="B61" i="78" s="1"/>
  <c r="Z59" i="69"/>
  <c r="Y59" i="69"/>
  <c r="W59" i="69"/>
  <c r="V59" i="69"/>
  <c r="O59" i="69"/>
  <c r="N59" i="69"/>
  <c r="G59" i="69"/>
  <c r="F59" i="69"/>
  <c r="B59" i="69"/>
  <c r="B60" i="78" s="1"/>
  <c r="Z58" i="69"/>
  <c r="Y58" i="69"/>
  <c r="W58" i="69"/>
  <c r="V58" i="69"/>
  <c r="O58" i="69"/>
  <c r="N58" i="69"/>
  <c r="G58" i="69"/>
  <c r="F58" i="69"/>
  <c r="B58" i="69"/>
  <c r="B59" i="78" s="1"/>
  <c r="Z57" i="69"/>
  <c r="Y57" i="69"/>
  <c r="W57" i="69"/>
  <c r="V57" i="69"/>
  <c r="O57" i="69"/>
  <c r="N57" i="69"/>
  <c r="G57" i="69"/>
  <c r="F57" i="69"/>
  <c r="B57" i="69"/>
  <c r="B58" i="78" s="1"/>
  <c r="Z56" i="69"/>
  <c r="Y56" i="69"/>
  <c r="W56" i="69"/>
  <c r="V56" i="69"/>
  <c r="O56" i="69"/>
  <c r="N56" i="69"/>
  <c r="G56" i="69"/>
  <c r="F56" i="69"/>
  <c r="B56" i="69"/>
  <c r="B57" i="78" s="1"/>
  <c r="Z55" i="69"/>
  <c r="Y55" i="69"/>
  <c r="W55" i="69"/>
  <c r="V55" i="69"/>
  <c r="O55" i="69"/>
  <c r="N55" i="69"/>
  <c r="G55" i="69"/>
  <c r="F55" i="69"/>
  <c r="B55" i="69"/>
  <c r="B56" i="78" s="1"/>
  <c r="Z54" i="69"/>
  <c r="Y54" i="69"/>
  <c r="W54" i="69"/>
  <c r="V54" i="69"/>
  <c r="O54" i="69"/>
  <c r="N54" i="69"/>
  <c r="G54" i="69"/>
  <c r="F54" i="69"/>
  <c r="B54" i="69"/>
  <c r="B55" i="78" s="1"/>
  <c r="Z53" i="69"/>
  <c r="Y53" i="69"/>
  <c r="W53" i="69"/>
  <c r="V53" i="69"/>
  <c r="O53" i="69"/>
  <c r="N53" i="69"/>
  <c r="G53" i="69"/>
  <c r="F53" i="69"/>
  <c r="B53" i="69"/>
  <c r="B54" i="78" s="1"/>
  <c r="Z52" i="69"/>
  <c r="Y52" i="69"/>
  <c r="W52" i="69"/>
  <c r="V52" i="69"/>
  <c r="O52" i="69"/>
  <c r="N52" i="69"/>
  <c r="G52" i="69"/>
  <c r="F52" i="69"/>
  <c r="B52" i="69"/>
  <c r="B53" i="78" s="1"/>
  <c r="Z51" i="69"/>
  <c r="Y51" i="69"/>
  <c r="W51" i="69"/>
  <c r="V51" i="69"/>
  <c r="O51" i="69"/>
  <c r="N51" i="69"/>
  <c r="G51" i="69"/>
  <c r="F51" i="69"/>
  <c r="B51" i="69"/>
  <c r="B52" i="78" s="1"/>
  <c r="Z50" i="69"/>
  <c r="Y50" i="69"/>
  <c r="W50" i="69"/>
  <c r="V50" i="69"/>
  <c r="O50" i="69"/>
  <c r="N50" i="69"/>
  <c r="G50" i="69"/>
  <c r="F50" i="69"/>
  <c r="B50" i="69"/>
  <c r="B51" i="78" s="1"/>
  <c r="Z49" i="69"/>
  <c r="Y49" i="69"/>
  <c r="W49" i="69"/>
  <c r="V49" i="69"/>
  <c r="O49" i="69"/>
  <c r="N49" i="69"/>
  <c r="G49" i="69"/>
  <c r="F49" i="69"/>
  <c r="B49" i="69"/>
  <c r="B50" i="78" s="1"/>
  <c r="Z48" i="69"/>
  <c r="Y48" i="69"/>
  <c r="W48" i="69"/>
  <c r="V48" i="69"/>
  <c r="O48" i="69"/>
  <c r="N48" i="69"/>
  <c r="G48" i="69"/>
  <c r="F48" i="69"/>
  <c r="B48" i="69"/>
  <c r="B49" i="78" s="1"/>
  <c r="Z47" i="69"/>
  <c r="Y47" i="69"/>
  <c r="W47" i="69"/>
  <c r="V47" i="69"/>
  <c r="O47" i="69"/>
  <c r="N47" i="69"/>
  <c r="G47" i="69"/>
  <c r="F47" i="69"/>
  <c r="B47" i="69"/>
  <c r="B48" i="78" s="1"/>
  <c r="Z46" i="69"/>
  <c r="Y46" i="69"/>
  <c r="W46" i="69"/>
  <c r="V46" i="69"/>
  <c r="O46" i="69"/>
  <c r="N46" i="69"/>
  <c r="G46" i="69"/>
  <c r="F46" i="69"/>
  <c r="B46" i="69"/>
  <c r="B47" i="78" s="1"/>
  <c r="Z45" i="69"/>
  <c r="Y45" i="69"/>
  <c r="W45" i="69"/>
  <c r="V45" i="69"/>
  <c r="O45" i="69"/>
  <c r="N45" i="69"/>
  <c r="G45" i="69"/>
  <c r="F45" i="69"/>
  <c r="B45" i="69"/>
  <c r="B46" i="78" s="1"/>
  <c r="Z44" i="69"/>
  <c r="Y44" i="69"/>
  <c r="W44" i="69"/>
  <c r="V44" i="69"/>
  <c r="O44" i="69"/>
  <c r="N44" i="69"/>
  <c r="G44" i="69"/>
  <c r="F44" i="69"/>
  <c r="B44" i="69"/>
  <c r="B45" i="78" s="1"/>
  <c r="Z43" i="69"/>
  <c r="Y43" i="69"/>
  <c r="W43" i="69"/>
  <c r="V43" i="69"/>
  <c r="O43" i="69"/>
  <c r="N43" i="69"/>
  <c r="G43" i="69"/>
  <c r="F43" i="69"/>
  <c r="B43" i="69"/>
  <c r="B44" i="78" s="1"/>
  <c r="Z42" i="69"/>
  <c r="Y42" i="69"/>
  <c r="W42" i="69"/>
  <c r="V42" i="69"/>
  <c r="O42" i="69"/>
  <c r="N42" i="69"/>
  <c r="G42" i="69"/>
  <c r="F42" i="69"/>
  <c r="B42" i="69"/>
  <c r="B43" i="78" s="1"/>
  <c r="Z41" i="69"/>
  <c r="Y41" i="69"/>
  <c r="W41" i="69"/>
  <c r="V41" i="69"/>
  <c r="O41" i="69"/>
  <c r="N41" i="69"/>
  <c r="G41" i="69"/>
  <c r="F41" i="69"/>
  <c r="B41" i="69"/>
  <c r="B42" i="78" s="1"/>
  <c r="Z40" i="69"/>
  <c r="Y40" i="69"/>
  <c r="W40" i="69"/>
  <c r="V40" i="69"/>
  <c r="O40" i="69"/>
  <c r="N40" i="69"/>
  <c r="G40" i="69"/>
  <c r="F40" i="69"/>
  <c r="B40" i="69"/>
  <c r="B41" i="78" s="1"/>
  <c r="Z39" i="69"/>
  <c r="Y39" i="69"/>
  <c r="W39" i="69"/>
  <c r="V39" i="69"/>
  <c r="O39" i="69"/>
  <c r="N39" i="69"/>
  <c r="G39" i="69"/>
  <c r="F39" i="69"/>
  <c r="B39" i="69"/>
  <c r="B40" i="78" s="1"/>
  <c r="Z38" i="69"/>
  <c r="Y38" i="69"/>
  <c r="W38" i="69"/>
  <c r="V38" i="69"/>
  <c r="O38" i="69"/>
  <c r="N38" i="69"/>
  <c r="G38" i="69"/>
  <c r="F38" i="69"/>
  <c r="B38" i="69"/>
  <c r="B39" i="78" s="1"/>
  <c r="Z37" i="69"/>
  <c r="Y37" i="69"/>
  <c r="W37" i="69"/>
  <c r="V37" i="69"/>
  <c r="O37" i="69"/>
  <c r="N37" i="69"/>
  <c r="G37" i="69"/>
  <c r="F37" i="69"/>
  <c r="B37" i="69"/>
  <c r="B38" i="78" s="1"/>
  <c r="Z36" i="69"/>
  <c r="Y36" i="69"/>
  <c r="W36" i="69"/>
  <c r="V36" i="69"/>
  <c r="O36" i="69"/>
  <c r="N36" i="69"/>
  <c r="G36" i="69"/>
  <c r="F36" i="69"/>
  <c r="B36" i="69"/>
  <c r="B37" i="78" s="1"/>
  <c r="Z35" i="69"/>
  <c r="Y35" i="69"/>
  <c r="W35" i="69"/>
  <c r="V35" i="69"/>
  <c r="O35" i="69"/>
  <c r="N35" i="69"/>
  <c r="G35" i="69"/>
  <c r="F35" i="69"/>
  <c r="B35" i="69"/>
  <c r="B36" i="78" s="1"/>
  <c r="Z34" i="69"/>
  <c r="Y34" i="69"/>
  <c r="W34" i="69"/>
  <c r="V34" i="69"/>
  <c r="O34" i="69"/>
  <c r="N34" i="69"/>
  <c r="G34" i="69"/>
  <c r="F34" i="69"/>
  <c r="B34" i="69"/>
  <c r="B35" i="78" s="1"/>
  <c r="Z33" i="69"/>
  <c r="Y33" i="69"/>
  <c r="W33" i="69"/>
  <c r="V33" i="69"/>
  <c r="O33" i="69"/>
  <c r="N33" i="69"/>
  <c r="G33" i="69"/>
  <c r="F33" i="69"/>
  <c r="B33" i="69"/>
  <c r="B34" i="78" s="1"/>
  <c r="Z32" i="69"/>
  <c r="Y32" i="69"/>
  <c r="W32" i="69"/>
  <c r="V32" i="69"/>
  <c r="O32" i="69"/>
  <c r="N32" i="69"/>
  <c r="G32" i="69"/>
  <c r="F32" i="69"/>
  <c r="B32" i="69"/>
  <c r="B33" i="78" s="1"/>
  <c r="Z31" i="69"/>
  <c r="Y31" i="69"/>
  <c r="W31" i="69"/>
  <c r="V31" i="69"/>
  <c r="O31" i="69"/>
  <c r="N31" i="69"/>
  <c r="G31" i="69"/>
  <c r="F31" i="69"/>
  <c r="B31" i="69"/>
  <c r="B32" i="78" s="1"/>
  <c r="Z30" i="69"/>
  <c r="Y30" i="69"/>
  <c r="W30" i="69"/>
  <c r="V30" i="69"/>
  <c r="O30" i="69"/>
  <c r="N30" i="69"/>
  <c r="G30" i="69"/>
  <c r="F30" i="69"/>
  <c r="B30" i="69"/>
  <c r="B31" i="78" s="1"/>
  <c r="Z29" i="69"/>
  <c r="Y29" i="69"/>
  <c r="W29" i="69"/>
  <c r="V29" i="69"/>
  <c r="O29" i="69"/>
  <c r="N29" i="69"/>
  <c r="G29" i="69"/>
  <c r="F29" i="69"/>
  <c r="B29" i="69"/>
  <c r="B30" i="78" s="1"/>
  <c r="Z28" i="69"/>
  <c r="Y28" i="69"/>
  <c r="W28" i="69"/>
  <c r="V28" i="69"/>
  <c r="O28" i="69"/>
  <c r="N28" i="69"/>
  <c r="G28" i="69"/>
  <c r="F28" i="69"/>
  <c r="B28" i="69"/>
  <c r="B29" i="78" s="1"/>
  <c r="Z27" i="69"/>
  <c r="Y27" i="69"/>
  <c r="W27" i="69"/>
  <c r="V27" i="69"/>
  <c r="O27" i="69"/>
  <c r="N27" i="69"/>
  <c r="G27" i="69"/>
  <c r="F27" i="69"/>
  <c r="B27" i="69"/>
  <c r="B28" i="78" s="1"/>
  <c r="Z26" i="69"/>
  <c r="Y26" i="69"/>
  <c r="W26" i="69"/>
  <c r="V26" i="69"/>
  <c r="O26" i="69"/>
  <c r="N26" i="69"/>
  <c r="G26" i="69"/>
  <c r="F26" i="69"/>
  <c r="B26" i="69"/>
  <c r="B27" i="78" s="1"/>
  <c r="Z25" i="69"/>
  <c r="Y25" i="69"/>
  <c r="W25" i="69"/>
  <c r="V25" i="69"/>
  <c r="O25" i="69"/>
  <c r="N25" i="69"/>
  <c r="G25" i="69"/>
  <c r="F25" i="69"/>
  <c r="B25" i="69"/>
  <c r="B26" i="78" s="1"/>
  <c r="Z24" i="69"/>
  <c r="Y24" i="69"/>
  <c r="W24" i="69"/>
  <c r="V24" i="69"/>
  <c r="O24" i="69"/>
  <c r="N24" i="69"/>
  <c r="G24" i="69"/>
  <c r="F24" i="69"/>
  <c r="B24" i="69"/>
  <c r="B25" i="78" s="1"/>
  <c r="Z23" i="69"/>
  <c r="Y23" i="69"/>
  <c r="W23" i="69"/>
  <c r="V23" i="69"/>
  <c r="O23" i="69"/>
  <c r="N23" i="69"/>
  <c r="G23" i="69"/>
  <c r="F23" i="69"/>
  <c r="B23" i="69"/>
  <c r="B24" i="78" s="1"/>
  <c r="Z22" i="69"/>
  <c r="Y22" i="69"/>
  <c r="W22" i="69"/>
  <c r="V22" i="69"/>
  <c r="O22" i="69"/>
  <c r="N22" i="69"/>
  <c r="G22" i="69"/>
  <c r="F22" i="69"/>
  <c r="B22" i="69"/>
  <c r="B23" i="78" s="1"/>
  <c r="Z21" i="69"/>
  <c r="Y21" i="69"/>
  <c r="W21" i="69"/>
  <c r="V21" i="69"/>
  <c r="O21" i="69"/>
  <c r="N21" i="69"/>
  <c r="G21" i="69"/>
  <c r="F21" i="69"/>
  <c r="B21" i="69"/>
  <c r="B22" i="78" s="1"/>
  <c r="Z20" i="69"/>
  <c r="Y20" i="69"/>
  <c r="W20" i="69"/>
  <c r="V20" i="69"/>
  <c r="O20" i="69"/>
  <c r="N20" i="69"/>
  <c r="G20" i="69"/>
  <c r="F20" i="69"/>
  <c r="B20" i="69"/>
  <c r="B21" i="78" s="1"/>
  <c r="Z19" i="69"/>
  <c r="Y19" i="69"/>
  <c r="W19" i="69"/>
  <c r="V19" i="69"/>
  <c r="O19" i="69"/>
  <c r="N19" i="69"/>
  <c r="G19" i="69"/>
  <c r="F19" i="69"/>
  <c r="B19" i="69"/>
  <c r="B20" i="78" s="1"/>
  <c r="Z18" i="69"/>
  <c r="Y18" i="69"/>
  <c r="W18" i="69"/>
  <c r="V18" i="69"/>
  <c r="O18" i="69"/>
  <c r="N18" i="69"/>
  <c r="G18" i="69"/>
  <c r="F18" i="69"/>
  <c r="B18" i="69"/>
  <c r="B19" i="78" s="1"/>
  <c r="Z17" i="69"/>
  <c r="Y17" i="69"/>
  <c r="W17" i="69"/>
  <c r="V17" i="69"/>
  <c r="O17" i="69"/>
  <c r="N17" i="69"/>
  <c r="G17" i="69"/>
  <c r="F17" i="69"/>
  <c r="B17" i="69"/>
  <c r="B18" i="78" s="1"/>
  <c r="Z16" i="69"/>
  <c r="Y16" i="69"/>
  <c r="W16" i="69"/>
  <c r="V16" i="69"/>
  <c r="O16" i="69"/>
  <c r="N16" i="69"/>
  <c r="G16" i="69"/>
  <c r="F16" i="69"/>
  <c r="B16" i="69"/>
  <c r="B17" i="78" s="1"/>
  <c r="Z15" i="69"/>
  <c r="Y15" i="69"/>
  <c r="W15" i="69"/>
  <c r="V15" i="69"/>
  <c r="O15" i="69"/>
  <c r="N15" i="69"/>
  <c r="G15" i="69"/>
  <c r="F15" i="69"/>
  <c r="B15" i="69"/>
  <c r="B16" i="78" s="1"/>
  <c r="F8" i="69"/>
  <c r="F9" i="78" s="1"/>
  <c r="C6" i="69"/>
  <c r="C5" i="69"/>
  <c r="Z72" i="68"/>
  <c r="Y72" i="68"/>
  <c r="W72" i="68"/>
  <c r="V72" i="68"/>
  <c r="O72" i="68"/>
  <c r="N72" i="68"/>
  <c r="G72" i="68"/>
  <c r="F72" i="68"/>
  <c r="B72" i="68"/>
  <c r="B73" i="77" s="1"/>
  <c r="Z71" i="68"/>
  <c r="Y71" i="68"/>
  <c r="W71" i="68"/>
  <c r="V71" i="68"/>
  <c r="O71" i="68"/>
  <c r="N71" i="68"/>
  <c r="G71" i="68"/>
  <c r="F71" i="68"/>
  <c r="B71" i="68"/>
  <c r="B72" i="77" s="1"/>
  <c r="Z70" i="68"/>
  <c r="Y70" i="68"/>
  <c r="W70" i="68"/>
  <c r="V70" i="68"/>
  <c r="O70" i="68"/>
  <c r="N70" i="68"/>
  <c r="G70" i="68"/>
  <c r="F70" i="68"/>
  <c r="B70" i="68"/>
  <c r="B71" i="77" s="1"/>
  <c r="Z69" i="68"/>
  <c r="Y69" i="68"/>
  <c r="W69" i="68"/>
  <c r="V69" i="68"/>
  <c r="O69" i="68"/>
  <c r="N69" i="68"/>
  <c r="G69" i="68"/>
  <c r="F69" i="68"/>
  <c r="B69" i="68"/>
  <c r="B70" i="77" s="1"/>
  <c r="Z68" i="68"/>
  <c r="Y68" i="68"/>
  <c r="W68" i="68"/>
  <c r="V68" i="68"/>
  <c r="O68" i="68"/>
  <c r="N68" i="68"/>
  <c r="G68" i="68"/>
  <c r="F68" i="68"/>
  <c r="B68" i="68"/>
  <c r="B69" i="77" s="1"/>
  <c r="Z67" i="68"/>
  <c r="Y67" i="68"/>
  <c r="W67" i="68"/>
  <c r="V67" i="68"/>
  <c r="O67" i="68"/>
  <c r="N67" i="68"/>
  <c r="G67" i="68"/>
  <c r="F67" i="68"/>
  <c r="B67" i="68"/>
  <c r="B68" i="77" s="1"/>
  <c r="Z66" i="68"/>
  <c r="Y66" i="68"/>
  <c r="W66" i="68"/>
  <c r="V66" i="68"/>
  <c r="O66" i="68"/>
  <c r="N66" i="68"/>
  <c r="G66" i="68"/>
  <c r="F66" i="68"/>
  <c r="B66" i="68"/>
  <c r="B67" i="77" s="1"/>
  <c r="Z65" i="68"/>
  <c r="Y65" i="68"/>
  <c r="W65" i="68"/>
  <c r="V65" i="68"/>
  <c r="O65" i="68"/>
  <c r="N65" i="68"/>
  <c r="G65" i="68"/>
  <c r="F65" i="68"/>
  <c r="B65" i="68"/>
  <c r="B66" i="77" s="1"/>
  <c r="Z64" i="68"/>
  <c r="Y64" i="68"/>
  <c r="W64" i="68"/>
  <c r="V64" i="68"/>
  <c r="O64" i="68"/>
  <c r="N64" i="68"/>
  <c r="G64" i="68"/>
  <c r="F64" i="68"/>
  <c r="B64" i="68"/>
  <c r="B65" i="77" s="1"/>
  <c r="Z63" i="68"/>
  <c r="Y63" i="68"/>
  <c r="W63" i="68"/>
  <c r="V63" i="68"/>
  <c r="O63" i="68"/>
  <c r="N63" i="68"/>
  <c r="G63" i="68"/>
  <c r="F63" i="68"/>
  <c r="B63" i="68"/>
  <c r="B64" i="77" s="1"/>
  <c r="Z62" i="68"/>
  <c r="Y62" i="68"/>
  <c r="W62" i="68"/>
  <c r="V62" i="68"/>
  <c r="O62" i="68"/>
  <c r="N62" i="68"/>
  <c r="G62" i="68"/>
  <c r="F62" i="68"/>
  <c r="B62" i="68"/>
  <c r="B63" i="77" s="1"/>
  <c r="Z61" i="68"/>
  <c r="Y61" i="68"/>
  <c r="W61" i="68"/>
  <c r="V61" i="68"/>
  <c r="O61" i="68"/>
  <c r="N61" i="68"/>
  <c r="G61" i="68"/>
  <c r="F61" i="68"/>
  <c r="B61" i="68"/>
  <c r="B62" i="77" s="1"/>
  <c r="Z60" i="68"/>
  <c r="Y60" i="68"/>
  <c r="W60" i="68"/>
  <c r="V60" i="68"/>
  <c r="O60" i="68"/>
  <c r="N60" i="68"/>
  <c r="G60" i="68"/>
  <c r="F60" i="68"/>
  <c r="B60" i="68"/>
  <c r="B61" i="77" s="1"/>
  <c r="Z59" i="68"/>
  <c r="Y59" i="68"/>
  <c r="W59" i="68"/>
  <c r="V59" i="68"/>
  <c r="O59" i="68"/>
  <c r="N59" i="68"/>
  <c r="G59" i="68"/>
  <c r="F59" i="68"/>
  <c r="B59" i="68"/>
  <c r="B60" i="77" s="1"/>
  <c r="Z58" i="68"/>
  <c r="Y58" i="68"/>
  <c r="W58" i="68"/>
  <c r="V58" i="68"/>
  <c r="O58" i="68"/>
  <c r="N58" i="68"/>
  <c r="G58" i="68"/>
  <c r="F58" i="68"/>
  <c r="B58" i="68"/>
  <c r="B59" i="77" s="1"/>
  <c r="Z57" i="68"/>
  <c r="Y57" i="68"/>
  <c r="W57" i="68"/>
  <c r="V57" i="68"/>
  <c r="O57" i="68"/>
  <c r="N57" i="68"/>
  <c r="G57" i="68"/>
  <c r="F57" i="68"/>
  <c r="B57" i="68"/>
  <c r="B58" i="77" s="1"/>
  <c r="Z56" i="68"/>
  <c r="Y56" i="68"/>
  <c r="W56" i="68"/>
  <c r="V56" i="68"/>
  <c r="O56" i="68"/>
  <c r="N56" i="68"/>
  <c r="G56" i="68"/>
  <c r="F56" i="68"/>
  <c r="B56" i="68"/>
  <c r="B57" i="77" s="1"/>
  <c r="Z55" i="68"/>
  <c r="Y55" i="68"/>
  <c r="W55" i="68"/>
  <c r="V55" i="68"/>
  <c r="O55" i="68"/>
  <c r="N55" i="68"/>
  <c r="G55" i="68"/>
  <c r="F55" i="68"/>
  <c r="B55" i="68"/>
  <c r="B56" i="77" s="1"/>
  <c r="Z54" i="68"/>
  <c r="Y54" i="68"/>
  <c r="W54" i="68"/>
  <c r="V54" i="68"/>
  <c r="O54" i="68"/>
  <c r="N54" i="68"/>
  <c r="G54" i="68"/>
  <c r="F54" i="68"/>
  <c r="B54" i="68"/>
  <c r="B55" i="77" s="1"/>
  <c r="Z53" i="68"/>
  <c r="Y53" i="68"/>
  <c r="W53" i="68"/>
  <c r="V53" i="68"/>
  <c r="O53" i="68"/>
  <c r="N53" i="68"/>
  <c r="G53" i="68"/>
  <c r="F53" i="68"/>
  <c r="B53" i="68"/>
  <c r="B54" i="77" s="1"/>
  <c r="Z52" i="68"/>
  <c r="Y52" i="68"/>
  <c r="W52" i="68"/>
  <c r="V52" i="68"/>
  <c r="O52" i="68"/>
  <c r="N52" i="68"/>
  <c r="G52" i="68"/>
  <c r="F52" i="68"/>
  <c r="B52" i="68"/>
  <c r="B53" i="77" s="1"/>
  <c r="Z51" i="68"/>
  <c r="Y51" i="68"/>
  <c r="W51" i="68"/>
  <c r="V51" i="68"/>
  <c r="O51" i="68"/>
  <c r="N51" i="68"/>
  <c r="G51" i="68"/>
  <c r="F51" i="68"/>
  <c r="B51" i="68"/>
  <c r="B52" i="77" s="1"/>
  <c r="Z50" i="68"/>
  <c r="Y50" i="68"/>
  <c r="W50" i="68"/>
  <c r="V50" i="68"/>
  <c r="O50" i="68"/>
  <c r="N50" i="68"/>
  <c r="G50" i="68"/>
  <c r="F50" i="68"/>
  <c r="B50" i="68"/>
  <c r="B51" i="77" s="1"/>
  <c r="Z49" i="68"/>
  <c r="Y49" i="68"/>
  <c r="W49" i="68"/>
  <c r="V49" i="68"/>
  <c r="O49" i="68"/>
  <c r="N49" i="68"/>
  <c r="G49" i="68"/>
  <c r="F49" i="68"/>
  <c r="B49" i="68"/>
  <c r="B50" i="77" s="1"/>
  <c r="Z48" i="68"/>
  <c r="Y48" i="68"/>
  <c r="W48" i="68"/>
  <c r="V48" i="68"/>
  <c r="O48" i="68"/>
  <c r="N48" i="68"/>
  <c r="G48" i="68"/>
  <c r="F48" i="68"/>
  <c r="B48" i="68"/>
  <c r="B49" i="77" s="1"/>
  <c r="Z47" i="68"/>
  <c r="Y47" i="68"/>
  <c r="W47" i="68"/>
  <c r="V47" i="68"/>
  <c r="O47" i="68"/>
  <c r="N47" i="68"/>
  <c r="G47" i="68"/>
  <c r="F47" i="68"/>
  <c r="B47" i="68"/>
  <c r="B48" i="77" s="1"/>
  <c r="Z46" i="68"/>
  <c r="Y46" i="68"/>
  <c r="W46" i="68"/>
  <c r="V46" i="68"/>
  <c r="O46" i="68"/>
  <c r="N46" i="68"/>
  <c r="G46" i="68"/>
  <c r="F46" i="68"/>
  <c r="B46" i="68"/>
  <c r="B47" i="77" s="1"/>
  <c r="Z45" i="68"/>
  <c r="Y45" i="68"/>
  <c r="W45" i="68"/>
  <c r="V45" i="68"/>
  <c r="O45" i="68"/>
  <c r="N45" i="68"/>
  <c r="G45" i="68"/>
  <c r="F45" i="68"/>
  <c r="B45" i="68"/>
  <c r="B46" i="77" s="1"/>
  <c r="Z44" i="68"/>
  <c r="Y44" i="68"/>
  <c r="W44" i="68"/>
  <c r="V44" i="68"/>
  <c r="O44" i="68"/>
  <c r="N44" i="68"/>
  <c r="G44" i="68"/>
  <c r="F44" i="68"/>
  <c r="B44" i="68"/>
  <c r="B45" i="77" s="1"/>
  <c r="Z43" i="68"/>
  <c r="Y43" i="68"/>
  <c r="W43" i="68"/>
  <c r="V43" i="68"/>
  <c r="O43" i="68"/>
  <c r="N43" i="68"/>
  <c r="G43" i="68"/>
  <c r="F43" i="68"/>
  <c r="B43" i="68"/>
  <c r="B44" i="77" s="1"/>
  <c r="Z42" i="68"/>
  <c r="Y42" i="68"/>
  <c r="W42" i="68"/>
  <c r="V42" i="68"/>
  <c r="O42" i="68"/>
  <c r="N42" i="68"/>
  <c r="G42" i="68"/>
  <c r="F42" i="68"/>
  <c r="B42" i="68"/>
  <c r="B43" i="77" s="1"/>
  <c r="Z41" i="68"/>
  <c r="Y41" i="68"/>
  <c r="W41" i="68"/>
  <c r="V41" i="68"/>
  <c r="O41" i="68"/>
  <c r="N41" i="68"/>
  <c r="G41" i="68"/>
  <c r="F41" i="68"/>
  <c r="B41" i="68"/>
  <c r="B42" i="77" s="1"/>
  <c r="Z40" i="68"/>
  <c r="Y40" i="68"/>
  <c r="W40" i="68"/>
  <c r="V40" i="68"/>
  <c r="O40" i="68"/>
  <c r="N40" i="68"/>
  <c r="G40" i="68"/>
  <c r="F40" i="68"/>
  <c r="B40" i="68"/>
  <c r="B41" i="77" s="1"/>
  <c r="Z39" i="68"/>
  <c r="Y39" i="68"/>
  <c r="W39" i="68"/>
  <c r="V39" i="68"/>
  <c r="O39" i="68"/>
  <c r="N39" i="68"/>
  <c r="G39" i="68"/>
  <c r="F39" i="68"/>
  <c r="B39" i="68"/>
  <c r="B40" i="77" s="1"/>
  <c r="Z38" i="68"/>
  <c r="Y38" i="68"/>
  <c r="W38" i="68"/>
  <c r="V38" i="68"/>
  <c r="O38" i="68"/>
  <c r="N38" i="68"/>
  <c r="G38" i="68"/>
  <c r="F38" i="68"/>
  <c r="B38" i="68"/>
  <c r="B39" i="77" s="1"/>
  <c r="Z37" i="68"/>
  <c r="Y37" i="68"/>
  <c r="W37" i="68"/>
  <c r="V37" i="68"/>
  <c r="O37" i="68"/>
  <c r="N37" i="68"/>
  <c r="G37" i="68"/>
  <c r="F37" i="68"/>
  <c r="B37" i="68"/>
  <c r="B38" i="77" s="1"/>
  <c r="Z36" i="68"/>
  <c r="Y36" i="68"/>
  <c r="W36" i="68"/>
  <c r="V36" i="68"/>
  <c r="O36" i="68"/>
  <c r="N36" i="68"/>
  <c r="G36" i="68"/>
  <c r="F36" i="68"/>
  <c r="B36" i="68"/>
  <c r="B37" i="77" s="1"/>
  <c r="Z35" i="68"/>
  <c r="Y35" i="68"/>
  <c r="W35" i="68"/>
  <c r="V35" i="68"/>
  <c r="O35" i="68"/>
  <c r="N35" i="68"/>
  <c r="G35" i="68"/>
  <c r="F35" i="68"/>
  <c r="B35" i="68"/>
  <c r="B36" i="77" s="1"/>
  <c r="Z34" i="68"/>
  <c r="Y34" i="68"/>
  <c r="W34" i="68"/>
  <c r="V34" i="68"/>
  <c r="O34" i="68"/>
  <c r="N34" i="68"/>
  <c r="G34" i="68"/>
  <c r="F34" i="68"/>
  <c r="B34" i="68"/>
  <c r="B35" i="77" s="1"/>
  <c r="Z33" i="68"/>
  <c r="Y33" i="68"/>
  <c r="W33" i="68"/>
  <c r="V33" i="68"/>
  <c r="O33" i="68"/>
  <c r="N33" i="68"/>
  <c r="G33" i="68"/>
  <c r="F33" i="68"/>
  <c r="B33" i="68"/>
  <c r="B34" i="77" s="1"/>
  <c r="Z32" i="68"/>
  <c r="Y32" i="68"/>
  <c r="W32" i="68"/>
  <c r="V32" i="68"/>
  <c r="O32" i="68"/>
  <c r="N32" i="68"/>
  <c r="G32" i="68"/>
  <c r="F32" i="68"/>
  <c r="B32" i="68"/>
  <c r="B33" i="77" s="1"/>
  <c r="Z31" i="68"/>
  <c r="Y31" i="68"/>
  <c r="W31" i="68"/>
  <c r="V31" i="68"/>
  <c r="O31" i="68"/>
  <c r="N31" i="68"/>
  <c r="G31" i="68"/>
  <c r="F31" i="68"/>
  <c r="B31" i="68"/>
  <c r="B32" i="77" s="1"/>
  <c r="Z30" i="68"/>
  <c r="Y30" i="68"/>
  <c r="W30" i="68"/>
  <c r="V30" i="68"/>
  <c r="O30" i="68"/>
  <c r="N30" i="68"/>
  <c r="G30" i="68"/>
  <c r="F30" i="68"/>
  <c r="B30" i="68"/>
  <c r="B31" i="77" s="1"/>
  <c r="Z29" i="68"/>
  <c r="Y29" i="68"/>
  <c r="W29" i="68"/>
  <c r="V29" i="68"/>
  <c r="O29" i="68"/>
  <c r="N29" i="68"/>
  <c r="G29" i="68"/>
  <c r="F29" i="68"/>
  <c r="B29" i="68"/>
  <c r="B30" i="77" s="1"/>
  <c r="Z28" i="68"/>
  <c r="Y28" i="68"/>
  <c r="W28" i="68"/>
  <c r="V28" i="68"/>
  <c r="O28" i="68"/>
  <c r="N28" i="68"/>
  <c r="G28" i="68"/>
  <c r="F28" i="68"/>
  <c r="B28" i="68"/>
  <c r="B29" i="77" s="1"/>
  <c r="Z27" i="68"/>
  <c r="Y27" i="68"/>
  <c r="W27" i="68"/>
  <c r="V27" i="68"/>
  <c r="O27" i="68"/>
  <c r="N27" i="68"/>
  <c r="G27" i="68"/>
  <c r="F27" i="68"/>
  <c r="B27" i="68"/>
  <c r="B28" i="77" s="1"/>
  <c r="Z26" i="68"/>
  <c r="Y26" i="68"/>
  <c r="W26" i="68"/>
  <c r="V26" i="68"/>
  <c r="O26" i="68"/>
  <c r="N26" i="68"/>
  <c r="G26" i="68"/>
  <c r="F26" i="68"/>
  <c r="B26" i="68"/>
  <c r="B27" i="77" s="1"/>
  <c r="Z25" i="68"/>
  <c r="Y25" i="68"/>
  <c r="W25" i="68"/>
  <c r="V25" i="68"/>
  <c r="O25" i="68"/>
  <c r="N25" i="68"/>
  <c r="G25" i="68"/>
  <c r="F25" i="68"/>
  <c r="B25" i="68"/>
  <c r="B26" i="77" s="1"/>
  <c r="Z24" i="68"/>
  <c r="Y24" i="68"/>
  <c r="W24" i="68"/>
  <c r="V24" i="68"/>
  <c r="O24" i="68"/>
  <c r="N24" i="68"/>
  <c r="G24" i="68"/>
  <c r="F24" i="68"/>
  <c r="B24" i="68"/>
  <c r="B25" i="77" s="1"/>
  <c r="Z23" i="68"/>
  <c r="Y23" i="68"/>
  <c r="W23" i="68"/>
  <c r="V23" i="68"/>
  <c r="O23" i="68"/>
  <c r="N23" i="68"/>
  <c r="G23" i="68"/>
  <c r="F23" i="68"/>
  <c r="B23" i="68"/>
  <c r="B24" i="77" s="1"/>
  <c r="Z22" i="68"/>
  <c r="Y22" i="68"/>
  <c r="W22" i="68"/>
  <c r="V22" i="68"/>
  <c r="O22" i="68"/>
  <c r="N22" i="68"/>
  <c r="G22" i="68"/>
  <c r="F22" i="68"/>
  <c r="B22" i="68"/>
  <c r="B23" i="77" s="1"/>
  <c r="Z21" i="68"/>
  <c r="Y21" i="68"/>
  <c r="W21" i="68"/>
  <c r="V21" i="68"/>
  <c r="O21" i="68"/>
  <c r="N21" i="68"/>
  <c r="G21" i="68"/>
  <c r="F21" i="68"/>
  <c r="B21" i="68"/>
  <c r="B22" i="77" s="1"/>
  <c r="Z20" i="68"/>
  <c r="Y20" i="68"/>
  <c r="W20" i="68"/>
  <c r="V20" i="68"/>
  <c r="O20" i="68"/>
  <c r="N20" i="68"/>
  <c r="G20" i="68"/>
  <c r="F20" i="68"/>
  <c r="B20" i="68"/>
  <c r="B21" i="77" s="1"/>
  <c r="Z19" i="68"/>
  <c r="Y19" i="68"/>
  <c r="W19" i="68"/>
  <c r="V19" i="68"/>
  <c r="O19" i="68"/>
  <c r="N19" i="68"/>
  <c r="G19" i="68"/>
  <c r="F19" i="68"/>
  <c r="B19" i="68"/>
  <c r="B20" i="77" s="1"/>
  <c r="Z18" i="68"/>
  <c r="Y18" i="68"/>
  <c r="W18" i="68"/>
  <c r="V18" i="68"/>
  <c r="O18" i="68"/>
  <c r="N18" i="68"/>
  <c r="G18" i="68"/>
  <c r="F18" i="68"/>
  <c r="B18" i="68"/>
  <c r="B19" i="77" s="1"/>
  <c r="Z17" i="68"/>
  <c r="Y17" i="68"/>
  <c r="W17" i="68"/>
  <c r="V17" i="68"/>
  <c r="O17" i="68"/>
  <c r="N17" i="68"/>
  <c r="G17" i="68"/>
  <c r="F17" i="68"/>
  <c r="B17" i="68"/>
  <c r="B18" i="77" s="1"/>
  <c r="Z16" i="68"/>
  <c r="Y16" i="68"/>
  <c r="W16" i="68"/>
  <c r="V16" i="68"/>
  <c r="O16" i="68"/>
  <c r="N16" i="68"/>
  <c r="G16" i="68"/>
  <c r="F16" i="68"/>
  <c r="B16" i="68"/>
  <c r="B17" i="77" s="1"/>
  <c r="Z15" i="68"/>
  <c r="Y15" i="68"/>
  <c r="W15" i="68"/>
  <c r="V15" i="68"/>
  <c r="O15" i="68"/>
  <c r="N15" i="68"/>
  <c r="G15" i="68"/>
  <c r="F15" i="68"/>
  <c r="B15" i="68"/>
  <c r="B16" i="77" s="1"/>
  <c r="F8" i="68"/>
  <c r="F9" i="77" s="1"/>
  <c r="C6" i="68"/>
  <c r="C5" i="68"/>
  <c r="Z72" i="67"/>
  <c r="Y72" i="67"/>
  <c r="W72" i="67"/>
  <c r="V72" i="67"/>
  <c r="O72" i="67"/>
  <c r="N72" i="67"/>
  <c r="G72" i="67"/>
  <c r="F72" i="67"/>
  <c r="B72" i="67"/>
  <c r="B73" i="76" s="1"/>
  <c r="Z71" i="67"/>
  <c r="Y71" i="67"/>
  <c r="W71" i="67"/>
  <c r="V71" i="67"/>
  <c r="O71" i="67"/>
  <c r="N71" i="67"/>
  <c r="G71" i="67"/>
  <c r="F71" i="67"/>
  <c r="B71" i="67"/>
  <c r="B72" i="76" s="1"/>
  <c r="Z70" i="67"/>
  <c r="Y70" i="67"/>
  <c r="W70" i="67"/>
  <c r="V70" i="67"/>
  <c r="O70" i="67"/>
  <c r="N70" i="67"/>
  <c r="G70" i="67"/>
  <c r="F70" i="67"/>
  <c r="B70" i="67"/>
  <c r="B71" i="76" s="1"/>
  <c r="Z69" i="67"/>
  <c r="Y69" i="67"/>
  <c r="W69" i="67"/>
  <c r="V69" i="67"/>
  <c r="O69" i="67"/>
  <c r="N69" i="67"/>
  <c r="G69" i="67"/>
  <c r="F69" i="67"/>
  <c r="B69" i="67"/>
  <c r="B70" i="76" s="1"/>
  <c r="Z68" i="67"/>
  <c r="Y68" i="67"/>
  <c r="W68" i="67"/>
  <c r="V68" i="67"/>
  <c r="O68" i="67"/>
  <c r="N68" i="67"/>
  <c r="G68" i="67"/>
  <c r="F68" i="67"/>
  <c r="B68" i="67"/>
  <c r="B69" i="76" s="1"/>
  <c r="Z67" i="67"/>
  <c r="Y67" i="67"/>
  <c r="W67" i="67"/>
  <c r="V67" i="67"/>
  <c r="O67" i="67"/>
  <c r="N67" i="67"/>
  <c r="G67" i="67"/>
  <c r="F67" i="67"/>
  <c r="B67" i="67"/>
  <c r="B68" i="76" s="1"/>
  <c r="Z66" i="67"/>
  <c r="Y66" i="67"/>
  <c r="W66" i="67"/>
  <c r="V66" i="67"/>
  <c r="O66" i="67"/>
  <c r="N66" i="67"/>
  <c r="G66" i="67"/>
  <c r="F66" i="67"/>
  <c r="B66" i="67"/>
  <c r="B67" i="76" s="1"/>
  <c r="Z65" i="67"/>
  <c r="Y65" i="67"/>
  <c r="W65" i="67"/>
  <c r="V65" i="67"/>
  <c r="O65" i="67"/>
  <c r="N65" i="67"/>
  <c r="G65" i="67"/>
  <c r="F65" i="67"/>
  <c r="B65" i="67"/>
  <c r="B66" i="76" s="1"/>
  <c r="Z64" i="67"/>
  <c r="Y64" i="67"/>
  <c r="W64" i="67"/>
  <c r="V64" i="67"/>
  <c r="O64" i="67"/>
  <c r="N64" i="67"/>
  <c r="G64" i="67"/>
  <c r="F64" i="67"/>
  <c r="B64" i="67"/>
  <c r="B65" i="76" s="1"/>
  <c r="Z63" i="67"/>
  <c r="Y63" i="67"/>
  <c r="W63" i="67"/>
  <c r="V63" i="67"/>
  <c r="O63" i="67"/>
  <c r="N63" i="67"/>
  <c r="G63" i="67"/>
  <c r="F63" i="67"/>
  <c r="B63" i="67"/>
  <c r="B64" i="76" s="1"/>
  <c r="Z62" i="67"/>
  <c r="Y62" i="67"/>
  <c r="W62" i="67"/>
  <c r="V62" i="67"/>
  <c r="O62" i="67"/>
  <c r="N62" i="67"/>
  <c r="G62" i="67"/>
  <c r="F62" i="67"/>
  <c r="B62" i="67"/>
  <c r="B63" i="76" s="1"/>
  <c r="Z61" i="67"/>
  <c r="Y61" i="67"/>
  <c r="W61" i="67"/>
  <c r="V61" i="67"/>
  <c r="O61" i="67"/>
  <c r="N61" i="67"/>
  <c r="G61" i="67"/>
  <c r="F61" i="67"/>
  <c r="B61" i="67"/>
  <c r="B62" i="76" s="1"/>
  <c r="Z60" i="67"/>
  <c r="Y60" i="67"/>
  <c r="W60" i="67"/>
  <c r="V60" i="67"/>
  <c r="O60" i="67"/>
  <c r="N60" i="67"/>
  <c r="G60" i="67"/>
  <c r="F60" i="67"/>
  <c r="B60" i="67"/>
  <c r="B61" i="76" s="1"/>
  <c r="Z59" i="67"/>
  <c r="Y59" i="67"/>
  <c r="W59" i="67"/>
  <c r="V59" i="67"/>
  <c r="O59" i="67"/>
  <c r="N59" i="67"/>
  <c r="G59" i="67"/>
  <c r="F59" i="67"/>
  <c r="B59" i="67"/>
  <c r="B60" i="76" s="1"/>
  <c r="Z58" i="67"/>
  <c r="Y58" i="67"/>
  <c r="W58" i="67"/>
  <c r="V58" i="67"/>
  <c r="O58" i="67"/>
  <c r="N58" i="67"/>
  <c r="G58" i="67"/>
  <c r="F58" i="67"/>
  <c r="B58" i="67"/>
  <c r="B59" i="76" s="1"/>
  <c r="Z57" i="67"/>
  <c r="Y57" i="67"/>
  <c r="W57" i="67"/>
  <c r="V57" i="67"/>
  <c r="O57" i="67"/>
  <c r="N57" i="67"/>
  <c r="G57" i="67"/>
  <c r="F57" i="67"/>
  <c r="B57" i="67"/>
  <c r="B58" i="76" s="1"/>
  <c r="Z56" i="67"/>
  <c r="Y56" i="67"/>
  <c r="W56" i="67"/>
  <c r="V56" i="67"/>
  <c r="O56" i="67"/>
  <c r="N56" i="67"/>
  <c r="G56" i="67"/>
  <c r="F56" i="67"/>
  <c r="B56" i="67"/>
  <c r="B57" i="76" s="1"/>
  <c r="Z55" i="67"/>
  <c r="Y55" i="67"/>
  <c r="W55" i="67"/>
  <c r="V55" i="67"/>
  <c r="O55" i="67"/>
  <c r="N55" i="67"/>
  <c r="G55" i="67"/>
  <c r="F55" i="67"/>
  <c r="B55" i="67"/>
  <c r="B56" i="76" s="1"/>
  <c r="Z54" i="67"/>
  <c r="Y54" i="67"/>
  <c r="W54" i="67"/>
  <c r="V54" i="67"/>
  <c r="O54" i="67"/>
  <c r="N54" i="67"/>
  <c r="G54" i="67"/>
  <c r="F54" i="67"/>
  <c r="B54" i="67"/>
  <c r="B55" i="76" s="1"/>
  <c r="Z53" i="67"/>
  <c r="Y53" i="67"/>
  <c r="W53" i="67"/>
  <c r="V53" i="67"/>
  <c r="O53" i="67"/>
  <c r="N53" i="67"/>
  <c r="G53" i="67"/>
  <c r="F53" i="67"/>
  <c r="B53" i="67"/>
  <c r="B54" i="76" s="1"/>
  <c r="Z52" i="67"/>
  <c r="Y52" i="67"/>
  <c r="W52" i="67"/>
  <c r="V52" i="67"/>
  <c r="O52" i="67"/>
  <c r="N52" i="67"/>
  <c r="G52" i="67"/>
  <c r="F52" i="67"/>
  <c r="B52" i="67"/>
  <c r="B53" i="76" s="1"/>
  <c r="Z51" i="67"/>
  <c r="Y51" i="67"/>
  <c r="W51" i="67"/>
  <c r="V51" i="67"/>
  <c r="O51" i="67"/>
  <c r="N51" i="67"/>
  <c r="G51" i="67"/>
  <c r="F51" i="67"/>
  <c r="B51" i="67"/>
  <c r="B52" i="76" s="1"/>
  <c r="Z50" i="67"/>
  <c r="Y50" i="67"/>
  <c r="W50" i="67"/>
  <c r="V50" i="67"/>
  <c r="O50" i="67"/>
  <c r="N50" i="67"/>
  <c r="G50" i="67"/>
  <c r="F50" i="67"/>
  <c r="B50" i="67"/>
  <c r="B51" i="76" s="1"/>
  <c r="Z49" i="67"/>
  <c r="Y49" i="67"/>
  <c r="W49" i="67"/>
  <c r="V49" i="67"/>
  <c r="O49" i="67"/>
  <c r="N49" i="67"/>
  <c r="G49" i="67"/>
  <c r="F49" i="67"/>
  <c r="B49" i="67"/>
  <c r="B50" i="76" s="1"/>
  <c r="Z48" i="67"/>
  <c r="Y48" i="67"/>
  <c r="W48" i="67"/>
  <c r="V48" i="67"/>
  <c r="O48" i="67"/>
  <c r="N48" i="67"/>
  <c r="G48" i="67"/>
  <c r="F48" i="67"/>
  <c r="B48" i="67"/>
  <c r="B49" i="76" s="1"/>
  <c r="Z47" i="67"/>
  <c r="Y47" i="67"/>
  <c r="W47" i="67"/>
  <c r="V47" i="67"/>
  <c r="O47" i="67"/>
  <c r="N47" i="67"/>
  <c r="G47" i="67"/>
  <c r="F47" i="67"/>
  <c r="B47" i="67"/>
  <c r="B48" i="76" s="1"/>
  <c r="Z46" i="67"/>
  <c r="Y46" i="67"/>
  <c r="W46" i="67"/>
  <c r="V46" i="67"/>
  <c r="O46" i="67"/>
  <c r="N46" i="67"/>
  <c r="G46" i="67"/>
  <c r="F46" i="67"/>
  <c r="B46" i="67"/>
  <c r="B47" i="76" s="1"/>
  <c r="Z45" i="67"/>
  <c r="Y45" i="67"/>
  <c r="W45" i="67"/>
  <c r="V45" i="67"/>
  <c r="O45" i="67"/>
  <c r="N45" i="67"/>
  <c r="G45" i="67"/>
  <c r="F45" i="67"/>
  <c r="B45" i="67"/>
  <c r="B46" i="76" s="1"/>
  <c r="Z44" i="67"/>
  <c r="Y44" i="67"/>
  <c r="W44" i="67"/>
  <c r="V44" i="67"/>
  <c r="O44" i="67"/>
  <c r="N44" i="67"/>
  <c r="G44" i="67"/>
  <c r="F44" i="67"/>
  <c r="B44" i="67"/>
  <c r="B45" i="76" s="1"/>
  <c r="Z43" i="67"/>
  <c r="Y43" i="67"/>
  <c r="W43" i="67"/>
  <c r="V43" i="67"/>
  <c r="O43" i="67"/>
  <c r="N43" i="67"/>
  <c r="G43" i="67"/>
  <c r="F43" i="67"/>
  <c r="B43" i="67"/>
  <c r="B44" i="76" s="1"/>
  <c r="Z42" i="67"/>
  <c r="Y42" i="67"/>
  <c r="W42" i="67"/>
  <c r="V42" i="67"/>
  <c r="O42" i="67"/>
  <c r="N42" i="67"/>
  <c r="G42" i="67"/>
  <c r="F42" i="67"/>
  <c r="B42" i="67"/>
  <c r="B43" i="76" s="1"/>
  <c r="Z41" i="67"/>
  <c r="Y41" i="67"/>
  <c r="W41" i="67"/>
  <c r="V41" i="67"/>
  <c r="O41" i="67"/>
  <c r="N41" i="67"/>
  <c r="G41" i="67"/>
  <c r="F41" i="67"/>
  <c r="B41" i="67"/>
  <c r="B42" i="76" s="1"/>
  <c r="Z40" i="67"/>
  <c r="Y40" i="67"/>
  <c r="W40" i="67"/>
  <c r="V40" i="67"/>
  <c r="O40" i="67"/>
  <c r="N40" i="67"/>
  <c r="G40" i="67"/>
  <c r="F40" i="67"/>
  <c r="B40" i="67"/>
  <c r="B41" i="76" s="1"/>
  <c r="Z39" i="67"/>
  <c r="Y39" i="67"/>
  <c r="W39" i="67"/>
  <c r="V39" i="67"/>
  <c r="O39" i="67"/>
  <c r="N39" i="67"/>
  <c r="G39" i="67"/>
  <c r="F39" i="67"/>
  <c r="B39" i="67"/>
  <c r="B40" i="76" s="1"/>
  <c r="Z38" i="67"/>
  <c r="Y38" i="67"/>
  <c r="W38" i="67"/>
  <c r="V38" i="67"/>
  <c r="O38" i="67"/>
  <c r="N38" i="67"/>
  <c r="G38" i="67"/>
  <c r="F38" i="67"/>
  <c r="B38" i="67"/>
  <c r="B39" i="76" s="1"/>
  <c r="Z37" i="67"/>
  <c r="Y37" i="67"/>
  <c r="W37" i="67"/>
  <c r="V37" i="67"/>
  <c r="O37" i="67"/>
  <c r="N37" i="67"/>
  <c r="G37" i="67"/>
  <c r="F37" i="67"/>
  <c r="B37" i="67"/>
  <c r="B38" i="76" s="1"/>
  <c r="Z36" i="67"/>
  <c r="Y36" i="67"/>
  <c r="W36" i="67"/>
  <c r="V36" i="67"/>
  <c r="O36" i="67"/>
  <c r="N36" i="67"/>
  <c r="G36" i="67"/>
  <c r="F36" i="67"/>
  <c r="B36" i="67"/>
  <c r="B37" i="76" s="1"/>
  <c r="Z35" i="67"/>
  <c r="Y35" i="67"/>
  <c r="W35" i="67"/>
  <c r="V35" i="67"/>
  <c r="O35" i="67"/>
  <c r="N35" i="67"/>
  <c r="G35" i="67"/>
  <c r="F35" i="67"/>
  <c r="B35" i="67"/>
  <c r="B36" i="76" s="1"/>
  <c r="Z34" i="67"/>
  <c r="Y34" i="67"/>
  <c r="W34" i="67"/>
  <c r="V34" i="67"/>
  <c r="O34" i="67"/>
  <c r="N34" i="67"/>
  <c r="G34" i="67"/>
  <c r="F34" i="67"/>
  <c r="B34" i="67"/>
  <c r="B35" i="76" s="1"/>
  <c r="Z33" i="67"/>
  <c r="Y33" i="67"/>
  <c r="W33" i="67"/>
  <c r="V33" i="67"/>
  <c r="O33" i="67"/>
  <c r="N33" i="67"/>
  <c r="G33" i="67"/>
  <c r="F33" i="67"/>
  <c r="B33" i="67"/>
  <c r="B34" i="76" s="1"/>
  <c r="Z32" i="67"/>
  <c r="Y32" i="67"/>
  <c r="W32" i="67"/>
  <c r="V32" i="67"/>
  <c r="O32" i="67"/>
  <c r="N32" i="67"/>
  <c r="G32" i="67"/>
  <c r="F32" i="67"/>
  <c r="B32" i="67"/>
  <c r="B33" i="76" s="1"/>
  <c r="Z31" i="67"/>
  <c r="Y31" i="67"/>
  <c r="W31" i="67"/>
  <c r="V31" i="67"/>
  <c r="O31" i="67"/>
  <c r="N31" i="67"/>
  <c r="G31" i="67"/>
  <c r="F31" i="67"/>
  <c r="B31" i="67"/>
  <c r="B32" i="76" s="1"/>
  <c r="Z30" i="67"/>
  <c r="Y30" i="67"/>
  <c r="W30" i="67"/>
  <c r="V30" i="67"/>
  <c r="O30" i="67"/>
  <c r="N30" i="67"/>
  <c r="G30" i="67"/>
  <c r="F30" i="67"/>
  <c r="B30" i="67"/>
  <c r="B31" i="76" s="1"/>
  <c r="Z29" i="67"/>
  <c r="Y29" i="67"/>
  <c r="W29" i="67"/>
  <c r="V29" i="67"/>
  <c r="O29" i="67"/>
  <c r="N29" i="67"/>
  <c r="G29" i="67"/>
  <c r="F29" i="67"/>
  <c r="B29" i="67"/>
  <c r="B30" i="76" s="1"/>
  <c r="Z28" i="67"/>
  <c r="Y28" i="67"/>
  <c r="W28" i="67"/>
  <c r="V28" i="67"/>
  <c r="O28" i="67"/>
  <c r="N28" i="67"/>
  <c r="G28" i="67"/>
  <c r="F28" i="67"/>
  <c r="B28" i="67"/>
  <c r="B29" i="76" s="1"/>
  <c r="Z27" i="67"/>
  <c r="Y27" i="67"/>
  <c r="W27" i="67"/>
  <c r="V27" i="67"/>
  <c r="O27" i="67"/>
  <c r="N27" i="67"/>
  <c r="G27" i="67"/>
  <c r="F27" i="67"/>
  <c r="B27" i="67"/>
  <c r="B28" i="76" s="1"/>
  <c r="Z26" i="67"/>
  <c r="Y26" i="67"/>
  <c r="W26" i="67"/>
  <c r="V26" i="67"/>
  <c r="O26" i="67"/>
  <c r="N26" i="67"/>
  <c r="G26" i="67"/>
  <c r="F26" i="67"/>
  <c r="B26" i="67"/>
  <c r="B27" i="76" s="1"/>
  <c r="Z25" i="67"/>
  <c r="Y25" i="67"/>
  <c r="W25" i="67"/>
  <c r="V25" i="67"/>
  <c r="O25" i="67"/>
  <c r="N25" i="67"/>
  <c r="G25" i="67"/>
  <c r="F25" i="67"/>
  <c r="B25" i="67"/>
  <c r="B26" i="76" s="1"/>
  <c r="Z24" i="67"/>
  <c r="Y24" i="67"/>
  <c r="W24" i="67"/>
  <c r="V24" i="67"/>
  <c r="O24" i="67"/>
  <c r="N24" i="67"/>
  <c r="G24" i="67"/>
  <c r="F24" i="67"/>
  <c r="B24" i="67"/>
  <c r="B25" i="76" s="1"/>
  <c r="Z23" i="67"/>
  <c r="Y23" i="67"/>
  <c r="W23" i="67"/>
  <c r="V23" i="67"/>
  <c r="O23" i="67"/>
  <c r="P23" i="67" s="1"/>
  <c r="J24" i="76" s="1"/>
  <c r="N23" i="67"/>
  <c r="G23" i="67"/>
  <c r="F23" i="67"/>
  <c r="B23" i="67"/>
  <c r="B24" i="76" s="1"/>
  <c r="Z22" i="67"/>
  <c r="Y22" i="67"/>
  <c r="W22" i="67"/>
  <c r="V22" i="67"/>
  <c r="O22" i="67"/>
  <c r="N22" i="67"/>
  <c r="G22" i="67"/>
  <c r="F22" i="67"/>
  <c r="B22" i="67"/>
  <c r="B23" i="76" s="1"/>
  <c r="Z21" i="67"/>
  <c r="Y21" i="67"/>
  <c r="W21" i="67"/>
  <c r="V21" i="67"/>
  <c r="O21" i="67"/>
  <c r="N21" i="67"/>
  <c r="G21" i="67"/>
  <c r="F21" i="67"/>
  <c r="B21" i="67"/>
  <c r="B22" i="76" s="1"/>
  <c r="Z20" i="67"/>
  <c r="Y20" i="67"/>
  <c r="W20" i="67"/>
  <c r="V20" i="67"/>
  <c r="O20" i="67"/>
  <c r="N20" i="67"/>
  <c r="G20" i="67"/>
  <c r="F20" i="67"/>
  <c r="B20" i="67"/>
  <c r="B21" i="76" s="1"/>
  <c r="Z19" i="67"/>
  <c r="Y19" i="67"/>
  <c r="W19" i="67"/>
  <c r="V19" i="67"/>
  <c r="O19" i="67"/>
  <c r="N19" i="67"/>
  <c r="G19" i="67"/>
  <c r="F19" i="67"/>
  <c r="B19" i="67"/>
  <c r="B20" i="76" s="1"/>
  <c r="Z18" i="67"/>
  <c r="Y18" i="67"/>
  <c r="W18" i="67"/>
  <c r="V18" i="67"/>
  <c r="O18" i="67"/>
  <c r="N18" i="67"/>
  <c r="G18" i="67"/>
  <c r="F18" i="67"/>
  <c r="B18" i="67"/>
  <c r="B19" i="76" s="1"/>
  <c r="Z17" i="67"/>
  <c r="Y17" i="67"/>
  <c r="W17" i="67"/>
  <c r="V17" i="67"/>
  <c r="O17" i="67"/>
  <c r="N17" i="67"/>
  <c r="G17" i="67"/>
  <c r="F17" i="67"/>
  <c r="B17" i="67"/>
  <c r="B18" i="76" s="1"/>
  <c r="Z16" i="67"/>
  <c r="Y16" i="67"/>
  <c r="W16" i="67"/>
  <c r="V16" i="67"/>
  <c r="O16" i="67"/>
  <c r="N16" i="67"/>
  <c r="G16" i="67"/>
  <c r="F16" i="67"/>
  <c r="B16" i="67"/>
  <c r="B17" i="76" s="1"/>
  <c r="Z15" i="67"/>
  <c r="Y15" i="67"/>
  <c r="W15" i="67"/>
  <c r="V15" i="67"/>
  <c r="O15" i="67"/>
  <c r="N15" i="67"/>
  <c r="G15" i="67"/>
  <c r="F15" i="67"/>
  <c r="B15" i="67"/>
  <c r="B16" i="76" s="1"/>
  <c r="F8" i="67"/>
  <c r="F9" i="76" s="1"/>
  <c r="C6" i="67"/>
  <c r="C5" i="67"/>
  <c r="Y72" i="66"/>
  <c r="V72" i="66"/>
  <c r="N72" i="66"/>
  <c r="F72" i="66"/>
  <c r="B72" i="66"/>
  <c r="B73" i="75" s="1"/>
  <c r="Y71" i="66"/>
  <c r="V71" i="66"/>
  <c r="N71" i="66"/>
  <c r="F71" i="66"/>
  <c r="H71" i="66" s="1"/>
  <c r="F72" i="75" s="1"/>
  <c r="B71" i="66"/>
  <c r="B72" i="75" s="1"/>
  <c r="Y70" i="66"/>
  <c r="V70" i="66"/>
  <c r="N70" i="66"/>
  <c r="F70" i="66"/>
  <c r="B70" i="66"/>
  <c r="B71" i="75" s="1"/>
  <c r="Y69" i="66"/>
  <c r="V69" i="66"/>
  <c r="N69" i="66"/>
  <c r="F69" i="66"/>
  <c r="B69" i="66"/>
  <c r="B70" i="75" s="1"/>
  <c r="Y68" i="66"/>
  <c r="V68" i="66"/>
  <c r="N68" i="66"/>
  <c r="F68" i="66"/>
  <c r="B68" i="66"/>
  <c r="B69" i="75" s="1"/>
  <c r="Y67" i="66"/>
  <c r="X67" i="66"/>
  <c r="N68" i="75" s="1"/>
  <c r="V67" i="66"/>
  <c r="N67" i="66"/>
  <c r="F67" i="66"/>
  <c r="B67" i="66"/>
  <c r="B68" i="75" s="1"/>
  <c r="Y66" i="66"/>
  <c r="V66" i="66"/>
  <c r="N66" i="66"/>
  <c r="F66" i="66"/>
  <c r="B66" i="66"/>
  <c r="B67" i="75" s="1"/>
  <c r="Y65" i="66"/>
  <c r="V65" i="66"/>
  <c r="X65" i="66" s="1"/>
  <c r="N66" i="75" s="1"/>
  <c r="N65" i="66"/>
  <c r="F65" i="66"/>
  <c r="B65" i="66"/>
  <c r="B66" i="75" s="1"/>
  <c r="Y64" i="66"/>
  <c r="V64" i="66"/>
  <c r="N64" i="66"/>
  <c r="F64" i="66"/>
  <c r="B64" i="66"/>
  <c r="B65" i="75" s="1"/>
  <c r="Y63" i="66"/>
  <c r="V63" i="66"/>
  <c r="X63" i="66" s="1"/>
  <c r="N64" i="75" s="1"/>
  <c r="N63" i="66"/>
  <c r="F63" i="66"/>
  <c r="B63" i="66"/>
  <c r="B64" i="75" s="1"/>
  <c r="Y62" i="66"/>
  <c r="V62" i="66"/>
  <c r="X62" i="66" s="1"/>
  <c r="N63" i="75" s="1"/>
  <c r="N62" i="66"/>
  <c r="P62" i="66" s="1"/>
  <c r="J63" i="75" s="1"/>
  <c r="F62" i="66"/>
  <c r="B62" i="66"/>
  <c r="B63" i="75" s="1"/>
  <c r="Y61" i="66"/>
  <c r="V61" i="66"/>
  <c r="N61" i="66"/>
  <c r="F61" i="66"/>
  <c r="B61" i="66"/>
  <c r="B62" i="75" s="1"/>
  <c r="Y60" i="66"/>
  <c r="V60" i="66"/>
  <c r="N60" i="66"/>
  <c r="F60" i="66"/>
  <c r="B60" i="66"/>
  <c r="B61" i="75" s="1"/>
  <c r="Y59" i="66"/>
  <c r="V59" i="66"/>
  <c r="N59" i="66"/>
  <c r="F59" i="66"/>
  <c r="H59" i="66" s="1"/>
  <c r="F60" i="75" s="1"/>
  <c r="B59" i="66"/>
  <c r="B60" i="75" s="1"/>
  <c r="Y58" i="66"/>
  <c r="V58" i="66"/>
  <c r="N58" i="66"/>
  <c r="F58" i="66"/>
  <c r="B58" i="66"/>
  <c r="B59" i="75" s="1"/>
  <c r="Y57" i="66"/>
  <c r="V57" i="66"/>
  <c r="N57" i="66"/>
  <c r="F57" i="66"/>
  <c r="B57" i="66"/>
  <c r="B58" i="75" s="1"/>
  <c r="Y56" i="66"/>
  <c r="V56" i="66"/>
  <c r="N56" i="66"/>
  <c r="F56" i="66"/>
  <c r="B56" i="66"/>
  <c r="B57" i="75" s="1"/>
  <c r="Y55" i="66"/>
  <c r="V55" i="66"/>
  <c r="N55" i="66"/>
  <c r="F55" i="66"/>
  <c r="B55" i="66"/>
  <c r="B56" i="75" s="1"/>
  <c r="Y54" i="66"/>
  <c r="V54" i="66"/>
  <c r="X54" i="66" s="1"/>
  <c r="N55" i="75" s="1"/>
  <c r="N54" i="66"/>
  <c r="P54" i="66" s="1"/>
  <c r="F54" i="66"/>
  <c r="B54" i="66"/>
  <c r="B55" i="75" s="1"/>
  <c r="Y53" i="66"/>
  <c r="V53" i="66"/>
  <c r="N53" i="66"/>
  <c r="F53" i="66"/>
  <c r="B53" i="66"/>
  <c r="B54" i="75" s="1"/>
  <c r="Y52" i="66"/>
  <c r="V52" i="66"/>
  <c r="N52" i="66"/>
  <c r="F52" i="66"/>
  <c r="B52" i="66"/>
  <c r="B53" i="75" s="1"/>
  <c r="Y51" i="66"/>
  <c r="V51" i="66"/>
  <c r="N51" i="66"/>
  <c r="F51" i="66"/>
  <c r="H51" i="66" s="1"/>
  <c r="F52" i="75" s="1"/>
  <c r="B51" i="66"/>
  <c r="B52" i="75" s="1"/>
  <c r="Y50" i="66"/>
  <c r="V50" i="66"/>
  <c r="X50" i="66" s="1"/>
  <c r="N51" i="75" s="1"/>
  <c r="N50" i="66"/>
  <c r="F50" i="66"/>
  <c r="B50" i="66"/>
  <c r="B51" i="75" s="1"/>
  <c r="Y49" i="66"/>
  <c r="V49" i="66"/>
  <c r="N49" i="66"/>
  <c r="F49" i="66"/>
  <c r="B49" i="66"/>
  <c r="B50" i="75" s="1"/>
  <c r="Y48" i="66"/>
  <c r="V48" i="66"/>
  <c r="N48" i="66"/>
  <c r="F48" i="66"/>
  <c r="B48" i="66"/>
  <c r="B49" i="75" s="1"/>
  <c r="Y47" i="66"/>
  <c r="V47" i="66"/>
  <c r="N47" i="66"/>
  <c r="F47" i="66"/>
  <c r="H47" i="66" s="1"/>
  <c r="F48" i="75" s="1"/>
  <c r="B47" i="66"/>
  <c r="B48" i="75" s="1"/>
  <c r="Y46" i="66"/>
  <c r="V46" i="66"/>
  <c r="X46" i="66" s="1"/>
  <c r="N47" i="75" s="1"/>
  <c r="N46" i="66"/>
  <c r="F46" i="66"/>
  <c r="B46" i="66"/>
  <c r="B47" i="75" s="1"/>
  <c r="Y45" i="66"/>
  <c r="V45" i="66"/>
  <c r="N45" i="66"/>
  <c r="F45" i="66"/>
  <c r="B45" i="66"/>
  <c r="B46" i="75" s="1"/>
  <c r="Y44" i="66"/>
  <c r="V44" i="66"/>
  <c r="N44" i="66"/>
  <c r="F44" i="66"/>
  <c r="B44" i="66"/>
  <c r="B45" i="75" s="1"/>
  <c r="Y43" i="66"/>
  <c r="V43" i="66"/>
  <c r="X43" i="66" s="1"/>
  <c r="N44" i="75" s="1"/>
  <c r="N43" i="66"/>
  <c r="F43" i="66"/>
  <c r="B43" i="66"/>
  <c r="B44" i="75" s="1"/>
  <c r="Y42" i="66"/>
  <c r="V42" i="66"/>
  <c r="N42" i="66"/>
  <c r="F42" i="66"/>
  <c r="B42" i="66"/>
  <c r="B43" i="75" s="1"/>
  <c r="Y41" i="66"/>
  <c r="V41" i="66"/>
  <c r="N41" i="66"/>
  <c r="F41" i="66"/>
  <c r="B41" i="66"/>
  <c r="B42" i="75" s="1"/>
  <c r="Y40" i="66"/>
  <c r="V40" i="66"/>
  <c r="N40" i="66"/>
  <c r="F40" i="66"/>
  <c r="B40" i="66"/>
  <c r="B41" i="75" s="1"/>
  <c r="Y39" i="66"/>
  <c r="V39" i="66"/>
  <c r="N39" i="66"/>
  <c r="F39" i="66"/>
  <c r="B39" i="66"/>
  <c r="B40" i="75" s="1"/>
  <c r="Y38" i="66"/>
  <c r="V38" i="66"/>
  <c r="N38" i="66"/>
  <c r="F38" i="66"/>
  <c r="B38" i="66"/>
  <c r="B39" i="75" s="1"/>
  <c r="Y37" i="66"/>
  <c r="V37" i="66"/>
  <c r="N37" i="66"/>
  <c r="F37" i="66"/>
  <c r="B37" i="66"/>
  <c r="B38" i="75" s="1"/>
  <c r="Y36" i="66"/>
  <c r="V36" i="66"/>
  <c r="N36" i="66"/>
  <c r="F36" i="66"/>
  <c r="B36" i="66"/>
  <c r="B37" i="75" s="1"/>
  <c r="Y35" i="66"/>
  <c r="V35" i="66"/>
  <c r="N35" i="66"/>
  <c r="F35" i="66"/>
  <c r="B35" i="66"/>
  <c r="B36" i="75" s="1"/>
  <c r="Y34" i="66"/>
  <c r="V34" i="66"/>
  <c r="N34" i="66"/>
  <c r="F34" i="66"/>
  <c r="B34" i="66"/>
  <c r="B35" i="75" s="1"/>
  <c r="Y33" i="66"/>
  <c r="V33" i="66"/>
  <c r="N33" i="66"/>
  <c r="F33" i="66"/>
  <c r="B33" i="66"/>
  <c r="B34" i="75" s="1"/>
  <c r="Y32" i="66"/>
  <c r="V32" i="66"/>
  <c r="N32" i="66"/>
  <c r="F32" i="66"/>
  <c r="B32" i="66"/>
  <c r="B33" i="75" s="1"/>
  <c r="Y31" i="66"/>
  <c r="V31" i="66"/>
  <c r="N31" i="66"/>
  <c r="F31" i="66"/>
  <c r="B31" i="66"/>
  <c r="B32" i="75" s="1"/>
  <c r="Y30" i="66"/>
  <c r="V30" i="66"/>
  <c r="N30" i="66"/>
  <c r="F30" i="66"/>
  <c r="B30" i="66"/>
  <c r="B31" i="75" s="1"/>
  <c r="Y29" i="66"/>
  <c r="V29" i="66"/>
  <c r="N29" i="66"/>
  <c r="F29" i="66"/>
  <c r="B29" i="66"/>
  <c r="B30" i="75" s="1"/>
  <c r="Y28" i="66"/>
  <c r="V28" i="66"/>
  <c r="N28" i="66"/>
  <c r="F28" i="66"/>
  <c r="B28" i="66"/>
  <c r="B29" i="75" s="1"/>
  <c r="Y27" i="66"/>
  <c r="V27" i="66"/>
  <c r="N27" i="66"/>
  <c r="F27" i="66"/>
  <c r="B27" i="66"/>
  <c r="B28" i="75" s="1"/>
  <c r="Y26" i="66"/>
  <c r="V26" i="66"/>
  <c r="N26" i="66"/>
  <c r="F26" i="66"/>
  <c r="B26" i="66"/>
  <c r="B27" i="75" s="1"/>
  <c r="Y25" i="66"/>
  <c r="V25" i="66"/>
  <c r="N25" i="66"/>
  <c r="F25" i="66"/>
  <c r="B25" i="66"/>
  <c r="B26" i="75" s="1"/>
  <c r="Y24" i="66"/>
  <c r="V24" i="66"/>
  <c r="N24" i="66"/>
  <c r="F24" i="66"/>
  <c r="B24" i="66"/>
  <c r="B25" i="75" s="1"/>
  <c r="Y23" i="66"/>
  <c r="V23" i="66"/>
  <c r="N23" i="66"/>
  <c r="F23" i="66"/>
  <c r="B23" i="66"/>
  <c r="B24" i="75" s="1"/>
  <c r="Y22" i="66"/>
  <c r="V22" i="66"/>
  <c r="N22" i="66"/>
  <c r="F22" i="66"/>
  <c r="B22" i="66"/>
  <c r="B23" i="75" s="1"/>
  <c r="Y21" i="66"/>
  <c r="V21" i="66"/>
  <c r="N21" i="66"/>
  <c r="F21" i="66"/>
  <c r="B21" i="66"/>
  <c r="B22" i="75" s="1"/>
  <c r="Y20" i="66"/>
  <c r="V20" i="66"/>
  <c r="N20" i="66"/>
  <c r="F20" i="66"/>
  <c r="B20" i="66"/>
  <c r="B21" i="75" s="1"/>
  <c r="Y19" i="66"/>
  <c r="V19" i="66"/>
  <c r="N19" i="66"/>
  <c r="F19" i="66"/>
  <c r="B19" i="66"/>
  <c r="B20" i="75" s="1"/>
  <c r="Y18" i="66"/>
  <c r="V18" i="66"/>
  <c r="N18" i="66"/>
  <c r="F18" i="66"/>
  <c r="B18" i="66"/>
  <c r="B19" i="75" s="1"/>
  <c r="Y17" i="66"/>
  <c r="V17" i="66"/>
  <c r="N17" i="66"/>
  <c r="F17" i="66"/>
  <c r="B17" i="66"/>
  <c r="B18" i="75" s="1"/>
  <c r="Y16" i="66"/>
  <c r="V16" i="66"/>
  <c r="N16" i="66"/>
  <c r="F16" i="66"/>
  <c r="B16" i="66"/>
  <c r="B17" i="75" s="1"/>
  <c r="Y15" i="66"/>
  <c r="V15" i="66"/>
  <c r="N15" i="66"/>
  <c r="F15" i="66"/>
  <c r="B15" i="66"/>
  <c r="B16" i="75" s="1"/>
  <c r="F8" i="66"/>
  <c r="F9" i="75" s="1"/>
  <c r="B72" i="65"/>
  <c r="B73" i="74" s="1"/>
  <c r="B71" i="65"/>
  <c r="B72" i="74" s="1"/>
  <c r="B70" i="65"/>
  <c r="B71" i="74" s="1"/>
  <c r="B69" i="65"/>
  <c r="B70" i="74" s="1"/>
  <c r="B68" i="65"/>
  <c r="B69" i="74" s="1"/>
  <c r="B67" i="65"/>
  <c r="B68" i="74" s="1"/>
  <c r="B66" i="65"/>
  <c r="B67" i="74" s="1"/>
  <c r="B65" i="65"/>
  <c r="B66" i="74" s="1"/>
  <c r="B64" i="65"/>
  <c r="B65" i="74" s="1"/>
  <c r="B63" i="65"/>
  <c r="B64" i="74" s="1"/>
  <c r="B62" i="65"/>
  <c r="B63" i="74" s="1"/>
  <c r="B61" i="65"/>
  <c r="B62" i="74" s="1"/>
  <c r="B60" i="65"/>
  <c r="B61" i="74" s="1"/>
  <c r="B59" i="65"/>
  <c r="B60" i="74" s="1"/>
  <c r="B58" i="65"/>
  <c r="B59" i="74" s="1"/>
  <c r="B57" i="65"/>
  <c r="B58" i="74" s="1"/>
  <c r="B56" i="65"/>
  <c r="B57" i="74" s="1"/>
  <c r="B55" i="65"/>
  <c r="B56" i="74" s="1"/>
  <c r="B54" i="65"/>
  <c r="B55" i="74" s="1"/>
  <c r="B53" i="65"/>
  <c r="B54" i="74" s="1"/>
  <c r="B52" i="65"/>
  <c r="B53" i="74" s="1"/>
  <c r="B51" i="65"/>
  <c r="B52" i="74" s="1"/>
  <c r="B50" i="65"/>
  <c r="B51" i="74" s="1"/>
  <c r="B49" i="65"/>
  <c r="B50" i="74" s="1"/>
  <c r="B48" i="65"/>
  <c r="B49" i="74" s="1"/>
  <c r="B47" i="65"/>
  <c r="B48" i="74" s="1"/>
  <c r="B46" i="65"/>
  <c r="B47" i="74" s="1"/>
  <c r="B45" i="65"/>
  <c r="B46" i="74" s="1"/>
  <c r="B44" i="65"/>
  <c r="B45" i="74" s="1"/>
  <c r="B43" i="65"/>
  <c r="B44" i="74" s="1"/>
  <c r="B42" i="65"/>
  <c r="B43" i="74" s="1"/>
  <c r="B41" i="65"/>
  <c r="B42" i="74" s="1"/>
  <c r="B40" i="65"/>
  <c r="B41" i="74" s="1"/>
  <c r="B39" i="65"/>
  <c r="B40" i="74" s="1"/>
  <c r="B38" i="65"/>
  <c r="B39" i="74" s="1"/>
  <c r="B37" i="65"/>
  <c r="B38" i="74" s="1"/>
  <c r="B36" i="65"/>
  <c r="B37" i="74" s="1"/>
  <c r="B35" i="65"/>
  <c r="B36" i="74" s="1"/>
  <c r="B34" i="65"/>
  <c r="B35" i="74" s="1"/>
  <c r="B33" i="65"/>
  <c r="B34" i="74" s="1"/>
  <c r="B32" i="65"/>
  <c r="B33" i="74" s="1"/>
  <c r="B31" i="65"/>
  <c r="B32" i="74" s="1"/>
  <c r="B30" i="65"/>
  <c r="B31" i="74" s="1"/>
  <c r="B29" i="65"/>
  <c r="B30" i="74" s="1"/>
  <c r="B28" i="65"/>
  <c r="B29" i="74" s="1"/>
  <c r="B27" i="65"/>
  <c r="B28" i="74" s="1"/>
  <c r="B26" i="65"/>
  <c r="B27" i="74" s="1"/>
  <c r="B25" i="65"/>
  <c r="B26" i="74" s="1"/>
  <c r="B24" i="65"/>
  <c r="B25" i="74" s="1"/>
  <c r="B23" i="65"/>
  <c r="B24" i="74" s="1"/>
  <c r="B22" i="65"/>
  <c r="B23" i="74" s="1"/>
  <c r="B21" i="65"/>
  <c r="B22" i="74" s="1"/>
  <c r="B20" i="65"/>
  <c r="B21" i="74" s="1"/>
  <c r="B19" i="65"/>
  <c r="B20" i="74" s="1"/>
  <c r="B18" i="65"/>
  <c r="B19" i="74" s="1"/>
  <c r="B17" i="65"/>
  <c r="B18" i="74" s="1"/>
  <c r="B16" i="65"/>
  <c r="B17" i="74" s="1"/>
  <c r="B15" i="65"/>
  <c r="B16" i="74" s="1"/>
  <c r="C6" i="66"/>
  <c r="C5" i="66"/>
  <c r="Y72" i="65"/>
  <c r="V72" i="65"/>
  <c r="N72" i="65"/>
  <c r="Y71" i="65"/>
  <c r="V71" i="65"/>
  <c r="N71" i="65"/>
  <c r="Y70" i="65"/>
  <c r="V70" i="65"/>
  <c r="N70" i="65"/>
  <c r="Y69" i="65"/>
  <c r="V69" i="65"/>
  <c r="N69" i="65"/>
  <c r="Y68" i="65"/>
  <c r="V68" i="65"/>
  <c r="N68" i="65"/>
  <c r="Y67" i="65"/>
  <c r="V67" i="65"/>
  <c r="N67" i="65"/>
  <c r="Y66" i="65"/>
  <c r="V66" i="65"/>
  <c r="N66" i="65"/>
  <c r="Y65" i="65"/>
  <c r="V65" i="65"/>
  <c r="N65" i="65"/>
  <c r="Y64" i="65"/>
  <c r="V64" i="65"/>
  <c r="N64" i="65"/>
  <c r="Y63" i="65"/>
  <c r="V63" i="65"/>
  <c r="N63" i="65"/>
  <c r="Y62" i="65"/>
  <c r="V62" i="65"/>
  <c r="N62" i="65"/>
  <c r="Y61" i="65"/>
  <c r="V61" i="65"/>
  <c r="N61" i="65"/>
  <c r="Y60" i="65"/>
  <c r="V60" i="65"/>
  <c r="N60" i="65"/>
  <c r="Y59" i="65"/>
  <c r="V59" i="65"/>
  <c r="N59" i="65"/>
  <c r="Y58" i="65"/>
  <c r="V58" i="65"/>
  <c r="N58" i="65"/>
  <c r="Y57" i="65"/>
  <c r="V57" i="65"/>
  <c r="N57" i="65"/>
  <c r="Y56" i="65"/>
  <c r="V56" i="65"/>
  <c r="N56" i="65"/>
  <c r="Y55" i="65"/>
  <c r="V55" i="65"/>
  <c r="N55" i="65"/>
  <c r="Y54" i="65"/>
  <c r="V54" i="65"/>
  <c r="N54" i="65"/>
  <c r="Y53" i="65"/>
  <c r="V53" i="65"/>
  <c r="N53" i="65"/>
  <c r="Y52" i="65"/>
  <c r="V52" i="65"/>
  <c r="N52" i="65"/>
  <c r="Y51" i="65"/>
  <c r="V51" i="65"/>
  <c r="N51" i="65"/>
  <c r="Y50" i="65"/>
  <c r="V50" i="65"/>
  <c r="N50" i="65"/>
  <c r="Y49" i="65"/>
  <c r="V49" i="65"/>
  <c r="N49" i="65"/>
  <c r="Y48" i="65"/>
  <c r="V48" i="65"/>
  <c r="N48" i="65"/>
  <c r="Y47" i="65"/>
  <c r="V47" i="65"/>
  <c r="N47" i="65"/>
  <c r="Y46" i="65"/>
  <c r="V46" i="65"/>
  <c r="N46" i="65"/>
  <c r="Y45" i="65"/>
  <c r="V45" i="65"/>
  <c r="N45" i="65"/>
  <c r="Y44" i="65"/>
  <c r="V44" i="65"/>
  <c r="N44" i="65"/>
  <c r="Y43" i="65"/>
  <c r="V43" i="65"/>
  <c r="N43" i="65"/>
  <c r="Y42" i="65"/>
  <c r="V42" i="65"/>
  <c r="N42" i="65"/>
  <c r="Y41" i="65"/>
  <c r="V41" i="65"/>
  <c r="N41" i="65"/>
  <c r="Y40" i="65"/>
  <c r="V40" i="65"/>
  <c r="N40" i="65"/>
  <c r="Y39" i="65"/>
  <c r="V39" i="65"/>
  <c r="N39" i="65"/>
  <c r="Y38" i="65"/>
  <c r="V38" i="65"/>
  <c r="N38" i="65"/>
  <c r="Y37" i="65"/>
  <c r="V37" i="65"/>
  <c r="N37" i="65"/>
  <c r="Y36" i="65"/>
  <c r="V36" i="65"/>
  <c r="N36" i="65"/>
  <c r="Y35" i="65"/>
  <c r="V35" i="65"/>
  <c r="N35" i="65"/>
  <c r="Y34" i="65"/>
  <c r="V34" i="65"/>
  <c r="N34" i="65"/>
  <c r="Y33" i="65"/>
  <c r="V33" i="65"/>
  <c r="N33" i="65"/>
  <c r="Y32" i="65"/>
  <c r="V32" i="65"/>
  <c r="N32" i="65"/>
  <c r="Y31" i="65"/>
  <c r="V31" i="65"/>
  <c r="N31" i="65"/>
  <c r="Y30" i="65"/>
  <c r="V30" i="65"/>
  <c r="N30" i="65"/>
  <c r="Y29" i="65"/>
  <c r="V29" i="65"/>
  <c r="N29" i="65"/>
  <c r="Y28" i="65"/>
  <c r="V28" i="65"/>
  <c r="N28" i="65"/>
  <c r="Y27" i="65"/>
  <c r="V27" i="65"/>
  <c r="N27" i="65"/>
  <c r="Y26" i="65"/>
  <c r="V26" i="65"/>
  <c r="N26" i="65"/>
  <c r="Y25" i="65"/>
  <c r="V25" i="65"/>
  <c r="N25" i="65"/>
  <c r="Y24" i="65"/>
  <c r="V24" i="65"/>
  <c r="N24" i="65"/>
  <c r="Y23" i="65"/>
  <c r="V23" i="65"/>
  <c r="N23" i="65"/>
  <c r="Y22" i="65"/>
  <c r="V22" i="65"/>
  <c r="N22" i="65"/>
  <c r="Y21" i="65"/>
  <c r="V21" i="65"/>
  <c r="N21" i="65"/>
  <c r="Y20" i="65"/>
  <c r="V20" i="65"/>
  <c r="N20" i="65"/>
  <c r="Y19" i="65"/>
  <c r="V19" i="65"/>
  <c r="N19" i="65"/>
  <c r="Y18" i="65"/>
  <c r="V18" i="65"/>
  <c r="N18" i="65"/>
  <c r="Y17" i="65"/>
  <c r="V17" i="65"/>
  <c r="N17" i="65"/>
  <c r="Y16" i="65"/>
  <c r="V16" i="65"/>
  <c r="P64" i="73" l="1"/>
  <c r="X47" i="70"/>
  <c r="N48" i="79" s="1"/>
  <c r="X71" i="70"/>
  <c r="N72" i="79" s="1"/>
  <c r="X29" i="68"/>
  <c r="N30" i="77" s="1"/>
  <c r="X69" i="68"/>
  <c r="N70" i="77" s="1"/>
  <c r="X56" i="69"/>
  <c r="N57" i="78" s="1"/>
  <c r="X52" i="72"/>
  <c r="N53" i="81" s="1"/>
  <c r="H31" i="69"/>
  <c r="F32" i="78" s="1"/>
  <c r="X63" i="70"/>
  <c r="N64" i="79" s="1"/>
  <c r="P53" i="71"/>
  <c r="J54" i="80" s="1"/>
  <c r="X60" i="73"/>
  <c r="N61" i="82" s="1"/>
  <c r="X32" i="69"/>
  <c r="N33" i="78" s="1"/>
  <c r="X33" i="70"/>
  <c r="N34" i="79" s="1"/>
  <c r="X41" i="70"/>
  <c r="N42" i="79" s="1"/>
  <c r="X49" i="70"/>
  <c r="N50" i="79" s="1"/>
  <c r="X57" i="70"/>
  <c r="N58" i="79" s="1"/>
  <c r="X65" i="70"/>
  <c r="N66" i="79" s="1"/>
  <c r="P15" i="71"/>
  <c r="J16" i="80" s="1"/>
  <c r="P31" i="71"/>
  <c r="J32" i="80" s="1"/>
  <c r="P39" i="71"/>
  <c r="J40" i="80" s="1"/>
  <c r="P47" i="71"/>
  <c r="J48" i="80" s="1"/>
  <c r="P55" i="71"/>
  <c r="J56" i="80" s="1"/>
  <c r="P63" i="71"/>
  <c r="J64" i="80" s="1"/>
  <c r="P71" i="71"/>
  <c r="J72" i="80" s="1"/>
  <c r="X22" i="73"/>
  <c r="N23" i="82" s="1"/>
  <c r="X54" i="73"/>
  <c r="N55" i="82" s="1"/>
  <c r="H44" i="68"/>
  <c r="P37" i="71"/>
  <c r="J38" i="80" s="1"/>
  <c r="X48" i="69"/>
  <c r="N49" i="78" s="1"/>
  <c r="H19" i="67"/>
  <c r="F20" i="76" s="1"/>
  <c r="X44" i="72"/>
  <c r="N45" i="81" s="1"/>
  <c r="X47" i="72"/>
  <c r="N48" i="81" s="1"/>
  <c r="X59" i="72"/>
  <c r="N60" i="81" s="1"/>
  <c r="X43" i="72"/>
  <c r="N44" i="81" s="1"/>
  <c r="X55" i="70"/>
  <c r="N56" i="79" s="1"/>
  <c r="P29" i="71"/>
  <c r="J30" i="80" s="1"/>
  <c r="P61" i="71"/>
  <c r="J62" i="80" s="1"/>
  <c r="X26" i="67"/>
  <c r="N27" i="76" s="1"/>
  <c r="X45" i="68"/>
  <c r="N46" i="77" s="1"/>
  <c r="P39" i="67"/>
  <c r="J40" i="76" s="1"/>
  <c r="P47" i="67"/>
  <c r="J48" i="76" s="1"/>
  <c r="P55" i="67"/>
  <c r="J56" i="76" s="1"/>
  <c r="P63" i="67"/>
  <c r="J64" i="76" s="1"/>
  <c r="P71" i="67"/>
  <c r="J72" i="76" s="1"/>
  <c r="X67" i="71"/>
  <c r="N68" i="80" s="1"/>
  <c r="P21" i="71"/>
  <c r="J22" i="80" s="1"/>
  <c r="P45" i="71"/>
  <c r="J46" i="80" s="1"/>
  <c r="X68" i="73"/>
  <c r="N69" i="82" s="1"/>
  <c r="X16" i="69"/>
  <c r="N17" i="78" s="1"/>
  <c r="X40" i="69"/>
  <c r="N41" i="78" s="1"/>
  <c r="X64" i="69"/>
  <c r="N65" i="78" s="1"/>
  <c r="X55" i="72"/>
  <c r="N56" i="81" s="1"/>
  <c r="H39" i="69"/>
  <c r="F40" i="78" s="1"/>
  <c r="X31" i="70"/>
  <c r="N32" i="79" s="1"/>
  <c r="X36" i="72"/>
  <c r="N37" i="81" s="1"/>
  <c r="X39" i="72"/>
  <c r="N40" i="81" s="1"/>
  <c r="X51" i="72"/>
  <c r="N52" i="81" s="1"/>
  <c r="X60" i="72"/>
  <c r="N61" i="81" s="1"/>
  <c r="X63" i="72"/>
  <c r="N64" i="81" s="1"/>
  <c r="P56" i="73"/>
  <c r="X39" i="70"/>
  <c r="N40" i="79" s="1"/>
  <c r="P69" i="71"/>
  <c r="J70" i="80" s="1"/>
  <c r="X72" i="69"/>
  <c r="N73" i="78" s="1"/>
  <c r="X24" i="68"/>
  <c r="N25" i="77" s="1"/>
  <c r="X32" i="68"/>
  <c r="N33" i="77" s="1"/>
  <c r="X40" i="68"/>
  <c r="N41" i="77" s="1"/>
  <c r="X48" i="68"/>
  <c r="N49" i="77" s="1"/>
  <c r="X56" i="68"/>
  <c r="N57" i="77" s="1"/>
  <c r="X64" i="68"/>
  <c r="N65" i="77" s="1"/>
  <c r="X72" i="68"/>
  <c r="N73" i="77" s="1"/>
  <c r="X19" i="69"/>
  <c r="N20" i="78" s="1"/>
  <c r="X27" i="69"/>
  <c r="N28" i="78" s="1"/>
  <c r="X35" i="69"/>
  <c r="N36" i="78" s="1"/>
  <c r="X43" i="69"/>
  <c r="N44" i="78" s="1"/>
  <c r="X51" i="69"/>
  <c r="N52" i="78" s="1"/>
  <c r="X59" i="69"/>
  <c r="N60" i="78" s="1"/>
  <c r="X67" i="69"/>
  <c r="N68" i="78" s="1"/>
  <c r="P33" i="70"/>
  <c r="P41" i="70"/>
  <c r="P49" i="70"/>
  <c r="P57" i="70"/>
  <c r="J58" i="79" s="1"/>
  <c r="P65" i="70"/>
  <c r="J66" i="79" s="1"/>
  <c r="H31" i="71"/>
  <c r="F32" i="80" s="1"/>
  <c r="H39" i="71"/>
  <c r="F40" i="80" s="1"/>
  <c r="H47" i="71"/>
  <c r="F48" i="80" s="1"/>
  <c r="H55" i="71"/>
  <c r="F56" i="80" s="1"/>
  <c r="H63" i="71"/>
  <c r="F64" i="80" s="1"/>
  <c r="AA20" i="73"/>
  <c r="O21" i="82" s="1"/>
  <c r="AA60" i="73"/>
  <c r="O61" i="82" s="1"/>
  <c r="X67" i="72"/>
  <c r="N68" i="81" s="1"/>
  <c r="X68" i="72"/>
  <c r="N69" i="81" s="1"/>
  <c r="P60" i="73"/>
  <c r="J61" i="82" s="1"/>
  <c r="X66" i="73"/>
  <c r="N67" i="82" s="1"/>
  <c r="P68" i="73"/>
  <c r="J69" i="82" s="1"/>
  <c r="P19" i="67"/>
  <c r="J20" i="76" s="1"/>
  <c r="P27" i="67"/>
  <c r="J28" i="76" s="1"/>
  <c r="P35" i="67"/>
  <c r="J36" i="76" s="1"/>
  <c r="P43" i="67"/>
  <c r="J44" i="76" s="1"/>
  <c r="P51" i="67"/>
  <c r="J52" i="76" s="1"/>
  <c r="P59" i="67"/>
  <c r="J60" i="76" s="1"/>
  <c r="P67" i="67"/>
  <c r="J68" i="76" s="1"/>
  <c r="X28" i="68"/>
  <c r="N29" i="77" s="1"/>
  <c r="X36" i="68"/>
  <c r="N37" i="77" s="1"/>
  <c r="H40" i="68"/>
  <c r="F41" i="77" s="1"/>
  <c r="X44" i="68"/>
  <c r="N45" i="77" s="1"/>
  <c r="X52" i="68"/>
  <c r="N53" i="77" s="1"/>
  <c r="H56" i="68"/>
  <c r="F57" i="77" s="1"/>
  <c r="X60" i="68"/>
  <c r="N61" i="77" s="1"/>
  <c r="X68" i="68"/>
  <c r="N69" i="77" s="1"/>
  <c r="X15" i="69"/>
  <c r="N16" i="78" s="1"/>
  <c r="X23" i="69"/>
  <c r="N24" i="78" s="1"/>
  <c r="X31" i="69"/>
  <c r="N32" i="78" s="1"/>
  <c r="H35" i="69"/>
  <c r="F36" i="78" s="1"/>
  <c r="X39" i="69"/>
  <c r="N40" i="78" s="1"/>
  <c r="H43" i="69"/>
  <c r="F44" i="78" s="1"/>
  <c r="X47" i="69"/>
  <c r="N48" i="78" s="1"/>
  <c r="H51" i="69"/>
  <c r="F52" i="78" s="1"/>
  <c r="X55" i="69"/>
  <c r="N56" i="78" s="1"/>
  <c r="X63" i="69"/>
  <c r="N64" i="78" s="1"/>
  <c r="X71" i="69"/>
  <c r="N72" i="78" s="1"/>
  <c r="P21" i="70"/>
  <c r="J22" i="79" s="1"/>
  <c r="X27" i="70"/>
  <c r="N28" i="79" s="1"/>
  <c r="X35" i="70"/>
  <c r="N36" i="79" s="1"/>
  <c r="P37" i="70"/>
  <c r="J38" i="79" s="1"/>
  <c r="X43" i="70"/>
  <c r="N44" i="79" s="1"/>
  <c r="P45" i="70"/>
  <c r="J46" i="79" s="1"/>
  <c r="X51" i="70"/>
  <c r="N52" i="79" s="1"/>
  <c r="P53" i="70"/>
  <c r="J54" i="79" s="1"/>
  <c r="X59" i="70"/>
  <c r="N60" i="79" s="1"/>
  <c r="P61" i="70"/>
  <c r="J62" i="79" s="1"/>
  <c r="X67" i="70"/>
  <c r="N68" i="79" s="1"/>
  <c r="P69" i="70"/>
  <c r="J70" i="79" s="1"/>
  <c r="P17" i="71"/>
  <c r="J18" i="80" s="1"/>
  <c r="P25" i="71"/>
  <c r="J26" i="80" s="1"/>
  <c r="H27" i="71"/>
  <c r="F28" i="80" s="1"/>
  <c r="P33" i="71"/>
  <c r="J34" i="80" s="1"/>
  <c r="H35" i="71"/>
  <c r="F36" i="80" s="1"/>
  <c r="P41" i="71"/>
  <c r="J42" i="80" s="1"/>
  <c r="H43" i="71"/>
  <c r="F44" i="80" s="1"/>
  <c r="P49" i="71"/>
  <c r="J50" i="80" s="1"/>
  <c r="H51" i="71"/>
  <c r="F52" i="80" s="1"/>
  <c r="P57" i="71"/>
  <c r="J58" i="80" s="1"/>
  <c r="H59" i="71"/>
  <c r="F60" i="80" s="1"/>
  <c r="X63" i="71"/>
  <c r="N64" i="80" s="1"/>
  <c r="P65" i="71"/>
  <c r="J66" i="80" s="1"/>
  <c r="H67" i="71"/>
  <c r="F68" i="80" s="1"/>
  <c r="X71" i="71"/>
  <c r="N72" i="80" s="1"/>
  <c r="X71" i="72"/>
  <c r="N72" i="81" s="1"/>
  <c r="X59" i="73"/>
  <c r="N60" i="82" s="1"/>
  <c r="X67" i="73"/>
  <c r="N68" i="82" s="1"/>
  <c r="H27" i="68"/>
  <c r="F28" i="77" s="1"/>
  <c r="H35" i="68"/>
  <c r="F36" i="77" s="1"/>
  <c r="H43" i="68"/>
  <c r="F44" i="77" s="1"/>
  <c r="H51" i="68"/>
  <c r="F52" i="77" s="1"/>
  <c r="H59" i="68"/>
  <c r="F60" i="77" s="1"/>
  <c r="H67" i="68"/>
  <c r="F68" i="77" s="1"/>
  <c r="H30" i="69"/>
  <c r="F31" i="78" s="1"/>
  <c r="H38" i="69"/>
  <c r="F39" i="78" s="1"/>
  <c r="X38" i="70"/>
  <c r="N39" i="79" s="1"/>
  <c r="X46" i="70"/>
  <c r="N47" i="79" s="1"/>
  <c r="X54" i="70"/>
  <c r="N55" i="79" s="1"/>
  <c r="X62" i="70"/>
  <c r="N63" i="79" s="1"/>
  <c r="X70" i="70"/>
  <c r="N71" i="79" s="1"/>
  <c r="P20" i="71"/>
  <c r="J21" i="80" s="1"/>
  <c r="P28" i="71"/>
  <c r="J29" i="80" s="1"/>
  <c r="P36" i="71"/>
  <c r="J37" i="80" s="1"/>
  <c r="P52" i="71"/>
  <c r="J53" i="80" s="1"/>
  <c r="P60" i="71"/>
  <c r="J61" i="80" s="1"/>
  <c r="P68" i="71"/>
  <c r="J69" i="80" s="1"/>
  <c r="X19" i="72"/>
  <c r="N20" i="81" s="1"/>
  <c r="X20" i="72"/>
  <c r="N21" i="81" s="1"/>
  <c r="X23" i="72"/>
  <c r="N24" i="81" s="1"/>
  <c r="X27" i="72"/>
  <c r="N28" i="81" s="1"/>
  <c r="AA28" i="73"/>
  <c r="O29" i="82" s="1"/>
  <c r="X55" i="73"/>
  <c r="N56" i="82" s="1"/>
  <c r="X63" i="73"/>
  <c r="N64" i="82" s="1"/>
  <c r="X71" i="73"/>
  <c r="N72" i="82" s="1"/>
  <c r="X54" i="67"/>
  <c r="N55" i="76" s="1"/>
  <c r="X70" i="67"/>
  <c r="N71" i="76" s="1"/>
  <c r="X49" i="68"/>
  <c r="N50" i="77" s="1"/>
  <c r="X36" i="69"/>
  <c r="N37" i="78" s="1"/>
  <c r="X44" i="69"/>
  <c r="N45" i="78" s="1"/>
  <c r="X52" i="69"/>
  <c r="N53" i="78" s="1"/>
  <c r="X60" i="69"/>
  <c r="N61" i="78" s="1"/>
  <c r="X68" i="69"/>
  <c r="N69" i="78" s="1"/>
  <c r="X24" i="70"/>
  <c r="N25" i="79" s="1"/>
  <c r="X32" i="70"/>
  <c r="N33" i="79" s="1"/>
  <c r="X48" i="70"/>
  <c r="N49" i="79" s="1"/>
  <c r="X56" i="70"/>
  <c r="N57" i="79" s="1"/>
  <c r="X64" i="70"/>
  <c r="N65" i="79" s="1"/>
  <c r="X72" i="70"/>
  <c r="N73" i="79" s="1"/>
  <c r="AA68" i="73"/>
  <c r="O69" i="82" s="1"/>
  <c r="AA42" i="72"/>
  <c r="O43" i="81" s="1"/>
  <c r="AA50" i="67"/>
  <c r="O51" i="76" s="1"/>
  <c r="AA58" i="67"/>
  <c r="O59" i="76" s="1"/>
  <c r="AA66" i="67"/>
  <c r="O67" i="76" s="1"/>
  <c r="AA16" i="69"/>
  <c r="O17" i="78" s="1"/>
  <c r="AA32" i="69"/>
  <c r="O33" i="78" s="1"/>
  <c r="AA40" i="69"/>
  <c r="O41" i="78" s="1"/>
  <c r="AA48" i="69"/>
  <c r="O49" i="78" s="1"/>
  <c r="AA56" i="69"/>
  <c r="O57" i="78" s="1"/>
  <c r="AA20" i="72"/>
  <c r="O21" i="81" s="1"/>
  <c r="AA28" i="72"/>
  <c r="O29" i="81" s="1"/>
  <c r="AA36" i="72"/>
  <c r="O37" i="81" s="1"/>
  <c r="AA44" i="72"/>
  <c r="O45" i="81" s="1"/>
  <c r="AA52" i="72"/>
  <c r="O53" i="81" s="1"/>
  <c r="AA60" i="72"/>
  <c r="O61" i="81" s="1"/>
  <c r="AA68" i="72"/>
  <c r="O69" i="81" s="1"/>
  <c r="AA16" i="73"/>
  <c r="O17" i="82" s="1"/>
  <c r="AA24" i="73"/>
  <c r="O25" i="82" s="1"/>
  <c r="AA32" i="73"/>
  <c r="O33" i="82" s="1"/>
  <c r="AA40" i="73"/>
  <c r="O41" i="82" s="1"/>
  <c r="AA64" i="73"/>
  <c r="O65" i="82" s="1"/>
  <c r="AA72" i="73"/>
  <c r="O73" i="82" s="1"/>
  <c r="AA26" i="67"/>
  <c r="O27" i="76" s="1"/>
  <c r="AA34" i="67"/>
  <c r="O35" i="76" s="1"/>
  <c r="AA42" i="67"/>
  <c r="O43" i="76" s="1"/>
  <c r="AA43" i="67"/>
  <c r="O44" i="76" s="1"/>
  <c r="AA67" i="67"/>
  <c r="O68" i="76" s="1"/>
  <c r="AA22" i="68"/>
  <c r="O23" i="77" s="1"/>
  <c r="AA54" i="68"/>
  <c r="O55" i="77" s="1"/>
  <c r="AA62" i="68"/>
  <c r="O63" i="77" s="1"/>
  <c r="AA57" i="69"/>
  <c r="O58" i="78" s="1"/>
  <c r="AA17" i="71"/>
  <c r="O18" i="80" s="1"/>
  <c r="AA25" i="71"/>
  <c r="O26" i="80" s="1"/>
  <c r="AA33" i="71"/>
  <c r="O34" i="80" s="1"/>
  <c r="AA41" i="71"/>
  <c r="O42" i="80" s="1"/>
  <c r="AA49" i="71"/>
  <c r="O50" i="80" s="1"/>
  <c r="AA57" i="71"/>
  <c r="O58" i="80" s="1"/>
  <c r="AA65" i="71"/>
  <c r="O66" i="80" s="1"/>
  <c r="AA21" i="72"/>
  <c r="O22" i="81" s="1"/>
  <c r="AA29" i="72"/>
  <c r="O30" i="81" s="1"/>
  <c r="AA37" i="72"/>
  <c r="O38" i="81" s="1"/>
  <c r="AA45" i="72"/>
  <c r="O46" i="81" s="1"/>
  <c r="AA53" i="72"/>
  <c r="O54" i="81" s="1"/>
  <c r="AA61" i="72"/>
  <c r="O62" i="81" s="1"/>
  <c r="AA69" i="72"/>
  <c r="O70" i="81" s="1"/>
  <c r="AA57" i="73"/>
  <c r="O58" i="82" s="1"/>
  <c r="AA65" i="73"/>
  <c r="O66" i="82" s="1"/>
  <c r="AA50" i="68"/>
  <c r="O51" i="77" s="1"/>
  <c r="AA53" i="69"/>
  <c r="O54" i="78" s="1"/>
  <c r="AA21" i="71"/>
  <c r="O22" i="80" s="1"/>
  <c r="AA29" i="71"/>
  <c r="O30" i="80" s="1"/>
  <c r="AA37" i="71"/>
  <c r="O38" i="80" s="1"/>
  <c r="AA45" i="71"/>
  <c r="O46" i="80" s="1"/>
  <c r="AA53" i="71"/>
  <c r="O54" i="80" s="1"/>
  <c r="AA61" i="71"/>
  <c r="O62" i="80" s="1"/>
  <c r="AA69" i="71"/>
  <c r="O70" i="80" s="1"/>
  <c r="AA17" i="72"/>
  <c r="O18" i="81" s="1"/>
  <c r="AA25" i="72"/>
  <c r="O26" i="81" s="1"/>
  <c r="AA33" i="72"/>
  <c r="O34" i="81" s="1"/>
  <c r="AA41" i="72"/>
  <c r="O42" i="81" s="1"/>
  <c r="AA49" i="72"/>
  <c r="O50" i="81" s="1"/>
  <c r="AA57" i="72"/>
  <c r="O58" i="81" s="1"/>
  <c r="AA65" i="72"/>
  <c r="O66" i="81" s="1"/>
  <c r="AA21" i="73"/>
  <c r="O22" i="82" s="1"/>
  <c r="AA29" i="73"/>
  <c r="O30" i="82" s="1"/>
  <c r="AA37" i="73"/>
  <c r="O38" i="82" s="1"/>
  <c r="AA45" i="73"/>
  <c r="O46" i="82" s="1"/>
  <c r="AA53" i="73"/>
  <c r="O54" i="82" s="1"/>
  <c r="AA61" i="73"/>
  <c r="O62" i="82" s="1"/>
  <c r="AA69" i="73"/>
  <c r="O70" i="82" s="1"/>
  <c r="AA46" i="69"/>
  <c r="O47" i="78" s="1"/>
  <c r="AA70" i="69"/>
  <c r="O71" i="78" s="1"/>
  <c r="AA26" i="71"/>
  <c r="O27" i="80" s="1"/>
  <c r="AA66" i="71"/>
  <c r="O67" i="80" s="1"/>
  <c r="AA49" i="66"/>
  <c r="O50" i="75" s="1"/>
  <c r="AA21" i="68"/>
  <c r="O22" i="77" s="1"/>
  <c r="AA29" i="68"/>
  <c r="O30" i="77" s="1"/>
  <c r="AA37" i="68"/>
  <c r="O38" i="77" s="1"/>
  <c r="AA45" i="68"/>
  <c r="O46" i="77" s="1"/>
  <c r="AA53" i="68"/>
  <c r="O54" i="77" s="1"/>
  <c r="AA61" i="68"/>
  <c r="O62" i="77" s="1"/>
  <c r="AA69" i="68"/>
  <c r="O70" i="77" s="1"/>
  <c r="AA64" i="69"/>
  <c r="O65" i="78" s="1"/>
  <c r="AA72" i="69"/>
  <c r="O73" i="78" s="1"/>
  <c r="AA48" i="73"/>
  <c r="O49" i="82" s="1"/>
  <c r="AA56" i="73"/>
  <c r="O57" i="82" s="1"/>
  <c r="AA57" i="66"/>
  <c r="O58" i="75" s="1"/>
  <c r="AA65" i="66"/>
  <c r="O66" i="75" s="1"/>
  <c r="AA42" i="71"/>
  <c r="O43" i="80" s="1"/>
  <c r="AA21" i="67"/>
  <c r="O22" i="76" s="1"/>
  <c r="AA37" i="67"/>
  <c r="O38" i="76" s="1"/>
  <c r="AA45" i="67"/>
  <c r="O46" i="76" s="1"/>
  <c r="AA53" i="67"/>
  <c r="O54" i="76" s="1"/>
  <c r="AA61" i="67"/>
  <c r="O62" i="76" s="1"/>
  <c r="AA69" i="67"/>
  <c r="O70" i="76" s="1"/>
  <c r="AA24" i="68"/>
  <c r="O25" i="77" s="1"/>
  <c r="AA32" i="68"/>
  <c r="O33" i="77" s="1"/>
  <c r="AA40" i="68"/>
  <c r="O41" i="77" s="1"/>
  <c r="AA48" i="68"/>
  <c r="O49" i="77" s="1"/>
  <c r="AA56" i="68"/>
  <c r="O57" i="77" s="1"/>
  <c r="AA64" i="68"/>
  <c r="O65" i="77" s="1"/>
  <c r="AA72" i="68"/>
  <c r="O73" i="77" s="1"/>
  <c r="AA27" i="69"/>
  <c r="O28" i="78" s="1"/>
  <c r="AA51" i="69"/>
  <c r="O52" i="78" s="1"/>
  <c r="AA34" i="71"/>
  <c r="O35" i="80" s="1"/>
  <c r="AA58" i="71"/>
  <c r="O59" i="80" s="1"/>
  <c r="AA36" i="73"/>
  <c r="O37" i="82" s="1"/>
  <c r="AA44" i="73"/>
  <c r="O45" i="82" s="1"/>
  <c r="AA52" i="73"/>
  <c r="O53" i="82" s="1"/>
  <c r="AA18" i="71"/>
  <c r="O19" i="80" s="1"/>
  <c r="AA50" i="71"/>
  <c r="O51" i="80" s="1"/>
  <c r="AA42" i="69"/>
  <c r="O43" i="78" s="1"/>
  <c r="AA45" i="66"/>
  <c r="O46" i="75" s="1"/>
  <c r="AA53" i="66"/>
  <c r="O54" i="75" s="1"/>
  <c r="AA61" i="66"/>
  <c r="O62" i="75" s="1"/>
  <c r="AA69" i="66"/>
  <c r="O70" i="75" s="1"/>
  <c r="AA22" i="71"/>
  <c r="O23" i="80" s="1"/>
  <c r="AA30" i="71"/>
  <c r="O31" i="80" s="1"/>
  <c r="AA38" i="71"/>
  <c r="O39" i="80" s="1"/>
  <c r="AA46" i="71"/>
  <c r="O47" i="80" s="1"/>
  <c r="AA54" i="71"/>
  <c r="O55" i="80" s="1"/>
  <c r="AA62" i="71"/>
  <c r="O63" i="80" s="1"/>
  <c r="AA70" i="71"/>
  <c r="O71" i="80" s="1"/>
  <c r="AA70" i="73"/>
  <c r="O71" i="82" s="1"/>
  <c r="N73" i="67"/>
  <c r="P44" i="71"/>
  <c r="J45" i="80" s="1"/>
  <c r="P31" i="67"/>
  <c r="J32" i="76" s="1"/>
  <c r="X16" i="72"/>
  <c r="N17" i="81" s="1"/>
  <c r="X24" i="72"/>
  <c r="N25" i="81" s="1"/>
  <c r="X32" i="72"/>
  <c r="N33" i="81" s="1"/>
  <c r="H36" i="72"/>
  <c r="F37" i="81" s="1"/>
  <c r="AA38" i="72"/>
  <c r="O39" i="81" s="1"/>
  <c r="X40" i="72"/>
  <c r="N41" i="81" s="1"/>
  <c r="AA46" i="72"/>
  <c r="O47" i="81" s="1"/>
  <c r="X48" i="72"/>
  <c r="N49" i="81" s="1"/>
  <c r="X56" i="72"/>
  <c r="N57" i="81" s="1"/>
  <c r="X64" i="72"/>
  <c r="N65" i="81" s="1"/>
  <c r="H68" i="72"/>
  <c r="F69" i="81" s="1"/>
  <c r="AA70" i="72"/>
  <c r="O71" i="81" s="1"/>
  <c r="X72" i="72"/>
  <c r="N73" i="81" s="1"/>
  <c r="AA17" i="73"/>
  <c r="O18" i="82" s="1"/>
  <c r="X19" i="73"/>
  <c r="N20" i="82" s="1"/>
  <c r="AA25" i="73"/>
  <c r="O26" i="82" s="1"/>
  <c r="AA33" i="73"/>
  <c r="O34" i="82" s="1"/>
  <c r="AA41" i="73"/>
  <c r="O42" i="82" s="1"/>
  <c r="AA49" i="73"/>
  <c r="O50" i="82" s="1"/>
  <c r="X51" i="73"/>
  <c r="N52" i="82" s="1"/>
  <c r="X45" i="66"/>
  <c r="N46" i="75" s="1"/>
  <c r="X61" i="66"/>
  <c r="N62" i="75" s="1"/>
  <c r="X69" i="66"/>
  <c r="N70" i="75" s="1"/>
  <c r="H20" i="67"/>
  <c r="F21" i="76" s="1"/>
  <c r="AA30" i="67"/>
  <c r="O31" i="76" s="1"/>
  <c r="AA38" i="67"/>
  <c r="O39" i="76" s="1"/>
  <c r="AA46" i="67"/>
  <c r="O47" i="76" s="1"/>
  <c r="AA54" i="67"/>
  <c r="O55" i="76" s="1"/>
  <c r="AA62" i="67"/>
  <c r="O63" i="76" s="1"/>
  <c r="AA70" i="67"/>
  <c r="O71" i="76" s="1"/>
  <c r="H23" i="68"/>
  <c r="F24" i="77" s="1"/>
  <c r="AA25" i="68"/>
  <c r="O26" i="77" s="1"/>
  <c r="H31" i="68"/>
  <c r="F32" i="77" s="1"/>
  <c r="AA33" i="68"/>
  <c r="O34" i="77" s="1"/>
  <c r="H39" i="68"/>
  <c r="F40" i="77" s="1"/>
  <c r="AA41" i="68"/>
  <c r="O42" i="77" s="1"/>
  <c r="H47" i="68"/>
  <c r="F48" i="77" s="1"/>
  <c r="AA49" i="68"/>
  <c r="O50" i="77" s="1"/>
  <c r="H55" i="68"/>
  <c r="F56" i="77" s="1"/>
  <c r="AA57" i="68"/>
  <c r="O58" i="77" s="1"/>
  <c r="H63" i="68"/>
  <c r="F64" i="77" s="1"/>
  <c r="AA65" i="68"/>
  <c r="O66" i="77" s="1"/>
  <c r="H71" i="68"/>
  <c r="F72" i="77" s="1"/>
  <c r="AA20" i="69"/>
  <c r="O21" i="78" s="1"/>
  <c r="H26" i="69"/>
  <c r="F27" i="78" s="1"/>
  <c r="AA28" i="69"/>
  <c r="O29" i="78" s="1"/>
  <c r="H34" i="69"/>
  <c r="F35" i="78" s="1"/>
  <c r="AA36" i="69"/>
  <c r="O37" i="78" s="1"/>
  <c r="AA44" i="69"/>
  <c r="O45" i="78" s="1"/>
  <c r="AA52" i="69"/>
  <c r="O53" i="78" s="1"/>
  <c r="AA60" i="69"/>
  <c r="O61" i="78" s="1"/>
  <c r="AA68" i="69"/>
  <c r="O69" i="78" s="1"/>
  <c r="X26" i="70"/>
  <c r="N27" i="79" s="1"/>
  <c r="X42" i="70"/>
  <c r="N43" i="79" s="1"/>
  <c r="X50" i="70"/>
  <c r="N51" i="79" s="1"/>
  <c r="X58" i="70"/>
  <c r="N59" i="79" s="1"/>
  <c r="X66" i="70"/>
  <c r="N67" i="79" s="1"/>
  <c r="P16" i="71"/>
  <c r="J17" i="80" s="1"/>
  <c r="P24" i="71"/>
  <c r="J25" i="80" s="1"/>
  <c r="P32" i="71"/>
  <c r="J33" i="80" s="1"/>
  <c r="P40" i="71"/>
  <c r="J41" i="80" s="1"/>
  <c r="P48" i="71"/>
  <c r="J49" i="80" s="1"/>
  <c r="P56" i="71"/>
  <c r="J57" i="80" s="1"/>
  <c r="P64" i="71"/>
  <c r="J65" i="80" s="1"/>
  <c r="AA16" i="72"/>
  <c r="O17" i="81" s="1"/>
  <c r="AA24" i="72"/>
  <c r="O25" i="81" s="1"/>
  <c r="AA32" i="72"/>
  <c r="O33" i="81" s="1"/>
  <c r="AA40" i="72"/>
  <c r="O41" i="81" s="1"/>
  <c r="AA48" i="72"/>
  <c r="O49" i="81" s="1"/>
  <c r="AA56" i="72"/>
  <c r="O57" i="81" s="1"/>
  <c r="AA64" i="72"/>
  <c r="O65" i="81" s="1"/>
  <c r="AA72" i="72"/>
  <c r="O73" i="81" s="1"/>
  <c r="AA59" i="73"/>
  <c r="O60" i="82" s="1"/>
  <c r="P58" i="66"/>
  <c r="J59" i="75" s="1"/>
  <c r="P66" i="66"/>
  <c r="J67" i="75" s="1"/>
  <c r="AA17" i="67"/>
  <c r="O18" i="76" s="1"/>
  <c r="AA33" i="67"/>
  <c r="O34" i="76" s="1"/>
  <c r="AA57" i="67"/>
  <c r="O58" i="76" s="1"/>
  <c r="AA65" i="67"/>
  <c r="O66" i="76" s="1"/>
  <c r="AA20" i="68"/>
  <c r="O21" i="77" s="1"/>
  <c r="AA28" i="68"/>
  <c r="O29" i="77" s="1"/>
  <c r="AA36" i="68"/>
  <c r="O37" i="77" s="1"/>
  <c r="AA44" i="68"/>
  <c r="O45" i="77" s="1"/>
  <c r="AA52" i="68"/>
  <c r="O53" i="77" s="1"/>
  <c r="AA60" i="68"/>
  <c r="O61" i="77" s="1"/>
  <c r="AA68" i="68"/>
  <c r="O69" i="77" s="1"/>
  <c r="X29" i="70"/>
  <c r="N30" i="79" s="1"/>
  <c r="X37" i="70"/>
  <c r="N38" i="79" s="1"/>
  <c r="X45" i="70"/>
  <c r="N46" i="79" s="1"/>
  <c r="X53" i="70"/>
  <c r="N54" i="79" s="1"/>
  <c r="X61" i="70"/>
  <c r="N62" i="79" s="1"/>
  <c r="X69" i="70"/>
  <c r="N70" i="79" s="1"/>
  <c r="P19" i="71"/>
  <c r="J20" i="80" s="1"/>
  <c r="P35" i="71"/>
  <c r="J36" i="80" s="1"/>
  <c r="P43" i="71"/>
  <c r="J44" i="80" s="1"/>
  <c r="P51" i="71"/>
  <c r="J52" i="80" s="1"/>
  <c r="P59" i="71"/>
  <c r="J60" i="80" s="1"/>
  <c r="P67" i="71"/>
  <c r="J68" i="80" s="1"/>
  <c r="H25" i="72"/>
  <c r="F26" i="81" s="1"/>
  <c r="AA27" i="72"/>
  <c r="O28" i="81" s="1"/>
  <c r="H65" i="72"/>
  <c r="F66" i="81" s="1"/>
  <c r="X64" i="73"/>
  <c r="N65" i="82" s="1"/>
  <c r="X72" i="73"/>
  <c r="N73" i="82" s="1"/>
  <c r="X52" i="66"/>
  <c r="N53" i="75" s="1"/>
  <c r="X64" i="66"/>
  <c r="N65" i="75" s="1"/>
  <c r="X72" i="66"/>
  <c r="N73" i="75" s="1"/>
  <c r="AA20" i="67"/>
  <c r="O21" i="76" s="1"/>
  <c r="H26" i="67"/>
  <c r="F27" i="76" s="1"/>
  <c r="H30" i="67"/>
  <c r="F31" i="76" s="1"/>
  <c r="H34" i="67"/>
  <c r="F35" i="76" s="1"/>
  <c r="AA36" i="67"/>
  <c r="O37" i="76" s="1"/>
  <c r="H38" i="67"/>
  <c r="F39" i="76" s="1"/>
  <c r="AA40" i="67"/>
  <c r="O41" i="76" s="1"/>
  <c r="H42" i="67"/>
  <c r="F43" i="76" s="1"/>
  <c r="AA44" i="67"/>
  <c r="O45" i="76" s="1"/>
  <c r="H46" i="67"/>
  <c r="F47" i="76" s="1"/>
  <c r="AA48" i="67"/>
  <c r="O49" i="76" s="1"/>
  <c r="H50" i="67"/>
  <c r="F51" i="76" s="1"/>
  <c r="AA52" i="67"/>
  <c r="O53" i="76" s="1"/>
  <c r="H54" i="67"/>
  <c r="F55" i="76" s="1"/>
  <c r="AA56" i="67"/>
  <c r="O57" i="76" s="1"/>
  <c r="AA60" i="67"/>
  <c r="O61" i="76" s="1"/>
  <c r="AA64" i="67"/>
  <c r="O65" i="76" s="1"/>
  <c r="AA68" i="67"/>
  <c r="O69" i="76" s="1"/>
  <c r="AA72" i="67"/>
  <c r="O73" i="76" s="1"/>
  <c r="H29" i="68"/>
  <c r="F30" i="77" s="1"/>
  <c r="AA39" i="68"/>
  <c r="O40" i="77" s="1"/>
  <c r="AA43" i="68"/>
  <c r="O44" i="77" s="1"/>
  <c r="AA47" i="68"/>
  <c r="O48" i="77" s="1"/>
  <c r="AA51" i="68"/>
  <c r="O52" i="77" s="1"/>
  <c r="H65" i="68"/>
  <c r="F66" i="77" s="1"/>
  <c r="H69" i="68"/>
  <c r="F70" i="77" s="1"/>
  <c r="AA71" i="68"/>
  <c r="O72" i="77" s="1"/>
  <c r="X56" i="66"/>
  <c r="N57" i="75" s="1"/>
  <c r="X68" i="66"/>
  <c r="N69" i="75" s="1"/>
  <c r="AA24" i="67"/>
  <c r="O25" i="76" s="1"/>
  <c r="AA32" i="67"/>
  <c r="O33" i="76" s="1"/>
  <c r="P15" i="66"/>
  <c r="J16" i="75" s="1"/>
  <c r="P19" i="66"/>
  <c r="J20" i="75" s="1"/>
  <c r="P23" i="66"/>
  <c r="J24" i="75" s="1"/>
  <c r="P27" i="66"/>
  <c r="J28" i="75" s="1"/>
  <c r="P31" i="66"/>
  <c r="J32" i="75" s="1"/>
  <c r="P35" i="66"/>
  <c r="J36" i="75" s="1"/>
  <c r="P39" i="66"/>
  <c r="J40" i="75" s="1"/>
  <c r="P43" i="66"/>
  <c r="J44" i="75" s="1"/>
  <c r="P47" i="66"/>
  <c r="J48" i="75" s="1"/>
  <c r="P51" i="66"/>
  <c r="J52" i="75" s="1"/>
  <c r="P55" i="66"/>
  <c r="J56" i="75" s="1"/>
  <c r="P59" i="66"/>
  <c r="J60" i="75" s="1"/>
  <c r="P63" i="66"/>
  <c r="J64" i="75" s="1"/>
  <c r="P67" i="66"/>
  <c r="J68" i="75" s="1"/>
  <c r="P71" i="66"/>
  <c r="J72" i="75" s="1"/>
  <c r="X19" i="67"/>
  <c r="N20" i="76" s="1"/>
  <c r="X23" i="67"/>
  <c r="N24" i="76" s="1"/>
  <c r="X27" i="67"/>
  <c r="N28" i="76" s="1"/>
  <c r="X31" i="67"/>
  <c r="N32" i="76" s="1"/>
  <c r="X35" i="67"/>
  <c r="N36" i="76" s="1"/>
  <c r="X39" i="67"/>
  <c r="N40" i="76" s="1"/>
  <c r="X43" i="67"/>
  <c r="N44" i="76" s="1"/>
  <c r="X47" i="67"/>
  <c r="N48" i="76" s="1"/>
  <c r="X51" i="67"/>
  <c r="N52" i="76" s="1"/>
  <c r="X55" i="67"/>
  <c r="N56" i="76" s="1"/>
  <c r="X59" i="67"/>
  <c r="N60" i="76" s="1"/>
  <c r="X63" i="67"/>
  <c r="N64" i="76" s="1"/>
  <c r="X67" i="67"/>
  <c r="N68" i="76" s="1"/>
  <c r="X71" i="67"/>
  <c r="N72" i="76" s="1"/>
  <c r="X22" i="68"/>
  <c r="N23" i="77" s="1"/>
  <c r="X34" i="68"/>
  <c r="N35" i="77" s="1"/>
  <c r="X38" i="68"/>
  <c r="N39" i="77" s="1"/>
  <c r="X42" i="68"/>
  <c r="N43" i="77" s="1"/>
  <c r="X46" i="68"/>
  <c r="N47" i="77" s="1"/>
  <c r="X50" i="68"/>
  <c r="N51" i="77" s="1"/>
  <c r="X54" i="68"/>
  <c r="N55" i="77" s="1"/>
  <c r="X58" i="68"/>
  <c r="N59" i="77" s="1"/>
  <c r="X62" i="68"/>
  <c r="N63" i="77" s="1"/>
  <c r="X66" i="68"/>
  <c r="N67" i="77" s="1"/>
  <c r="X70" i="68"/>
  <c r="N71" i="77" s="1"/>
  <c r="X48" i="66"/>
  <c r="N49" i="75" s="1"/>
  <c r="X60" i="66"/>
  <c r="N61" i="75" s="1"/>
  <c r="AA28" i="67"/>
  <c r="O29" i="76" s="1"/>
  <c r="AA44" i="66"/>
  <c r="O45" i="75" s="1"/>
  <c r="H54" i="66"/>
  <c r="F55" i="75" s="1"/>
  <c r="AA68" i="66"/>
  <c r="O69" i="75" s="1"/>
  <c r="P22" i="67"/>
  <c r="J23" i="76" s="1"/>
  <c r="P26" i="67"/>
  <c r="J27" i="76" s="1"/>
  <c r="P30" i="67"/>
  <c r="J31" i="76" s="1"/>
  <c r="P34" i="67"/>
  <c r="J35" i="76" s="1"/>
  <c r="P38" i="67"/>
  <c r="J39" i="76" s="1"/>
  <c r="P42" i="67"/>
  <c r="J43" i="76" s="1"/>
  <c r="P46" i="67"/>
  <c r="J47" i="76" s="1"/>
  <c r="P50" i="67"/>
  <c r="J51" i="76" s="1"/>
  <c r="P54" i="67"/>
  <c r="J55" i="76" s="1"/>
  <c r="P58" i="67"/>
  <c r="J59" i="76" s="1"/>
  <c r="P62" i="67"/>
  <c r="J63" i="76" s="1"/>
  <c r="P66" i="67"/>
  <c r="J67" i="76" s="1"/>
  <c r="P70" i="67"/>
  <c r="J71" i="76" s="1"/>
  <c r="P16" i="69"/>
  <c r="J17" i="78" s="1"/>
  <c r="P20" i="69"/>
  <c r="J21" i="78" s="1"/>
  <c r="P30" i="66"/>
  <c r="J31" i="75" s="1"/>
  <c r="P26" i="66"/>
  <c r="J27" i="75" s="1"/>
  <c r="AA15" i="66"/>
  <c r="O16" i="75" s="1"/>
  <c r="AA23" i="66"/>
  <c r="O24" i="75" s="1"/>
  <c r="AA27" i="66"/>
  <c r="O28" i="75" s="1"/>
  <c r="AA31" i="66"/>
  <c r="O32" i="75" s="1"/>
  <c r="H41" i="66"/>
  <c r="F42" i="75" s="1"/>
  <c r="H45" i="66"/>
  <c r="F46" i="75" s="1"/>
  <c r="AA71" i="66"/>
  <c r="O72" i="75" s="1"/>
  <c r="P17" i="67"/>
  <c r="J18" i="76" s="1"/>
  <c r="P21" i="67"/>
  <c r="J22" i="76" s="1"/>
  <c r="P25" i="67"/>
  <c r="J26" i="76" s="1"/>
  <c r="P29" i="67"/>
  <c r="J30" i="76" s="1"/>
  <c r="P33" i="67"/>
  <c r="J34" i="76" s="1"/>
  <c r="P37" i="67"/>
  <c r="J38" i="76" s="1"/>
  <c r="P41" i="67"/>
  <c r="J42" i="76" s="1"/>
  <c r="P45" i="67"/>
  <c r="J46" i="76" s="1"/>
  <c r="P49" i="67"/>
  <c r="J50" i="76" s="1"/>
  <c r="P53" i="67"/>
  <c r="J54" i="76" s="1"/>
  <c r="P57" i="67"/>
  <c r="J58" i="76" s="1"/>
  <c r="P61" i="67"/>
  <c r="J62" i="76" s="1"/>
  <c r="P65" i="67"/>
  <c r="J66" i="76" s="1"/>
  <c r="P69" i="67"/>
  <c r="J70" i="76" s="1"/>
  <c r="P16" i="68"/>
  <c r="J17" i="77" s="1"/>
  <c r="P20" i="68"/>
  <c r="J21" i="77" s="1"/>
  <c r="P24" i="68"/>
  <c r="J25" i="77" s="1"/>
  <c r="P28" i="68"/>
  <c r="J29" i="77" s="1"/>
  <c r="P32" i="68"/>
  <c r="J33" i="77" s="1"/>
  <c r="P36" i="68"/>
  <c r="J37" i="77" s="1"/>
  <c r="P40" i="68"/>
  <c r="J41" i="77" s="1"/>
  <c r="P44" i="68"/>
  <c r="J45" i="77" s="1"/>
  <c r="P48" i="68"/>
  <c r="J49" i="77" s="1"/>
  <c r="P52" i="68"/>
  <c r="J53" i="77" s="1"/>
  <c r="P56" i="68"/>
  <c r="J57" i="77" s="1"/>
  <c r="P60" i="68"/>
  <c r="J61" i="77" s="1"/>
  <c r="P64" i="68"/>
  <c r="J65" i="77" s="1"/>
  <c r="P68" i="68"/>
  <c r="J69" i="77" s="1"/>
  <c r="P19" i="69"/>
  <c r="J20" i="78" s="1"/>
  <c r="P18" i="66"/>
  <c r="J19" i="75" s="1"/>
  <c r="P33" i="66"/>
  <c r="J34" i="75" s="1"/>
  <c r="P41" i="66"/>
  <c r="J42" i="75" s="1"/>
  <c r="P49" i="66"/>
  <c r="J50" i="75" s="1"/>
  <c r="P65" i="66"/>
  <c r="J66" i="75" s="1"/>
  <c r="X29" i="67"/>
  <c r="N30" i="76" s="1"/>
  <c r="X33" i="67"/>
  <c r="N34" i="76" s="1"/>
  <c r="X37" i="67"/>
  <c r="N38" i="76" s="1"/>
  <c r="X41" i="67"/>
  <c r="N42" i="76" s="1"/>
  <c r="X45" i="67"/>
  <c r="N46" i="76" s="1"/>
  <c r="X49" i="67"/>
  <c r="N50" i="76" s="1"/>
  <c r="X53" i="67"/>
  <c r="N54" i="76" s="1"/>
  <c r="X57" i="67"/>
  <c r="N58" i="76" s="1"/>
  <c r="X61" i="67"/>
  <c r="N62" i="76" s="1"/>
  <c r="X65" i="67"/>
  <c r="N66" i="76" s="1"/>
  <c r="X69" i="67"/>
  <c r="N70" i="76" s="1"/>
  <c r="X20" i="68"/>
  <c r="N21" i="77" s="1"/>
  <c r="P34" i="66"/>
  <c r="J35" i="75" s="1"/>
  <c r="P29" i="66"/>
  <c r="J30" i="75" s="1"/>
  <c r="P37" i="66"/>
  <c r="J38" i="75" s="1"/>
  <c r="P45" i="66"/>
  <c r="J46" i="75" s="1"/>
  <c r="P61" i="66"/>
  <c r="J62" i="75" s="1"/>
  <c r="H44" i="66"/>
  <c r="F45" i="75" s="1"/>
  <c r="AA50" i="66"/>
  <c r="O51" i="75" s="1"/>
  <c r="AA54" i="66"/>
  <c r="O55" i="75" s="1"/>
  <c r="AA58" i="66"/>
  <c r="O59" i="75" s="1"/>
  <c r="AA62" i="66"/>
  <c r="O63" i="75" s="1"/>
  <c r="AA66" i="66"/>
  <c r="O67" i="75" s="1"/>
  <c r="H68" i="66"/>
  <c r="F69" i="75" s="1"/>
  <c r="P15" i="68"/>
  <c r="J16" i="77" s="1"/>
  <c r="P19" i="68"/>
  <c r="J20" i="77" s="1"/>
  <c r="P23" i="68"/>
  <c r="J24" i="77" s="1"/>
  <c r="P27" i="68"/>
  <c r="J28" i="77" s="1"/>
  <c r="P31" i="68"/>
  <c r="J32" i="77" s="1"/>
  <c r="P35" i="68"/>
  <c r="J36" i="77" s="1"/>
  <c r="P39" i="68"/>
  <c r="J40" i="77" s="1"/>
  <c r="P43" i="68"/>
  <c r="J44" i="77" s="1"/>
  <c r="P47" i="68"/>
  <c r="J48" i="77" s="1"/>
  <c r="P51" i="68"/>
  <c r="J52" i="77" s="1"/>
  <c r="P55" i="68"/>
  <c r="J56" i="77" s="1"/>
  <c r="P59" i="68"/>
  <c r="J60" i="77" s="1"/>
  <c r="P63" i="68"/>
  <c r="J64" i="77" s="1"/>
  <c r="P67" i="68"/>
  <c r="J68" i="77" s="1"/>
  <c r="P71" i="68"/>
  <c r="J72" i="77" s="1"/>
  <c r="P42" i="66"/>
  <c r="J43" i="75" s="1"/>
  <c r="P22" i="66"/>
  <c r="J23" i="75" s="1"/>
  <c r="P50" i="66"/>
  <c r="J51" i="75" s="1"/>
  <c r="P20" i="66"/>
  <c r="J21" i="75" s="1"/>
  <c r="P24" i="66"/>
  <c r="J25" i="75" s="1"/>
  <c r="P28" i="66"/>
  <c r="J29" i="75" s="1"/>
  <c r="P32" i="66"/>
  <c r="J33" i="75" s="1"/>
  <c r="P36" i="66"/>
  <c r="J37" i="75" s="1"/>
  <c r="P40" i="66"/>
  <c r="J41" i="75" s="1"/>
  <c r="P48" i="66"/>
  <c r="J49" i="75" s="1"/>
  <c r="P52" i="66"/>
  <c r="J53" i="75" s="1"/>
  <c r="P56" i="66"/>
  <c r="J57" i="75" s="1"/>
  <c r="P60" i="66"/>
  <c r="J61" i="75" s="1"/>
  <c r="P64" i="66"/>
  <c r="J65" i="75" s="1"/>
  <c r="X20" i="67"/>
  <c r="N21" i="76" s="1"/>
  <c r="X48" i="67"/>
  <c r="N49" i="76" s="1"/>
  <c r="X56" i="67"/>
  <c r="N57" i="76" s="1"/>
  <c r="X60" i="67"/>
  <c r="N61" i="76" s="1"/>
  <c r="X64" i="67"/>
  <c r="N65" i="76" s="1"/>
  <c r="X68" i="67"/>
  <c r="N69" i="76" s="1"/>
  <c r="X72" i="67"/>
  <c r="N73" i="76" s="1"/>
  <c r="X19" i="68"/>
  <c r="N20" i="77" s="1"/>
  <c r="X23" i="68"/>
  <c r="N24" i="77" s="1"/>
  <c r="X27" i="68"/>
  <c r="N28" i="77" s="1"/>
  <c r="X31" i="68"/>
  <c r="N32" i="77" s="1"/>
  <c r="X35" i="68"/>
  <c r="N36" i="77" s="1"/>
  <c r="X39" i="68"/>
  <c r="N40" i="77" s="1"/>
  <c r="X43" i="68"/>
  <c r="N44" i="77" s="1"/>
  <c r="X47" i="68"/>
  <c r="N48" i="77" s="1"/>
  <c r="X51" i="68"/>
  <c r="N52" i="77" s="1"/>
  <c r="X55" i="68"/>
  <c r="N56" i="77" s="1"/>
  <c r="X59" i="68"/>
  <c r="N60" i="77" s="1"/>
  <c r="X63" i="68"/>
  <c r="N64" i="77" s="1"/>
  <c r="X67" i="68"/>
  <c r="N68" i="77" s="1"/>
  <c r="X71" i="68"/>
  <c r="N72" i="77" s="1"/>
  <c r="P23" i="69"/>
  <c r="J24" i="78" s="1"/>
  <c r="P31" i="69"/>
  <c r="J32" i="78" s="1"/>
  <c r="P35" i="69"/>
  <c r="J36" i="78" s="1"/>
  <c r="P39" i="69"/>
  <c r="J40" i="78" s="1"/>
  <c r="P43" i="69"/>
  <c r="J44" i="78" s="1"/>
  <c r="P47" i="69"/>
  <c r="J48" i="78" s="1"/>
  <c r="P51" i="69"/>
  <c r="J52" i="78" s="1"/>
  <c r="P55" i="69"/>
  <c r="J56" i="78" s="1"/>
  <c r="P59" i="69"/>
  <c r="J60" i="78" s="1"/>
  <c r="P63" i="69"/>
  <c r="J64" i="78" s="1"/>
  <c r="P67" i="69"/>
  <c r="J68" i="78" s="1"/>
  <c r="P71" i="69"/>
  <c r="J72" i="78" s="1"/>
  <c r="AA43" i="70"/>
  <c r="O44" i="79" s="1"/>
  <c r="AA47" i="70"/>
  <c r="O48" i="79" s="1"/>
  <c r="H53" i="70"/>
  <c r="F54" i="79" s="1"/>
  <c r="H65" i="70"/>
  <c r="F66" i="79" s="1"/>
  <c r="X29" i="71"/>
  <c r="N30" i="80" s="1"/>
  <c r="X33" i="71"/>
  <c r="N34" i="80" s="1"/>
  <c r="X37" i="71"/>
  <c r="N38" i="80" s="1"/>
  <c r="X41" i="71"/>
  <c r="N42" i="80" s="1"/>
  <c r="X45" i="71"/>
  <c r="N46" i="80" s="1"/>
  <c r="X49" i="71"/>
  <c r="N50" i="80" s="1"/>
  <c r="X53" i="71"/>
  <c r="N54" i="80" s="1"/>
  <c r="X57" i="71"/>
  <c r="N58" i="80" s="1"/>
  <c r="X61" i="71"/>
  <c r="N62" i="80" s="1"/>
  <c r="X65" i="71"/>
  <c r="N66" i="80" s="1"/>
  <c r="X69" i="71"/>
  <c r="N70" i="80" s="1"/>
  <c r="P35" i="72"/>
  <c r="J36" i="81" s="1"/>
  <c r="P39" i="72"/>
  <c r="J40" i="81" s="1"/>
  <c r="P43" i="72"/>
  <c r="J44" i="81" s="1"/>
  <c r="P47" i="72"/>
  <c r="J48" i="81" s="1"/>
  <c r="P51" i="72"/>
  <c r="J52" i="81" s="1"/>
  <c r="P55" i="72"/>
  <c r="J56" i="81" s="1"/>
  <c r="P59" i="72"/>
  <c r="J60" i="81" s="1"/>
  <c r="P63" i="72"/>
  <c r="J64" i="81" s="1"/>
  <c r="P67" i="72"/>
  <c r="J68" i="81" s="1"/>
  <c r="P71" i="72"/>
  <c r="J72" i="81" s="1"/>
  <c r="AA71" i="73"/>
  <c r="O72" i="82" s="1"/>
  <c r="AA18" i="70"/>
  <c r="O19" i="79" s="1"/>
  <c r="AA22" i="70"/>
  <c r="O23" i="79" s="1"/>
  <c r="H24" i="70"/>
  <c r="F25" i="79" s="1"/>
  <c r="AA26" i="70"/>
  <c r="O27" i="79" s="1"/>
  <c r="H28" i="70"/>
  <c r="F29" i="79" s="1"/>
  <c r="AA30" i="70"/>
  <c r="O31" i="79" s="1"/>
  <c r="H32" i="70"/>
  <c r="F33" i="79" s="1"/>
  <c r="AA34" i="70"/>
  <c r="O35" i="79" s="1"/>
  <c r="AA38" i="70"/>
  <c r="O39" i="79" s="1"/>
  <c r="AA42" i="70"/>
  <c r="O43" i="79" s="1"/>
  <c r="AA46" i="70"/>
  <c r="O47" i="79" s="1"/>
  <c r="AA50" i="70"/>
  <c r="O51" i="79" s="1"/>
  <c r="H52" i="70"/>
  <c r="F53" i="79" s="1"/>
  <c r="AA54" i="70"/>
  <c r="O55" i="79" s="1"/>
  <c r="H56" i="70"/>
  <c r="F57" i="79" s="1"/>
  <c r="AA58" i="70"/>
  <c r="O59" i="79" s="1"/>
  <c r="AA62" i="70"/>
  <c r="O63" i="79" s="1"/>
  <c r="H64" i="70"/>
  <c r="F65" i="79" s="1"/>
  <c r="AA66" i="70"/>
  <c r="O67" i="79" s="1"/>
  <c r="AA70" i="70"/>
  <c r="O71" i="79" s="1"/>
  <c r="H72" i="70"/>
  <c r="F73" i="79" s="1"/>
  <c r="X16" i="71"/>
  <c r="N17" i="80" s="1"/>
  <c r="X24" i="71"/>
  <c r="N25" i="80" s="1"/>
  <c r="X28" i="71"/>
  <c r="N29" i="80" s="1"/>
  <c r="X32" i="71"/>
  <c r="N33" i="80" s="1"/>
  <c r="X36" i="71"/>
  <c r="N37" i="80" s="1"/>
  <c r="X40" i="71"/>
  <c r="N41" i="80" s="1"/>
  <c r="X44" i="71"/>
  <c r="N45" i="80" s="1"/>
  <c r="X48" i="71"/>
  <c r="N49" i="80" s="1"/>
  <c r="X52" i="71"/>
  <c r="N53" i="80" s="1"/>
  <c r="X56" i="71"/>
  <c r="N57" i="80" s="1"/>
  <c r="X60" i="71"/>
  <c r="N61" i="80" s="1"/>
  <c r="X64" i="71"/>
  <c r="N65" i="80" s="1"/>
  <c r="X68" i="71"/>
  <c r="N69" i="80" s="1"/>
  <c r="X72" i="71"/>
  <c r="N73" i="80" s="1"/>
  <c r="H16" i="73"/>
  <c r="F17" i="82" s="1"/>
  <c r="AA18" i="73"/>
  <c r="O19" i="82" s="1"/>
  <c r="H20" i="73"/>
  <c r="F21" i="82" s="1"/>
  <c r="AA22" i="73"/>
  <c r="O23" i="82" s="1"/>
  <c r="AA26" i="73"/>
  <c r="O27" i="82" s="1"/>
  <c r="AA30" i="73"/>
  <c r="O31" i="82" s="1"/>
  <c r="AA34" i="73"/>
  <c r="O35" i="82" s="1"/>
  <c r="AA38" i="73"/>
  <c r="O39" i="82" s="1"/>
  <c r="AA42" i="73"/>
  <c r="O43" i="82" s="1"/>
  <c r="AA46" i="73"/>
  <c r="O47" i="82" s="1"/>
  <c r="AA50" i="73"/>
  <c r="O51" i="82" s="1"/>
  <c r="AA54" i="73"/>
  <c r="O55" i="82" s="1"/>
  <c r="AA58" i="73"/>
  <c r="O59" i="82" s="1"/>
  <c r="AA62" i="73"/>
  <c r="O63" i="82" s="1"/>
  <c r="AA66" i="73"/>
  <c r="O67" i="82" s="1"/>
  <c r="X30" i="69"/>
  <c r="N31" i="78" s="1"/>
  <c r="X34" i="69"/>
  <c r="N35" i="78" s="1"/>
  <c r="X38" i="69"/>
  <c r="N39" i="78" s="1"/>
  <c r="X42" i="69"/>
  <c r="N43" i="78" s="1"/>
  <c r="X50" i="69"/>
  <c r="N51" i="78" s="1"/>
  <c r="X66" i="69"/>
  <c r="N67" i="78" s="1"/>
  <c r="P16" i="70"/>
  <c r="J17" i="79" s="1"/>
  <c r="P20" i="70"/>
  <c r="J21" i="79" s="1"/>
  <c r="P24" i="70"/>
  <c r="J25" i="79" s="1"/>
  <c r="P28" i="70"/>
  <c r="J29" i="79" s="1"/>
  <c r="P32" i="70"/>
  <c r="J33" i="79" s="1"/>
  <c r="P36" i="70"/>
  <c r="J37" i="79" s="1"/>
  <c r="P40" i="70"/>
  <c r="J41" i="79" s="1"/>
  <c r="P44" i="70"/>
  <c r="J45" i="79" s="1"/>
  <c r="AA16" i="71"/>
  <c r="O17" i="80" s="1"/>
  <c r="AA24" i="71"/>
  <c r="O25" i="80" s="1"/>
  <c r="AA28" i="71"/>
  <c r="O29" i="80" s="1"/>
  <c r="AA32" i="71"/>
  <c r="O33" i="80" s="1"/>
  <c r="AA40" i="71"/>
  <c r="O41" i="80" s="1"/>
  <c r="AA44" i="71"/>
  <c r="O45" i="80" s="1"/>
  <c r="AA48" i="71"/>
  <c r="O49" i="80" s="1"/>
  <c r="AA52" i="71"/>
  <c r="O53" i="80" s="1"/>
  <c r="AA56" i="71"/>
  <c r="O57" i="80" s="1"/>
  <c r="AA60" i="71"/>
  <c r="O61" i="80" s="1"/>
  <c r="AA64" i="71"/>
  <c r="O65" i="80" s="1"/>
  <c r="AA68" i="71"/>
  <c r="O69" i="80" s="1"/>
  <c r="AA72" i="71"/>
  <c r="O73" i="80" s="1"/>
  <c r="X18" i="72"/>
  <c r="N19" i="81" s="1"/>
  <c r="X30" i="72"/>
  <c r="N31" i="81" s="1"/>
  <c r="X34" i="72"/>
  <c r="N35" i="81" s="1"/>
  <c r="X38" i="72"/>
  <c r="N39" i="81" s="1"/>
  <c r="X42" i="72"/>
  <c r="N43" i="81" s="1"/>
  <c r="X46" i="72"/>
  <c r="N47" i="81" s="1"/>
  <c r="X54" i="72"/>
  <c r="N55" i="81" s="1"/>
  <c r="X58" i="72"/>
  <c r="N59" i="81" s="1"/>
  <c r="X62" i="72"/>
  <c r="N63" i="81" s="1"/>
  <c r="X66" i="72"/>
  <c r="N67" i="81" s="1"/>
  <c r="X70" i="72"/>
  <c r="N71" i="81" s="1"/>
  <c r="X29" i="73"/>
  <c r="N30" i="82" s="1"/>
  <c r="X33" i="73"/>
  <c r="N34" i="82" s="1"/>
  <c r="X37" i="73"/>
  <c r="N38" i="82" s="1"/>
  <c r="X41" i="73"/>
  <c r="N42" i="82" s="1"/>
  <c r="X45" i="73"/>
  <c r="N46" i="82" s="1"/>
  <c r="X49" i="73"/>
  <c r="N50" i="82" s="1"/>
  <c r="X53" i="73"/>
  <c r="N54" i="82" s="1"/>
  <c r="X57" i="73"/>
  <c r="N58" i="82" s="1"/>
  <c r="X61" i="73"/>
  <c r="N62" i="82" s="1"/>
  <c r="X65" i="73"/>
  <c r="N66" i="82" s="1"/>
  <c r="X69" i="73"/>
  <c r="N70" i="82" s="1"/>
  <c r="AA41" i="70"/>
  <c r="O42" i="79" s="1"/>
  <c r="AA45" i="70"/>
  <c r="O46" i="79" s="1"/>
  <c r="AA49" i="70"/>
  <c r="O50" i="79" s="1"/>
  <c r="AA53" i="70"/>
  <c r="O54" i="79" s="1"/>
  <c r="AA57" i="70"/>
  <c r="O58" i="79" s="1"/>
  <c r="AA61" i="70"/>
  <c r="O62" i="79" s="1"/>
  <c r="AA65" i="70"/>
  <c r="O66" i="79" s="1"/>
  <c r="AA69" i="70"/>
  <c r="O70" i="79" s="1"/>
  <c r="X23" i="71"/>
  <c r="N24" i="80" s="1"/>
  <c r="X27" i="71"/>
  <c r="N28" i="80" s="1"/>
  <c r="X35" i="71"/>
  <c r="N36" i="80" s="1"/>
  <c r="X39" i="71"/>
  <c r="N40" i="80" s="1"/>
  <c r="X43" i="71"/>
  <c r="N44" i="80" s="1"/>
  <c r="X47" i="71"/>
  <c r="N48" i="80" s="1"/>
  <c r="X51" i="71"/>
  <c r="N52" i="80" s="1"/>
  <c r="X55" i="71"/>
  <c r="N56" i="80" s="1"/>
  <c r="X59" i="71"/>
  <c r="N60" i="80" s="1"/>
  <c r="P33" i="72"/>
  <c r="J34" i="81" s="1"/>
  <c r="P41" i="72"/>
  <c r="J42" i="81" s="1"/>
  <c r="P45" i="72"/>
  <c r="J46" i="81" s="1"/>
  <c r="P49" i="72"/>
  <c r="J50" i="81" s="1"/>
  <c r="P53" i="72"/>
  <c r="J54" i="81" s="1"/>
  <c r="P57" i="72"/>
  <c r="J58" i="81" s="1"/>
  <c r="P61" i="72"/>
  <c r="J62" i="81" s="1"/>
  <c r="P65" i="72"/>
  <c r="J66" i="81" s="1"/>
  <c r="P16" i="73"/>
  <c r="J17" i="82" s="1"/>
  <c r="P20" i="73"/>
  <c r="J21" i="82" s="1"/>
  <c r="P28" i="73"/>
  <c r="J29" i="82" s="1"/>
  <c r="P32" i="73"/>
  <c r="J33" i="82" s="1"/>
  <c r="P36" i="73"/>
  <c r="J37" i="82" s="1"/>
  <c r="P40" i="73"/>
  <c r="J41" i="82" s="1"/>
  <c r="P44" i="73"/>
  <c r="J45" i="82" s="1"/>
  <c r="P48" i="73"/>
  <c r="J49" i="82" s="1"/>
  <c r="P52" i="73"/>
  <c r="J53" i="82" s="1"/>
  <c r="X53" i="69"/>
  <c r="N54" i="78" s="1"/>
  <c r="X61" i="69"/>
  <c r="N62" i="78" s="1"/>
  <c r="X65" i="69"/>
  <c r="N66" i="78" s="1"/>
  <c r="P15" i="70"/>
  <c r="J16" i="79" s="1"/>
  <c r="P19" i="70"/>
  <c r="J20" i="79" s="1"/>
  <c r="P23" i="70"/>
  <c r="J24" i="79" s="1"/>
  <c r="P27" i="70"/>
  <c r="J28" i="79" s="1"/>
  <c r="P31" i="70"/>
  <c r="J32" i="79" s="1"/>
  <c r="P39" i="70"/>
  <c r="J40" i="79" s="1"/>
  <c r="P47" i="70"/>
  <c r="J48" i="79" s="1"/>
  <c r="P51" i="70"/>
  <c r="J52" i="79" s="1"/>
  <c r="P55" i="70"/>
  <c r="J56" i="79" s="1"/>
  <c r="P59" i="70"/>
  <c r="J60" i="79" s="1"/>
  <c r="P63" i="70"/>
  <c r="J64" i="79" s="1"/>
  <c r="P67" i="70"/>
  <c r="J68" i="79" s="1"/>
  <c r="P71" i="70"/>
  <c r="J72" i="79" s="1"/>
  <c r="AA19" i="71"/>
  <c r="O20" i="80" s="1"/>
  <c r="AA35" i="71"/>
  <c r="O36" i="80" s="1"/>
  <c r="AA55" i="71"/>
  <c r="O56" i="80" s="1"/>
  <c r="H61" i="71"/>
  <c r="F62" i="80" s="1"/>
  <c r="H69" i="71"/>
  <c r="F70" i="80" s="1"/>
  <c r="N73" i="72"/>
  <c r="X17" i="72"/>
  <c r="N18" i="81" s="1"/>
  <c r="X21" i="72"/>
  <c r="N22" i="81" s="1"/>
  <c r="X25" i="72"/>
  <c r="N26" i="81" s="1"/>
  <c r="X29" i="72"/>
  <c r="N30" i="81" s="1"/>
  <c r="X33" i="72"/>
  <c r="N34" i="81" s="1"/>
  <c r="X37" i="72"/>
  <c r="N38" i="81" s="1"/>
  <c r="X45" i="72"/>
  <c r="N46" i="81" s="1"/>
  <c r="X49" i="72"/>
  <c r="N50" i="81" s="1"/>
  <c r="X53" i="72"/>
  <c r="N54" i="81" s="1"/>
  <c r="X57" i="72"/>
  <c r="N58" i="81" s="1"/>
  <c r="X61" i="72"/>
  <c r="N62" i="81" s="1"/>
  <c r="X65" i="72"/>
  <c r="N66" i="81" s="1"/>
  <c r="X69" i="72"/>
  <c r="N70" i="81" s="1"/>
  <c r="X20" i="73"/>
  <c r="N21" i="82" s="1"/>
  <c r="X24" i="73"/>
  <c r="N25" i="82" s="1"/>
  <c r="X28" i="73"/>
  <c r="N29" i="82" s="1"/>
  <c r="X32" i="73"/>
  <c r="N33" i="82" s="1"/>
  <c r="X40" i="73"/>
  <c r="N41" i="82" s="1"/>
  <c r="X48" i="73"/>
  <c r="N49" i="82" s="1"/>
  <c r="X52" i="73"/>
  <c r="N53" i="82" s="1"/>
  <c r="X56" i="73"/>
  <c r="N57" i="82" s="1"/>
  <c r="P24" i="69"/>
  <c r="J25" i="78" s="1"/>
  <c r="P28" i="69"/>
  <c r="J29" i="78" s="1"/>
  <c r="P32" i="69"/>
  <c r="J33" i="78" s="1"/>
  <c r="P36" i="69"/>
  <c r="J37" i="78" s="1"/>
  <c r="P40" i="69"/>
  <c r="J41" i="78" s="1"/>
  <c r="P44" i="69"/>
  <c r="J45" i="78" s="1"/>
  <c r="P48" i="69"/>
  <c r="J49" i="78" s="1"/>
  <c r="P52" i="69"/>
  <c r="J53" i="78" s="1"/>
  <c r="P56" i="69"/>
  <c r="J57" i="78" s="1"/>
  <c r="P60" i="69"/>
  <c r="J61" i="78" s="1"/>
  <c r="P64" i="69"/>
  <c r="J65" i="78" s="1"/>
  <c r="P68" i="69"/>
  <c r="J69" i="78" s="1"/>
  <c r="AA24" i="70"/>
  <c r="O25" i="79" s="1"/>
  <c r="AA28" i="70"/>
  <c r="O29" i="79" s="1"/>
  <c r="AA32" i="70"/>
  <c r="O33" i="79" s="1"/>
  <c r="AA36" i="70"/>
  <c r="O37" i="79" s="1"/>
  <c r="AA40" i="70"/>
  <c r="O41" i="79" s="1"/>
  <c r="AA44" i="70"/>
  <c r="O45" i="79" s="1"/>
  <c r="AA48" i="70"/>
  <c r="O49" i="79" s="1"/>
  <c r="AA52" i="70"/>
  <c r="O53" i="79" s="1"/>
  <c r="AA56" i="70"/>
  <c r="O57" i="79" s="1"/>
  <c r="AA60" i="70"/>
  <c r="O61" i="79" s="1"/>
  <c r="AA64" i="70"/>
  <c r="O65" i="79" s="1"/>
  <c r="AA68" i="70"/>
  <c r="O69" i="79" s="1"/>
  <c r="AA72" i="70"/>
  <c r="O73" i="79" s="1"/>
  <c r="X22" i="71"/>
  <c r="N23" i="80" s="1"/>
  <c r="X38" i="71"/>
  <c r="N39" i="80" s="1"/>
  <c r="X66" i="71"/>
  <c r="N67" i="80" s="1"/>
  <c r="P16" i="72"/>
  <c r="J17" i="81" s="1"/>
  <c r="P20" i="72"/>
  <c r="J21" i="81" s="1"/>
  <c r="P28" i="72"/>
  <c r="J29" i="81" s="1"/>
  <c r="P32" i="72"/>
  <c r="J33" i="81" s="1"/>
  <c r="P36" i="72"/>
  <c r="J37" i="81" s="1"/>
  <c r="P40" i="72"/>
  <c r="J41" i="81" s="1"/>
  <c r="P44" i="72"/>
  <c r="J45" i="81" s="1"/>
  <c r="P48" i="72"/>
  <c r="J49" i="81" s="1"/>
  <c r="P56" i="72"/>
  <c r="J57" i="81" s="1"/>
  <c r="P60" i="72"/>
  <c r="J61" i="81" s="1"/>
  <c r="P15" i="73"/>
  <c r="J16" i="82" s="1"/>
  <c r="P19" i="73"/>
  <c r="J20" i="82" s="1"/>
  <c r="P23" i="73"/>
  <c r="J24" i="82" s="1"/>
  <c r="P27" i="73"/>
  <c r="J28" i="82" s="1"/>
  <c r="P31" i="73"/>
  <c r="J32" i="82" s="1"/>
  <c r="P35" i="73"/>
  <c r="J36" i="82" s="1"/>
  <c r="P39" i="73"/>
  <c r="J40" i="82" s="1"/>
  <c r="P43" i="73"/>
  <c r="J44" i="82" s="1"/>
  <c r="P47" i="73"/>
  <c r="J48" i="82" s="1"/>
  <c r="P51" i="73"/>
  <c r="J52" i="82" s="1"/>
  <c r="P55" i="73"/>
  <c r="J56" i="82" s="1"/>
  <c r="P59" i="73"/>
  <c r="J60" i="82" s="1"/>
  <c r="P63" i="73"/>
  <c r="J64" i="82" s="1"/>
  <c r="P67" i="73"/>
  <c r="J68" i="82" s="1"/>
  <c r="P71" i="73"/>
  <c r="J72" i="82" s="1"/>
  <c r="AA15" i="72"/>
  <c r="O16" i="81" s="1"/>
  <c r="X22" i="70"/>
  <c r="N23" i="79" s="1"/>
  <c r="X25" i="69"/>
  <c r="N26" i="78" s="1"/>
  <c r="AA25" i="69"/>
  <c r="O26" i="78" s="1"/>
  <c r="X20" i="69"/>
  <c r="N21" i="78" s="1"/>
  <c r="X24" i="69"/>
  <c r="N25" i="78" s="1"/>
  <c r="X18" i="68"/>
  <c r="N19" i="77" s="1"/>
  <c r="AA18" i="68"/>
  <c r="O19" i="77" s="1"/>
  <c r="H15" i="67"/>
  <c r="F16" i="76" s="1"/>
  <c r="AA15" i="67"/>
  <c r="O16" i="76" s="1"/>
  <c r="H28" i="66"/>
  <c r="F29" i="75" s="1"/>
  <c r="H32" i="66"/>
  <c r="F33" i="75" s="1"/>
  <c r="H36" i="66"/>
  <c r="F37" i="75" s="1"/>
  <c r="AA22" i="66"/>
  <c r="O23" i="75" s="1"/>
  <c r="X41" i="66"/>
  <c r="N42" i="75" s="1"/>
  <c r="AA37" i="66"/>
  <c r="O38" i="75" s="1"/>
  <c r="AA21" i="66"/>
  <c r="O22" i="75" s="1"/>
  <c r="X23" i="66"/>
  <c r="N24" i="75" s="1"/>
  <c r="X35" i="66"/>
  <c r="N36" i="75" s="1"/>
  <c r="AA38" i="66"/>
  <c r="O39" i="75" s="1"/>
  <c r="AA41" i="66"/>
  <c r="O42" i="75" s="1"/>
  <c r="AA17" i="66"/>
  <c r="O18" i="75" s="1"/>
  <c r="AA25" i="66"/>
  <c r="O26" i="75" s="1"/>
  <c r="AA29" i="66"/>
  <c r="O30" i="75" s="1"/>
  <c r="AA33" i="66"/>
  <c r="O34" i="75" s="1"/>
  <c r="F43" i="84"/>
  <c r="F46" i="84" s="1"/>
  <c r="X15" i="72"/>
  <c r="N16" i="81" s="1"/>
  <c r="F73" i="72"/>
  <c r="AA16" i="70"/>
  <c r="O17" i="79" s="1"/>
  <c r="AA20" i="70"/>
  <c r="O21" i="79" s="1"/>
  <c r="X18" i="70"/>
  <c r="N19" i="79" s="1"/>
  <c r="X17" i="70"/>
  <c r="N18" i="79" s="1"/>
  <c r="X21" i="70"/>
  <c r="N22" i="79" s="1"/>
  <c r="H16" i="70"/>
  <c r="F17" i="79" s="1"/>
  <c r="H20" i="70"/>
  <c r="F21" i="79" s="1"/>
  <c r="AA17" i="69"/>
  <c r="O18" i="78" s="1"/>
  <c r="AA21" i="69"/>
  <c r="O22" i="78" s="1"/>
  <c r="AA24" i="69"/>
  <c r="O25" i="78" s="1"/>
  <c r="AA15" i="69"/>
  <c r="O16" i="78" s="1"/>
  <c r="H15" i="69"/>
  <c r="F16" i="78" s="1"/>
  <c r="H18" i="69"/>
  <c r="F19" i="78" s="1"/>
  <c r="H22" i="69"/>
  <c r="F23" i="78" s="1"/>
  <c r="X16" i="68"/>
  <c r="N17" i="77" s="1"/>
  <c r="AA17" i="68"/>
  <c r="O18" i="77" s="1"/>
  <c r="AA16" i="68"/>
  <c r="O17" i="77" s="1"/>
  <c r="H19" i="68"/>
  <c r="F20" i="77" s="1"/>
  <c r="AA16" i="67"/>
  <c r="O17" i="76" s="1"/>
  <c r="H16" i="67"/>
  <c r="F17" i="76" s="1"/>
  <c r="X18" i="66"/>
  <c r="N19" i="75" s="1"/>
  <c r="X22" i="66"/>
  <c r="N23" i="75" s="1"/>
  <c r="X37" i="66"/>
  <c r="N38" i="75" s="1"/>
  <c r="X16" i="66"/>
  <c r="N17" i="75" s="1"/>
  <c r="X20" i="66"/>
  <c r="N21" i="75" s="1"/>
  <c r="X24" i="66"/>
  <c r="N25" i="75" s="1"/>
  <c r="X28" i="66"/>
  <c r="N29" i="75" s="1"/>
  <c r="X36" i="66"/>
  <c r="N37" i="75" s="1"/>
  <c r="X40" i="66"/>
  <c r="N41" i="75" s="1"/>
  <c r="X39" i="66"/>
  <c r="N40" i="75" s="1"/>
  <c r="H15" i="66"/>
  <c r="F16" i="75" s="1"/>
  <c r="H19" i="66"/>
  <c r="F20" i="75" s="1"/>
  <c r="H23" i="66"/>
  <c r="F24" i="75" s="1"/>
  <c r="H31" i="66"/>
  <c r="F32" i="75" s="1"/>
  <c r="H35" i="66"/>
  <c r="F36" i="75" s="1"/>
  <c r="H39" i="66"/>
  <c r="F40" i="75" s="1"/>
  <c r="D44" i="85"/>
  <c r="D47" i="85" s="1"/>
  <c r="E47" i="85" s="1"/>
  <c r="X17" i="73"/>
  <c r="N18" i="82" s="1"/>
  <c r="X15" i="73"/>
  <c r="N16" i="82" s="1"/>
  <c r="X23" i="73"/>
  <c r="N24" i="82" s="1"/>
  <c r="X27" i="73"/>
  <c r="N28" i="82" s="1"/>
  <c r="X31" i="73"/>
  <c r="N32" i="82" s="1"/>
  <c r="X35" i="73"/>
  <c r="N36" i="82" s="1"/>
  <c r="X39" i="73"/>
  <c r="N40" i="82" s="1"/>
  <c r="X43" i="73"/>
  <c r="N44" i="82" s="1"/>
  <c r="X17" i="68"/>
  <c r="N18" i="77" s="1"/>
  <c r="X21" i="68"/>
  <c r="N22" i="77" s="1"/>
  <c r="X25" i="68"/>
  <c r="N26" i="77" s="1"/>
  <c r="X21" i="73"/>
  <c r="N22" i="82" s="1"/>
  <c r="X25" i="73"/>
  <c r="N26" i="82" s="1"/>
  <c r="X33" i="68"/>
  <c r="N34" i="77" s="1"/>
  <c r="X37" i="68"/>
  <c r="N38" i="77" s="1"/>
  <c r="X41" i="68"/>
  <c r="N42" i="77" s="1"/>
  <c r="X53" i="68"/>
  <c r="N54" i="77" s="1"/>
  <c r="X57" i="68"/>
  <c r="N58" i="77" s="1"/>
  <c r="X17" i="69"/>
  <c r="N18" i="78" s="1"/>
  <c r="X21" i="69"/>
  <c r="N22" i="78" s="1"/>
  <c r="X15" i="71"/>
  <c r="N16" i="80" s="1"/>
  <c r="X19" i="71"/>
  <c r="N20" i="80" s="1"/>
  <c r="X31" i="71"/>
  <c r="N32" i="80" s="1"/>
  <c r="X18" i="67"/>
  <c r="N19" i="76" s="1"/>
  <c r="X22" i="67"/>
  <c r="N23" i="76" s="1"/>
  <c r="X30" i="67"/>
  <c r="N31" i="76" s="1"/>
  <c r="X34" i="67"/>
  <c r="N35" i="76" s="1"/>
  <c r="X38" i="67"/>
  <c r="N39" i="76" s="1"/>
  <c r="X42" i="67"/>
  <c r="N43" i="76" s="1"/>
  <c r="X46" i="67"/>
  <c r="N47" i="76" s="1"/>
  <c r="X50" i="67"/>
  <c r="N51" i="76" s="1"/>
  <c r="AA51" i="70"/>
  <c r="O52" i="79" s="1"/>
  <c r="AA55" i="70"/>
  <c r="O56" i="79" s="1"/>
  <c r="H57" i="70"/>
  <c r="F58" i="79" s="1"/>
  <c r="AA59" i="70"/>
  <c r="O60" i="79" s="1"/>
  <c r="AA63" i="70"/>
  <c r="O64" i="79" s="1"/>
  <c r="AA67" i="70"/>
  <c r="O68" i="79" s="1"/>
  <c r="AA71" i="70"/>
  <c r="O72" i="79" s="1"/>
  <c r="P16" i="66"/>
  <c r="J17" i="75" s="1"/>
  <c r="P44" i="66"/>
  <c r="J45" i="75" s="1"/>
  <c r="P68" i="66"/>
  <c r="J69" i="75" s="1"/>
  <c r="X20" i="71"/>
  <c r="N21" i="80" s="1"/>
  <c r="X31" i="72"/>
  <c r="N32" i="81" s="1"/>
  <c r="AA19" i="67"/>
  <c r="O20" i="76" s="1"/>
  <c r="AA23" i="67"/>
  <c r="O24" i="76" s="1"/>
  <c r="AA27" i="67"/>
  <c r="O28" i="76" s="1"/>
  <c r="H29" i="67"/>
  <c r="F30" i="76" s="1"/>
  <c r="AA31" i="67"/>
  <c r="O32" i="76" s="1"/>
  <c r="AA35" i="67"/>
  <c r="O36" i="76" s="1"/>
  <c r="AA39" i="67"/>
  <c r="O40" i="76" s="1"/>
  <c r="AA47" i="67"/>
  <c r="O48" i="76" s="1"/>
  <c r="AA51" i="67"/>
  <c r="O52" i="76" s="1"/>
  <c r="AA55" i="67"/>
  <c r="O56" i="76" s="1"/>
  <c r="AA59" i="67"/>
  <c r="O60" i="76" s="1"/>
  <c r="AA63" i="67"/>
  <c r="O64" i="76" s="1"/>
  <c r="H65" i="67"/>
  <c r="F66" i="76" s="1"/>
  <c r="AA71" i="67"/>
  <c r="O72" i="76" s="1"/>
  <c r="X17" i="71"/>
  <c r="N18" i="80" s="1"/>
  <c r="X21" i="71"/>
  <c r="N22" i="80" s="1"/>
  <c r="X25" i="71"/>
  <c r="N26" i="80" s="1"/>
  <c r="P17" i="66"/>
  <c r="J18" i="75" s="1"/>
  <c r="P21" i="66"/>
  <c r="J22" i="75" s="1"/>
  <c r="X21" i="67"/>
  <c r="N22" i="76" s="1"/>
  <c r="AA35" i="70"/>
  <c r="O36" i="79" s="1"/>
  <c r="AA39" i="70"/>
  <c r="O40" i="79" s="1"/>
  <c r="P17" i="72"/>
  <c r="J18" i="81" s="1"/>
  <c r="P21" i="72"/>
  <c r="J22" i="81" s="1"/>
  <c r="P37" i="72"/>
  <c r="J38" i="81" s="1"/>
  <c r="X26" i="66"/>
  <c r="N27" i="75" s="1"/>
  <c r="X30" i="66"/>
  <c r="N31" i="75" s="1"/>
  <c r="X34" i="66"/>
  <c r="N35" i="75" s="1"/>
  <c r="X38" i="66"/>
  <c r="N39" i="75" s="1"/>
  <c r="X42" i="66"/>
  <c r="N43" i="75" s="1"/>
  <c r="X58" i="66"/>
  <c r="N59" i="75" s="1"/>
  <c r="X66" i="66"/>
  <c r="N67" i="75" s="1"/>
  <c r="X70" i="66"/>
  <c r="N71" i="75" s="1"/>
  <c r="AA59" i="71"/>
  <c r="O60" i="80" s="1"/>
  <c r="AA63" i="71"/>
  <c r="O64" i="80" s="1"/>
  <c r="AA67" i="71"/>
  <c r="O68" i="80" s="1"/>
  <c r="AA71" i="71"/>
  <c r="O72" i="80" s="1"/>
  <c r="X47" i="73"/>
  <c r="N48" i="82" s="1"/>
  <c r="X16" i="67"/>
  <c r="N17" i="76" s="1"/>
  <c r="X29" i="69"/>
  <c r="N30" i="78" s="1"/>
  <c r="X33" i="69"/>
  <c r="N34" i="78" s="1"/>
  <c r="X37" i="69"/>
  <c r="N38" i="78" s="1"/>
  <c r="X41" i="69"/>
  <c r="N42" i="78" s="1"/>
  <c r="X45" i="69"/>
  <c r="N46" i="78" s="1"/>
  <c r="X19" i="66"/>
  <c r="N20" i="75" s="1"/>
  <c r="X27" i="66"/>
  <c r="N28" i="75" s="1"/>
  <c r="X31" i="66"/>
  <c r="N32" i="75" s="1"/>
  <c r="X47" i="66"/>
  <c r="N48" i="75" s="1"/>
  <c r="X51" i="66"/>
  <c r="N52" i="75" s="1"/>
  <c r="X55" i="66"/>
  <c r="N56" i="75" s="1"/>
  <c r="X59" i="66"/>
  <c r="N60" i="75" s="1"/>
  <c r="X71" i="66"/>
  <c r="N72" i="75" s="1"/>
  <c r="X24" i="67"/>
  <c r="N25" i="76" s="1"/>
  <c r="X32" i="67"/>
  <c r="N33" i="76" s="1"/>
  <c r="X36" i="67"/>
  <c r="N37" i="76" s="1"/>
  <c r="X40" i="67"/>
  <c r="N41" i="76" s="1"/>
  <c r="X15" i="68"/>
  <c r="N16" i="77" s="1"/>
  <c r="X15" i="70"/>
  <c r="N16" i="79" s="1"/>
  <c r="X19" i="70"/>
  <c r="N20" i="79" s="1"/>
  <c r="X23" i="70"/>
  <c r="N24" i="79" s="1"/>
  <c r="X17" i="66"/>
  <c r="N18" i="75" s="1"/>
  <c r="X21" i="66"/>
  <c r="N22" i="75" s="1"/>
  <c r="X25" i="66"/>
  <c r="N26" i="75" s="1"/>
  <c r="X29" i="66"/>
  <c r="N30" i="75" s="1"/>
  <c r="X33" i="66"/>
  <c r="N34" i="75" s="1"/>
  <c r="X49" i="66"/>
  <c r="N50" i="75" s="1"/>
  <c r="X53" i="66"/>
  <c r="N54" i="75" s="1"/>
  <c r="X57" i="66"/>
  <c r="N58" i="75" s="1"/>
  <c r="AA19" i="69"/>
  <c r="O20" i="78" s="1"/>
  <c r="AA23" i="69"/>
  <c r="O24" i="78" s="1"/>
  <c r="AA31" i="69"/>
  <c r="O32" i="78" s="1"/>
  <c r="AA35" i="69"/>
  <c r="O36" i="78" s="1"/>
  <c r="AA39" i="69"/>
  <c r="O40" i="78" s="1"/>
  <c r="AA43" i="69"/>
  <c r="O44" i="78" s="1"/>
  <c r="AA47" i="69"/>
  <c r="O48" i="78" s="1"/>
  <c r="AA55" i="69"/>
  <c r="O56" i="78" s="1"/>
  <c r="AA59" i="69"/>
  <c r="O60" i="78" s="1"/>
  <c r="H61" i="69"/>
  <c r="F62" i="78" s="1"/>
  <c r="AA63" i="69"/>
  <c r="O64" i="78" s="1"/>
  <c r="H65" i="69"/>
  <c r="F66" i="78" s="1"/>
  <c r="AA67" i="69"/>
  <c r="O68" i="78" s="1"/>
  <c r="AA71" i="69"/>
  <c r="O72" i="78" s="1"/>
  <c r="X25" i="70"/>
  <c r="N26" i="79" s="1"/>
  <c r="X58" i="67"/>
  <c r="N59" i="76" s="1"/>
  <c r="X62" i="67"/>
  <c r="N63" i="76" s="1"/>
  <c r="X66" i="67"/>
  <c r="N67" i="76" s="1"/>
  <c r="AA19" i="72"/>
  <c r="O20" i="81" s="1"/>
  <c r="H21" i="72"/>
  <c r="F22" i="81" s="1"/>
  <c r="AA23" i="72"/>
  <c r="O24" i="81" s="1"/>
  <c r="AA31" i="72"/>
  <c r="O32" i="81" s="1"/>
  <c r="AA35" i="72"/>
  <c r="O36" i="81" s="1"/>
  <c r="AA39" i="72"/>
  <c r="O40" i="81" s="1"/>
  <c r="AA43" i="72"/>
  <c r="O44" i="81" s="1"/>
  <c r="AA47" i="72"/>
  <c r="O48" i="81" s="1"/>
  <c r="H49" i="72"/>
  <c r="F50" i="81" s="1"/>
  <c r="AA51" i="72"/>
  <c r="O52" i="81" s="1"/>
  <c r="AA55" i="72"/>
  <c r="O56" i="81" s="1"/>
  <c r="AA59" i="72"/>
  <c r="O60" i="81" s="1"/>
  <c r="AA63" i="72"/>
  <c r="O64" i="81" s="1"/>
  <c r="AA67" i="72"/>
  <c r="O68" i="81" s="1"/>
  <c r="AA71" i="72"/>
  <c r="O72" i="81" s="1"/>
  <c r="X16" i="73"/>
  <c r="N17" i="82" s="1"/>
  <c r="X36" i="73"/>
  <c r="N37" i="82" s="1"/>
  <c r="X44" i="73"/>
  <c r="N45" i="82" s="1"/>
  <c r="X18" i="69"/>
  <c r="N19" i="78" s="1"/>
  <c r="X22" i="69"/>
  <c r="N23" i="78" s="1"/>
  <c r="X26" i="69"/>
  <c r="N27" i="78" s="1"/>
  <c r="X46" i="69"/>
  <c r="N47" i="78" s="1"/>
  <c r="X54" i="69"/>
  <c r="N55" i="78" s="1"/>
  <c r="X58" i="69"/>
  <c r="N59" i="78" s="1"/>
  <c r="X62" i="69"/>
  <c r="N63" i="78" s="1"/>
  <c r="X70" i="69"/>
  <c r="N71" i="78" s="1"/>
  <c r="O73" i="71"/>
  <c r="X32" i="66"/>
  <c r="N33" i="75" s="1"/>
  <c r="X44" i="66"/>
  <c r="N45" i="75" s="1"/>
  <c r="X46" i="71"/>
  <c r="N47" i="80" s="1"/>
  <c r="X50" i="71"/>
  <c r="N51" i="80" s="1"/>
  <c r="X54" i="71"/>
  <c r="N55" i="80" s="1"/>
  <c r="X58" i="71"/>
  <c r="N59" i="80" s="1"/>
  <c r="P52" i="72"/>
  <c r="J53" i="81" s="1"/>
  <c r="P64" i="72"/>
  <c r="J65" i="81" s="1"/>
  <c r="P68" i="72"/>
  <c r="J69" i="81" s="1"/>
  <c r="X49" i="69"/>
  <c r="N50" i="78" s="1"/>
  <c r="X57" i="69"/>
  <c r="N58" i="78" s="1"/>
  <c r="X69" i="69"/>
  <c r="N70" i="78" s="1"/>
  <c r="AA16" i="66"/>
  <c r="O17" i="75" s="1"/>
  <c r="H18" i="66"/>
  <c r="F19" i="75" s="1"/>
  <c r="AA20" i="66"/>
  <c r="O21" i="75" s="1"/>
  <c r="H22" i="66"/>
  <c r="F23" i="75" s="1"/>
  <c r="AA24" i="66"/>
  <c r="O25" i="75" s="1"/>
  <c r="AA28" i="66"/>
  <c r="O29" i="75" s="1"/>
  <c r="H30" i="66"/>
  <c r="F31" i="75" s="1"/>
  <c r="AA32" i="66"/>
  <c r="O33" i="75" s="1"/>
  <c r="AA36" i="66"/>
  <c r="O37" i="75" s="1"/>
  <c r="AA40" i="66"/>
  <c r="O41" i="75" s="1"/>
  <c r="H46" i="66"/>
  <c r="F47" i="75" s="1"/>
  <c r="AA48" i="66"/>
  <c r="O49" i="75" s="1"/>
  <c r="AA52" i="66"/>
  <c r="O53" i="75" s="1"/>
  <c r="AA56" i="66"/>
  <c r="O57" i="75" s="1"/>
  <c r="AA60" i="66"/>
  <c r="O61" i="75" s="1"/>
  <c r="AA64" i="66"/>
  <c r="O65" i="75" s="1"/>
  <c r="AA72" i="66"/>
  <c r="O73" i="75" s="1"/>
  <c r="X26" i="68"/>
  <c r="N27" i="77" s="1"/>
  <c r="X30" i="68"/>
  <c r="N31" i="77" s="1"/>
  <c r="X28" i="72"/>
  <c r="N29" i="81" s="1"/>
  <c r="X18" i="73"/>
  <c r="N19" i="82" s="1"/>
  <c r="X26" i="73"/>
  <c r="N27" i="82" s="1"/>
  <c r="X30" i="73"/>
  <c r="N31" i="82" s="1"/>
  <c r="X34" i="73"/>
  <c r="N35" i="82" s="1"/>
  <c r="X38" i="73"/>
  <c r="N39" i="82" s="1"/>
  <c r="X42" i="73"/>
  <c r="N43" i="82" s="1"/>
  <c r="X46" i="73"/>
  <c r="N47" i="82" s="1"/>
  <c r="X50" i="73"/>
  <c r="N51" i="82" s="1"/>
  <c r="X58" i="73"/>
  <c r="N59" i="82" s="1"/>
  <c r="X62" i="73"/>
  <c r="N63" i="82" s="1"/>
  <c r="X70" i="73"/>
  <c r="N71" i="82" s="1"/>
  <c r="P38" i="66"/>
  <c r="J39" i="75" s="1"/>
  <c r="P46" i="66"/>
  <c r="J47" i="75" s="1"/>
  <c r="X15" i="67"/>
  <c r="N16" i="76" s="1"/>
  <c r="X28" i="69"/>
  <c r="N29" i="78" s="1"/>
  <c r="X61" i="68"/>
  <c r="N62" i="77" s="1"/>
  <c r="X65" i="68"/>
  <c r="N66" i="77" s="1"/>
  <c r="P15" i="69"/>
  <c r="J16" i="78" s="1"/>
  <c r="P27" i="69"/>
  <c r="J28" i="78" s="1"/>
  <c r="AA15" i="70"/>
  <c r="O16" i="79" s="1"/>
  <c r="AA19" i="70"/>
  <c r="O20" i="79" s="1"/>
  <c r="AA23" i="70"/>
  <c r="O24" i="79" s="1"/>
  <c r="AA27" i="70"/>
  <c r="O28" i="79" s="1"/>
  <c r="AA31" i="70"/>
  <c r="O32" i="79" s="1"/>
  <c r="O73" i="67"/>
  <c r="J34" i="79"/>
  <c r="J50" i="79"/>
  <c r="J57" i="82"/>
  <c r="X18" i="71"/>
  <c r="N19" i="80" s="1"/>
  <c r="X26" i="71"/>
  <c r="N27" i="80" s="1"/>
  <c r="X30" i="71"/>
  <c r="N31" i="80" s="1"/>
  <c r="X34" i="71"/>
  <c r="N35" i="80" s="1"/>
  <c r="X42" i="71"/>
  <c r="N43" i="80" s="1"/>
  <c r="F45" i="77"/>
  <c r="X16" i="70"/>
  <c r="N17" i="79" s="1"/>
  <c r="X20" i="70"/>
  <c r="N21" i="79" s="1"/>
  <c r="X28" i="70"/>
  <c r="N29" i="79" s="1"/>
  <c r="X40" i="70"/>
  <c r="N41" i="79" s="1"/>
  <c r="X44" i="70"/>
  <c r="N45" i="79" s="1"/>
  <c r="X52" i="70"/>
  <c r="N53" i="79" s="1"/>
  <c r="AA15" i="73"/>
  <c r="O16" i="82" s="1"/>
  <c r="H17" i="73"/>
  <c r="AA19" i="73"/>
  <c r="O20" i="82" s="1"/>
  <c r="AA23" i="73"/>
  <c r="O24" i="82" s="1"/>
  <c r="AA27" i="73"/>
  <c r="O28" i="82" s="1"/>
  <c r="H29" i="73"/>
  <c r="AA31" i="73"/>
  <c r="O32" i="82" s="1"/>
  <c r="AA35" i="73"/>
  <c r="O36" i="82" s="1"/>
  <c r="AA39" i="73"/>
  <c r="O40" i="82" s="1"/>
  <c r="AA43" i="73"/>
  <c r="O44" i="82" s="1"/>
  <c r="AA47" i="73"/>
  <c r="O48" i="82" s="1"/>
  <c r="AA51" i="73"/>
  <c r="O52" i="82" s="1"/>
  <c r="H53" i="73"/>
  <c r="AA55" i="73"/>
  <c r="O56" i="82" s="1"/>
  <c r="H57" i="73"/>
  <c r="F58" i="82" s="1"/>
  <c r="AA63" i="73"/>
  <c r="O64" i="82" s="1"/>
  <c r="H65" i="73"/>
  <c r="F66" i="82" s="1"/>
  <c r="AA67" i="73"/>
  <c r="O68" i="82" s="1"/>
  <c r="H69" i="73"/>
  <c r="F70" i="82" s="1"/>
  <c r="H17" i="66"/>
  <c r="F18" i="75" s="1"/>
  <c r="AA19" i="66"/>
  <c r="O20" i="75" s="1"/>
  <c r="H21" i="66"/>
  <c r="F22" i="75" s="1"/>
  <c r="H33" i="66"/>
  <c r="F34" i="75" s="1"/>
  <c r="AA35" i="66"/>
  <c r="O36" i="75" s="1"/>
  <c r="H37" i="66"/>
  <c r="F38" i="75" s="1"/>
  <c r="AA39" i="66"/>
  <c r="O40" i="75" s="1"/>
  <c r="AA43" i="66"/>
  <c r="O44" i="75" s="1"/>
  <c r="AA47" i="66"/>
  <c r="O48" i="75" s="1"/>
  <c r="AA51" i="66"/>
  <c r="O52" i="75" s="1"/>
  <c r="J55" i="75"/>
  <c r="AA55" i="66"/>
  <c r="O56" i="75" s="1"/>
  <c r="H57" i="66"/>
  <c r="F58" i="75" s="1"/>
  <c r="AA59" i="66"/>
  <c r="O60" i="75" s="1"/>
  <c r="AA63" i="66"/>
  <c r="O64" i="75" s="1"/>
  <c r="H65" i="66"/>
  <c r="F66" i="75" s="1"/>
  <c r="AA67" i="66"/>
  <c r="O68" i="75" s="1"/>
  <c r="AA18" i="69"/>
  <c r="O19" i="78" s="1"/>
  <c r="AA22" i="69"/>
  <c r="O23" i="78" s="1"/>
  <c r="AA26" i="69"/>
  <c r="O27" i="78" s="1"/>
  <c r="AA30" i="69"/>
  <c r="O31" i="78" s="1"/>
  <c r="AA34" i="69"/>
  <c r="O35" i="78" s="1"/>
  <c r="AA38" i="69"/>
  <c r="O39" i="78" s="1"/>
  <c r="AA50" i="69"/>
  <c r="O51" i="78" s="1"/>
  <c r="AA54" i="69"/>
  <c r="O55" i="78" s="1"/>
  <c r="AA58" i="69"/>
  <c r="O59" i="78" s="1"/>
  <c r="AA62" i="69"/>
  <c r="O63" i="78" s="1"/>
  <c r="AA66" i="69"/>
  <c r="O67" i="78" s="1"/>
  <c r="G73" i="66"/>
  <c r="AA18" i="66"/>
  <c r="O19" i="75" s="1"/>
  <c r="AA26" i="66"/>
  <c r="O27" i="75" s="1"/>
  <c r="AA30" i="66"/>
  <c r="O31" i="75" s="1"/>
  <c r="AA34" i="66"/>
  <c r="O35" i="75" s="1"/>
  <c r="H40" i="66"/>
  <c r="AA42" i="66"/>
  <c r="O43" i="75" s="1"/>
  <c r="AA46" i="66"/>
  <c r="O47" i="75" s="1"/>
  <c r="AA70" i="66"/>
  <c r="O71" i="75" s="1"/>
  <c r="AA15" i="68"/>
  <c r="O16" i="77" s="1"/>
  <c r="AA19" i="68"/>
  <c r="O20" i="77" s="1"/>
  <c r="AA23" i="68"/>
  <c r="O24" i="77" s="1"/>
  <c r="H25" i="68"/>
  <c r="AA27" i="68"/>
  <c r="O28" i="77" s="1"/>
  <c r="AA31" i="68"/>
  <c r="O32" i="77" s="1"/>
  <c r="H33" i="68"/>
  <c r="AA35" i="68"/>
  <c r="O36" i="77" s="1"/>
  <c r="AA55" i="68"/>
  <c r="O56" i="77" s="1"/>
  <c r="AA59" i="68"/>
  <c r="O60" i="77" s="1"/>
  <c r="AA63" i="68"/>
  <c r="O64" i="77" s="1"/>
  <c r="AA67" i="68"/>
  <c r="O68" i="77" s="1"/>
  <c r="O73" i="69"/>
  <c r="AA29" i="69"/>
  <c r="O30" i="78" s="1"/>
  <c r="AA33" i="69"/>
  <c r="O34" i="78" s="1"/>
  <c r="AA37" i="69"/>
  <c r="O38" i="78" s="1"/>
  <c r="AA41" i="69"/>
  <c r="O42" i="78" s="1"/>
  <c r="AA45" i="69"/>
  <c r="O46" i="78" s="1"/>
  <c r="H47" i="69"/>
  <c r="F48" i="78" s="1"/>
  <c r="AA49" i="69"/>
  <c r="O50" i="78" s="1"/>
  <c r="H59" i="69"/>
  <c r="F60" i="78" s="1"/>
  <c r="AA61" i="69"/>
  <c r="O62" i="78" s="1"/>
  <c r="AA65" i="69"/>
  <c r="O66" i="78" s="1"/>
  <c r="AA69" i="69"/>
  <c r="O70" i="78" s="1"/>
  <c r="H71" i="69"/>
  <c r="F72" i="78" s="1"/>
  <c r="P17" i="70"/>
  <c r="P25" i="70"/>
  <c r="J26" i="79" s="1"/>
  <c r="P29" i="70"/>
  <c r="J30" i="79" s="1"/>
  <c r="J42" i="79"/>
  <c r="O73" i="68"/>
  <c r="H20" i="68"/>
  <c r="H24" i="68"/>
  <c r="F25" i="77" s="1"/>
  <c r="AA26" i="68"/>
  <c r="O27" i="77" s="1"/>
  <c r="AA30" i="68"/>
  <c r="O31" i="77" s="1"/>
  <c r="AA34" i="68"/>
  <c r="O35" i="77" s="1"/>
  <c r="AA38" i="68"/>
  <c r="O39" i="77" s="1"/>
  <c r="AA42" i="68"/>
  <c r="O43" i="77" s="1"/>
  <c r="AA46" i="68"/>
  <c r="O47" i="77" s="1"/>
  <c r="AA58" i="68"/>
  <c r="O59" i="77" s="1"/>
  <c r="H60" i="68"/>
  <c r="F61" i="77" s="1"/>
  <c r="AA66" i="68"/>
  <c r="O67" i="77" s="1"/>
  <c r="AA70" i="68"/>
  <c r="O71" i="77" s="1"/>
  <c r="AA15" i="71"/>
  <c r="O16" i="80" s="1"/>
  <c r="H17" i="71"/>
  <c r="AA23" i="71"/>
  <c r="O24" i="80" s="1"/>
  <c r="AA27" i="71"/>
  <c r="O28" i="80" s="1"/>
  <c r="H29" i="71"/>
  <c r="AA31" i="71"/>
  <c r="O32" i="80" s="1"/>
  <c r="AA39" i="71"/>
  <c r="O40" i="80" s="1"/>
  <c r="AA43" i="71"/>
  <c r="O44" i="80" s="1"/>
  <c r="AA47" i="71"/>
  <c r="O48" i="80" s="1"/>
  <c r="AA51" i="71"/>
  <c r="O52" i="80" s="1"/>
  <c r="H53" i="71"/>
  <c r="F54" i="80" s="1"/>
  <c r="J65" i="82"/>
  <c r="AA20" i="71"/>
  <c r="O21" i="80" s="1"/>
  <c r="AA36" i="71"/>
  <c r="O37" i="80" s="1"/>
  <c r="X62" i="71"/>
  <c r="N63" i="80" s="1"/>
  <c r="X70" i="71"/>
  <c r="N71" i="80" s="1"/>
  <c r="X22" i="72"/>
  <c r="N23" i="81" s="1"/>
  <c r="X26" i="72"/>
  <c r="N27" i="81" s="1"/>
  <c r="X50" i="72"/>
  <c r="N51" i="81" s="1"/>
  <c r="X30" i="70"/>
  <c r="N31" i="79" s="1"/>
  <c r="X34" i="70"/>
  <c r="N35" i="79" s="1"/>
  <c r="O73" i="72"/>
  <c r="AA18" i="72"/>
  <c r="O19" i="81" s="1"/>
  <c r="H20" i="72"/>
  <c r="F21" i="81" s="1"/>
  <c r="AA22" i="72"/>
  <c r="O23" i="81" s="1"/>
  <c r="AA26" i="72"/>
  <c r="O27" i="81" s="1"/>
  <c r="H28" i="72"/>
  <c r="AA30" i="72"/>
  <c r="O31" i="81" s="1"/>
  <c r="AA34" i="72"/>
  <c r="O35" i="81" s="1"/>
  <c r="H40" i="72"/>
  <c r="F41" i="81" s="1"/>
  <c r="AA50" i="72"/>
  <c r="O51" i="81" s="1"/>
  <c r="AA54" i="72"/>
  <c r="O55" i="81" s="1"/>
  <c r="AA58" i="72"/>
  <c r="O59" i="81" s="1"/>
  <c r="AA62" i="72"/>
  <c r="O63" i="81" s="1"/>
  <c r="AA66" i="72"/>
  <c r="O67" i="81" s="1"/>
  <c r="P24" i="73"/>
  <c r="X41" i="72"/>
  <c r="N42" i="81" s="1"/>
  <c r="H37" i="73"/>
  <c r="H45" i="73"/>
  <c r="F46" i="82" s="1"/>
  <c r="H25" i="73"/>
  <c r="F26" i="82" s="1"/>
  <c r="H33" i="73"/>
  <c r="H41" i="73"/>
  <c r="H49" i="73"/>
  <c r="F50" i="82" s="1"/>
  <c r="H61" i="73"/>
  <c r="H21" i="73"/>
  <c r="F22" i="82" s="1"/>
  <c r="P42" i="73"/>
  <c r="J43" i="82" s="1"/>
  <c r="H68" i="73"/>
  <c r="F69" i="82" s="1"/>
  <c r="F73" i="73"/>
  <c r="P30" i="73"/>
  <c r="J31" i="82" s="1"/>
  <c r="P34" i="73"/>
  <c r="J35" i="82" s="1"/>
  <c r="G73" i="73"/>
  <c r="H64" i="73"/>
  <c r="F65" i="82" s="1"/>
  <c r="P38" i="73"/>
  <c r="J39" i="82" s="1"/>
  <c r="H52" i="73"/>
  <c r="F53" i="82" s="1"/>
  <c r="P66" i="73"/>
  <c r="J67" i="82" s="1"/>
  <c r="P26" i="73"/>
  <c r="J27" i="82" s="1"/>
  <c r="H72" i="73"/>
  <c r="F73" i="82" s="1"/>
  <c r="H60" i="73"/>
  <c r="F61" i="82" s="1"/>
  <c r="N73" i="73"/>
  <c r="H48" i="73"/>
  <c r="F49" i="82" s="1"/>
  <c r="P62" i="73"/>
  <c r="J63" i="82" s="1"/>
  <c r="P18" i="73"/>
  <c r="J19" i="82" s="1"/>
  <c r="H44" i="73"/>
  <c r="F45" i="82" s="1"/>
  <c r="P58" i="73"/>
  <c r="J59" i="82" s="1"/>
  <c r="O73" i="73"/>
  <c r="H24" i="73"/>
  <c r="F25" i="82" s="1"/>
  <c r="H40" i="73"/>
  <c r="F41" i="82" s="1"/>
  <c r="P54" i="73"/>
  <c r="J55" i="82" s="1"/>
  <c r="H56" i="73"/>
  <c r="F57" i="82" s="1"/>
  <c r="P22" i="73"/>
  <c r="J23" i="82" s="1"/>
  <c r="H36" i="73"/>
  <c r="F37" i="82" s="1"/>
  <c r="P50" i="73"/>
  <c r="J51" i="82" s="1"/>
  <c r="P70" i="73"/>
  <c r="J71" i="82" s="1"/>
  <c r="H28" i="73"/>
  <c r="F29" i="82" s="1"/>
  <c r="H32" i="73"/>
  <c r="F33" i="82" s="1"/>
  <c r="P46" i="73"/>
  <c r="J47" i="82" s="1"/>
  <c r="H15" i="73"/>
  <c r="F16" i="82" s="1"/>
  <c r="H19" i="73"/>
  <c r="F20" i="82" s="1"/>
  <c r="H23" i="73"/>
  <c r="F24" i="82" s="1"/>
  <c r="H27" i="73"/>
  <c r="F28" i="82" s="1"/>
  <c r="H31" i="73"/>
  <c r="F32" i="82" s="1"/>
  <c r="H35" i="73"/>
  <c r="F36" i="82" s="1"/>
  <c r="H39" i="73"/>
  <c r="F40" i="82" s="1"/>
  <c r="H43" i="73"/>
  <c r="F44" i="82" s="1"/>
  <c r="H47" i="73"/>
  <c r="F48" i="82" s="1"/>
  <c r="H51" i="73"/>
  <c r="F52" i="82" s="1"/>
  <c r="H55" i="73"/>
  <c r="F56" i="82" s="1"/>
  <c r="H59" i="73"/>
  <c r="F60" i="82" s="1"/>
  <c r="H63" i="73"/>
  <c r="F64" i="82" s="1"/>
  <c r="H67" i="73"/>
  <c r="F68" i="82" s="1"/>
  <c r="H71" i="73"/>
  <c r="F72" i="82" s="1"/>
  <c r="P17" i="73"/>
  <c r="J18" i="82" s="1"/>
  <c r="P21" i="73"/>
  <c r="J22" i="82" s="1"/>
  <c r="P25" i="73"/>
  <c r="J26" i="82" s="1"/>
  <c r="P29" i="73"/>
  <c r="J30" i="82" s="1"/>
  <c r="P33" i="73"/>
  <c r="J34" i="82" s="1"/>
  <c r="P37" i="73"/>
  <c r="J38" i="82" s="1"/>
  <c r="P41" i="73"/>
  <c r="J42" i="82" s="1"/>
  <c r="P45" i="73"/>
  <c r="J46" i="82" s="1"/>
  <c r="P49" i="73"/>
  <c r="J50" i="82" s="1"/>
  <c r="P53" i="73"/>
  <c r="J54" i="82" s="1"/>
  <c r="P57" i="73"/>
  <c r="J58" i="82" s="1"/>
  <c r="P61" i="73"/>
  <c r="J62" i="82" s="1"/>
  <c r="P65" i="73"/>
  <c r="J66" i="82" s="1"/>
  <c r="P69" i="73"/>
  <c r="J70" i="82" s="1"/>
  <c r="H18" i="73"/>
  <c r="F19" i="82" s="1"/>
  <c r="H22" i="73"/>
  <c r="F23" i="82" s="1"/>
  <c r="H26" i="73"/>
  <c r="F27" i="82" s="1"/>
  <c r="H30" i="73"/>
  <c r="F31" i="82" s="1"/>
  <c r="H34" i="73"/>
  <c r="F35" i="82" s="1"/>
  <c r="H38" i="73"/>
  <c r="F39" i="82" s="1"/>
  <c r="H42" i="73"/>
  <c r="F43" i="82" s="1"/>
  <c r="H46" i="73"/>
  <c r="F47" i="82" s="1"/>
  <c r="H50" i="73"/>
  <c r="F51" i="82" s="1"/>
  <c r="H54" i="73"/>
  <c r="F55" i="82" s="1"/>
  <c r="H58" i="73"/>
  <c r="F59" i="82" s="1"/>
  <c r="H62" i="73"/>
  <c r="F63" i="82" s="1"/>
  <c r="H66" i="73"/>
  <c r="F67" i="82" s="1"/>
  <c r="H70" i="73"/>
  <c r="F71" i="82" s="1"/>
  <c r="P72" i="73"/>
  <c r="J73" i="82" s="1"/>
  <c r="H57" i="72"/>
  <c r="H53" i="72"/>
  <c r="H45" i="72"/>
  <c r="F46" i="81" s="1"/>
  <c r="H64" i="72"/>
  <c r="F65" i="81" s="1"/>
  <c r="H41" i="72"/>
  <c r="H60" i="72"/>
  <c r="F61" i="81" s="1"/>
  <c r="H24" i="72"/>
  <c r="F25" i="81" s="1"/>
  <c r="H33" i="72"/>
  <c r="H37" i="72"/>
  <c r="F38" i="81" s="1"/>
  <c r="H56" i="72"/>
  <c r="H17" i="72"/>
  <c r="H52" i="72"/>
  <c r="F53" i="81" s="1"/>
  <c r="P24" i="72"/>
  <c r="H29" i="72"/>
  <c r="H48" i="72"/>
  <c r="H44" i="72"/>
  <c r="F45" i="81" s="1"/>
  <c r="H69" i="72"/>
  <c r="G73" i="72"/>
  <c r="P15" i="72"/>
  <c r="J16" i="81" s="1"/>
  <c r="P19" i="72"/>
  <c r="J20" i="81" s="1"/>
  <c r="P23" i="72"/>
  <c r="J24" i="81" s="1"/>
  <c r="P27" i="72"/>
  <c r="J28" i="81" s="1"/>
  <c r="P31" i="72"/>
  <c r="J32" i="81" s="1"/>
  <c r="H16" i="72"/>
  <c r="F17" i="81" s="1"/>
  <c r="P18" i="72"/>
  <c r="J19" i="81" s="1"/>
  <c r="P22" i="72"/>
  <c r="J23" i="81" s="1"/>
  <c r="P26" i="72"/>
  <c r="J27" i="81" s="1"/>
  <c r="P30" i="72"/>
  <c r="J31" i="81" s="1"/>
  <c r="P34" i="72"/>
  <c r="J35" i="81" s="1"/>
  <c r="P38" i="72"/>
  <c r="J39" i="81" s="1"/>
  <c r="P42" i="72"/>
  <c r="J43" i="81" s="1"/>
  <c r="P46" i="72"/>
  <c r="J47" i="81" s="1"/>
  <c r="P50" i="72"/>
  <c r="J51" i="81" s="1"/>
  <c r="P54" i="72"/>
  <c r="J55" i="81" s="1"/>
  <c r="P58" i="72"/>
  <c r="J59" i="81" s="1"/>
  <c r="P62" i="72"/>
  <c r="J63" i="81" s="1"/>
  <c r="P66" i="72"/>
  <c r="J67" i="81" s="1"/>
  <c r="P70" i="72"/>
  <c r="J71" i="81" s="1"/>
  <c r="H15" i="72"/>
  <c r="F16" i="81" s="1"/>
  <c r="H19" i="72"/>
  <c r="F20" i="81" s="1"/>
  <c r="H23" i="72"/>
  <c r="F24" i="81" s="1"/>
  <c r="H27" i="72"/>
  <c r="F28" i="81" s="1"/>
  <c r="H31" i="72"/>
  <c r="F32" i="81" s="1"/>
  <c r="H35" i="72"/>
  <c r="F36" i="81" s="1"/>
  <c r="H39" i="72"/>
  <c r="F40" i="81" s="1"/>
  <c r="H43" i="72"/>
  <c r="F44" i="81" s="1"/>
  <c r="H47" i="72"/>
  <c r="F48" i="81" s="1"/>
  <c r="H51" i="72"/>
  <c r="F52" i="81" s="1"/>
  <c r="H55" i="72"/>
  <c r="F56" i="81" s="1"/>
  <c r="H59" i="72"/>
  <c r="F60" i="81" s="1"/>
  <c r="P69" i="72"/>
  <c r="J70" i="81" s="1"/>
  <c r="H18" i="72"/>
  <c r="F19" i="81" s="1"/>
  <c r="H22" i="72"/>
  <c r="F23" i="81" s="1"/>
  <c r="H26" i="72"/>
  <c r="F27" i="81" s="1"/>
  <c r="H30" i="72"/>
  <c r="F31" i="81" s="1"/>
  <c r="H34" i="72"/>
  <c r="F35" i="81" s="1"/>
  <c r="H38" i="72"/>
  <c r="F39" i="81" s="1"/>
  <c r="H42" i="72"/>
  <c r="F43" i="81" s="1"/>
  <c r="H46" i="72"/>
  <c r="F47" i="81" s="1"/>
  <c r="H50" i="72"/>
  <c r="F51" i="81" s="1"/>
  <c r="H54" i="72"/>
  <c r="F55" i="81" s="1"/>
  <c r="H58" i="72"/>
  <c r="F59" i="81" s="1"/>
  <c r="H62" i="72"/>
  <c r="F63" i="81" s="1"/>
  <c r="H66" i="72"/>
  <c r="F67" i="81" s="1"/>
  <c r="H70" i="72"/>
  <c r="F71" i="81" s="1"/>
  <c r="P72" i="72"/>
  <c r="J73" i="81" s="1"/>
  <c r="N73" i="71"/>
  <c r="H25" i="71"/>
  <c r="F26" i="80" s="1"/>
  <c r="P27" i="71"/>
  <c r="H41" i="71"/>
  <c r="F42" i="80" s="1"/>
  <c r="H49" i="71"/>
  <c r="P23" i="71"/>
  <c r="J24" i="80" s="1"/>
  <c r="H57" i="71"/>
  <c r="H65" i="71"/>
  <c r="H21" i="71"/>
  <c r="H37" i="71"/>
  <c r="F38" i="80" s="1"/>
  <c r="H33" i="71"/>
  <c r="H45" i="71"/>
  <c r="G73" i="71"/>
  <c r="H28" i="71"/>
  <c r="F29" i="80" s="1"/>
  <c r="H56" i="71"/>
  <c r="F57" i="80" s="1"/>
  <c r="H72" i="71"/>
  <c r="F73" i="80" s="1"/>
  <c r="P18" i="71"/>
  <c r="H52" i="71"/>
  <c r="F53" i="80" s="1"/>
  <c r="P62" i="71"/>
  <c r="J63" i="80" s="1"/>
  <c r="H44" i="71"/>
  <c r="F45" i="80" s="1"/>
  <c r="P58" i="71"/>
  <c r="J59" i="80" s="1"/>
  <c r="H32" i="71"/>
  <c r="F33" i="80" s="1"/>
  <c r="H48" i="71"/>
  <c r="F49" i="80" s="1"/>
  <c r="P26" i="71"/>
  <c r="J27" i="80" s="1"/>
  <c r="H36" i="71"/>
  <c r="F37" i="80" s="1"/>
  <c r="H40" i="71"/>
  <c r="F41" i="80" s="1"/>
  <c r="P54" i="71"/>
  <c r="J55" i="80" s="1"/>
  <c r="H68" i="71"/>
  <c r="F69" i="80" s="1"/>
  <c r="P50" i="71"/>
  <c r="J51" i="80" s="1"/>
  <c r="H24" i="71"/>
  <c r="F25" i="80" s="1"/>
  <c r="H60" i="71"/>
  <c r="F61" i="80" s="1"/>
  <c r="P30" i="71"/>
  <c r="J31" i="80" s="1"/>
  <c r="P46" i="71"/>
  <c r="J47" i="80" s="1"/>
  <c r="P42" i="71"/>
  <c r="J43" i="80" s="1"/>
  <c r="P22" i="71"/>
  <c r="J23" i="80" s="1"/>
  <c r="P34" i="71"/>
  <c r="J35" i="80" s="1"/>
  <c r="P38" i="71"/>
  <c r="J39" i="80" s="1"/>
  <c r="F73" i="71"/>
  <c r="H16" i="71"/>
  <c r="F17" i="80" s="1"/>
  <c r="H20" i="71"/>
  <c r="F21" i="80" s="1"/>
  <c r="H64" i="71"/>
  <c r="F65" i="80" s="1"/>
  <c r="P66" i="71"/>
  <c r="J67" i="80" s="1"/>
  <c r="P70" i="71"/>
  <c r="J71" i="80" s="1"/>
  <c r="H15" i="71"/>
  <c r="F16" i="80" s="1"/>
  <c r="H19" i="71"/>
  <c r="F20" i="80" s="1"/>
  <c r="H23" i="71"/>
  <c r="F24" i="80" s="1"/>
  <c r="H71" i="71"/>
  <c r="F72" i="80" s="1"/>
  <c r="H18" i="71"/>
  <c r="F19" i="80" s="1"/>
  <c r="H22" i="71"/>
  <c r="F23" i="80" s="1"/>
  <c r="H26" i="71"/>
  <c r="F27" i="80" s="1"/>
  <c r="H30" i="71"/>
  <c r="F31" i="80" s="1"/>
  <c r="H34" i="71"/>
  <c r="F35" i="80" s="1"/>
  <c r="H38" i="71"/>
  <c r="F39" i="80" s="1"/>
  <c r="H42" i="71"/>
  <c r="F43" i="80" s="1"/>
  <c r="H46" i="71"/>
  <c r="F47" i="80" s="1"/>
  <c r="H50" i="71"/>
  <c r="F51" i="80" s="1"/>
  <c r="H54" i="71"/>
  <c r="F55" i="80" s="1"/>
  <c r="H58" i="71"/>
  <c r="F59" i="80" s="1"/>
  <c r="H62" i="71"/>
  <c r="F63" i="80" s="1"/>
  <c r="H66" i="71"/>
  <c r="F67" i="80" s="1"/>
  <c r="H70" i="71"/>
  <c r="F71" i="80" s="1"/>
  <c r="P72" i="71"/>
  <c r="J73" i="80" s="1"/>
  <c r="H29" i="70"/>
  <c r="F30" i="79" s="1"/>
  <c r="H45" i="70"/>
  <c r="H69" i="70"/>
  <c r="H25" i="70"/>
  <c r="F26" i="79" s="1"/>
  <c r="H61" i="70"/>
  <c r="H21" i="70"/>
  <c r="F22" i="79" s="1"/>
  <c r="H49" i="70"/>
  <c r="H17" i="70"/>
  <c r="F18" i="79" s="1"/>
  <c r="H41" i="70"/>
  <c r="H33" i="70"/>
  <c r="F34" i="79" s="1"/>
  <c r="H23" i="70"/>
  <c r="F24" i="79" s="1"/>
  <c r="H31" i="70"/>
  <c r="F32" i="79" s="1"/>
  <c r="H37" i="70"/>
  <c r="F38" i="79" s="1"/>
  <c r="P48" i="70"/>
  <c r="J49" i="79" s="1"/>
  <c r="P54" i="70"/>
  <c r="J55" i="79" s="1"/>
  <c r="G73" i="70"/>
  <c r="H18" i="70"/>
  <c r="F19" i="79" s="1"/>
  <c r="P22" i="70"/>
  <c r="J23" i="79" s="1"/>
  <c r="H26" i="70"/>
  <c r="F27" i="79" s="1"/>
  <c r="P30" i="70"/>
  <c r="J31" i="79" s="1"/>
  <c r="AA37" i="70"/>
  <c r="O38" i="79" s="1"/>
  <c r="H40" i="70"/>
  <c r="F41" i="79" s="1"/>
  <c r="P43" i="70"/>
  <c r="J44" i="79" s="1"/>
  <c r="H44" i="70"/>
  <c r="F45" i="79" s="1"/>
  <c r="P62" i="70"/>
  <c r="J63" i="79" s="1"/>
  <c r="P70" i="70"/>
  <c r="J71" i="79" s="1"/>
  <c r="N73" i="70"/>
  <c r="P50" i="70"/>
  <c r="J51" i="79" s="1"/>
  <c r="P56" i="70"/>
  <c r="J57" i="79" s="1"/>
  <c r="P64" i="70"/>
  <c r="J65" i="79" s="1"/>
  <c r="F73" i="70"/>
  <c r="H15" i="70"/>
  <c r="F16" i="79" s="1"/>
  <c r="O73" i="70"/>
  <c r="AA21" i="70"/>
  <c r="O22" i="79" s="1"/>
  <c r="AA29" i="70"/>
  <c r="O30" i="79" s="1"/>
  <c r="H35" i="70"/>
  <c r="F36" i="79" s="1"/>
  <c r="H19" i="70"/>
  <c r="F20" i="79" s="1"/>
  <c r="H27" i="70"/>
  <c r="F28" i="79" s="1"/>
  <c r="P18" i="70"/>
  <c r="J19" i="79" s="1"/>
  <c r="H22" i="70"/>
  <c r="F23" i="79" s="1"/>
  <c r="P26" i="70"/>
  <c r="J27" i="79" s="1"/>
  <c r="H30" i="70"/>
  <c r="F31" i="79" s="1"/>
  <c r="P34" i="70"/>
  <c r="J35" i="79" s="1"/>
  <c r="H39" i="70"/>
  <c r="F40" i="79" s="1"/>
  <c r="P46" i="70"/>
  <c r="J47" i="79" s="1"/>
  <c r="P52" i="70"/>
  <c r="J53" i="79" s="1"/>
  <c r="P58" i="70"/>
  <c r="J59" i="79" s="1"/>
  <c r="P66" i="70"/>
  <c r="J67" i="79" s="1"/>
  <c r="H60" i="70"/>
  <c r="F61" i="79" s="1"/>
  <c r="H68" i="70"/>
  <c r="F69" i="79" s="1"/>
  <c r="P35" i="70"/>
  <c r="J36" i="79" s="1"/>
  <c r="P60" i="70"/>
  <c r="J61" i="79" s="1"/>
  <c r="P68" i="70"/>
  <c r="J69" i="79" s="1"/>
  <c r="AA17" i="70"/>
  <c r="O18" i="79" s="1"/>
  <c r="AA25" i="70"/>
  <c r="O26" i="79" s="1"/>
  <c r="AA33" i="70"/>
  <c r="O34" i="79" s="1"/>
  <c r="H36" i="70"/>
  <c r="F37" i="79" s="1"/>
  <c r="P38" i="70"/>
  <c r="J39" i="79" s="1"/>
  <c r="P42" i="70"/>
  <c r="J43" i="79" s="1"/>
  <c r="H48" i="70"/>
  <c r="F49" i="79" s="1"/>
  <c r="H43" i="70"/>
  <c r="F44" i="79" s="1"/>
  <c r="H47" i="70"/>
  <c r="F48" i="79" s="1"/>
  <c r="H51" i="70"/>
  <c r="F52" i="79" s="1"/>
  <c r="H55" i="70"/>
  <c r="F56" i="79" s="1"/>
  <c r="H59" i="70"/>
  <c r="F60" i="79" s="1"/>
  <c r="H63" i="70"/>
  <c r="F64" i="79" s="1"/>
  <c r="H67" i="70"/>
  <c r="F68" i="79" s="1"/>
  <c r="H71" i="70"/>
  <c r="F72" i="79" s="1"/>
  <c r="H34" i="70"/>
  <c r="F35" i="79" s="1"/>
  <c r="H38" i="70"/>
  <c r="F39" i="79" s="1"/>
  <c r="H42" i="70"/>
  <c r="F43" i="79" s="1"/>
  <c r="H46" i="70"/>
  <c r="F47" i="79" s="1"/>
  <c r="H50" i="70"/>
  <c r="F51" i="79" s="1"/>
  <c r="H54" i="70"/>
  <c r="F55" i="79" s="1"/>
  <c r="H58" i="70"/>
  <c r="F59" i="79" s="1"/>
  <c r="H62" i="70"/>
  <c r="F63" i="79" s="1"/>
  <c r="H66" i="70"/>
  <c r="F67" i="79" s="1"/>
  <c r="H70" i="70"/>
  <c r="F71" i="79" s="1"/>
  <c r="P72" i="70"/>
  <c r="J73" i="79" s="1"/>
  <c r="H57" i="69"/>
  <c r="F58" i="78" s="1"/>
  <c r="H63" i="69"/>
  <c r="H33" i="69"/>
  <c r="F34" i="78" s="1"/>
  <c r="H37" i="69"/>
  <c r="F38" i="78" s="1"/>
  <c r="H41" i="69"/>
  <c r="F42" i="78" s="1"/>
  <c r="H45" i="69"/>
  <c r="H27" i="69"/>
  <c r="H29" i="69"/>
  <c r="H49" i="69"/>
  <c r="F50" i="78" s="1"/>
  <c r="H69" i="69"/>
  <c r="F70" i="78" s="1"/>
  <c r="H17" i="69"/>
  <c r="F18" i="78" s="1"/>
  <c r="H19" i="69"/>
  <c r="H21" i="69"/>
  <c r="H23" i="69"/>
  <c r="H55" i="69"/>
  <c r="H67" i="69"/>
  <c r="H25" i="69"/>
  <c r="H53" i="69"/>
  <c r="F54" i="78" s="1"/>
  <c r="P26" i="69"/>
  <c r="J27" i="78" s="1"/>
  <c r="P61" i="69"/>
  <c r="J62" i="78" s="1"/>
  <c r="P49" i="69"/>
  <c r="J50" i="78" s="1"/>
  <c r="P21" i="69"/>
  <c r="J22" i="78" s="1"/>
  <c r="P65" i="69"/>
  <c r="J66" i="78" s="1"/>
  <c r="P22" i="69"/>
  <c r="J23" i="78" s="1"/>
  <c r="H24" i="69"/>
  <c r="F25" i="78" s="1"/>
  <c r="H48" i="69"/>
  <c r="F49" i="78" s="1"/>
  <c r="H60" i="69"/>
  <c r="F61" i="78" s="1"/>
  <c r="P69" i="69"/>
  <c r="J70" i="78" s="1"/>
  <c r="H16" i="69"/>
  <c r="F17" i="78" s="1"/>
  <c r="P18" i="69"/>
  <c r="J19" i="78" s="1"/>
  <c r="H20" i="69"/>
  <c r="F21" i="78" s="1"/>
  <c r="F73" i="69"/>
  <c r="P17" i="69"/>
  <c r="J18" i="78" s="1"/>
  <c r="P45" i="69"/>
  <c r="J46" i="78" s="1"/>
  <c r="P57" i="69"/>
  <c r="J58" i="78" s="1"/>
  <c r="P33" i="69"/>
  <c r="J34" i="78" s="1"/>
  <c r="P37" i="69"/>
  <c r="J38" i="78" s="1"/>
  <c r="P41" i="69"/>
  <c r="J42" i="78" s="1"/>
  <c r="P42" i="69"/>
  <c r="J43" i="78" s="1"/>
  <c r="H44" i="69"/>
  <c r="F45" i="78" s="1"/>
  <c r="H56" i="69"/>
  <c r="F57" i="78" s="1"/>
  <c r="H28" i="69"/>
  <c r="F29" i="78" s="1"/>
  <c r="G73" i="69"/>
  <c r="N73" i="69"/>
  <c r="P29" i="69"/>
  <c r="J30" i="78" s="1"/>
  <c r="H64" i="69"/>
  <c r="F65" i="78" s="1"/>
  <c r="P30" i="69"/>
  <c r="J31" i="78" s="1"/>
  <c r="H32" i="69"/>
  <c r="F33" i="78" s="1"/>
  <c r="P34" i="69"/>
  <c r="J35" i="78" s="1"/>
  <c r="H36" i="69"/>
  <c r="F37" i="78" s="1"/>
  <c r="P38" i="69"/>
  <c r="J39" i="78" s="1"/>
  <c r="H40" i="69"/>
  <c r="F41" i="78" s="1"/>
  <c r="P53" i="69"/>
  <c r="J54" i="78" s="1"/>
  <c r="H68" i="69"/>
  <c r="F69" i="78" s="1"/>
  <c r="P25" i="69"/>
  <c r="J26" i="78" s="1"/>
  <c r="H52" i="69"/>
  <c r="F53" i="78" s="1"/>
  <c r="H72" i="69"/>
  <c r="F73" i="78" s="1"/>
  <c r="P46" i="69"/>
  <c r="J47" i="78" s="1"/>
  <c r="P50" i="69"/>
  <c r="J51" i="78" s="1"/>
  <c r="P54" i="69"/>
  <c r="J55" i="78" s="1"/>
  <c r="P58" i="69"/>
  <c r="J59" i="78" s="1"/>
  <c r="P62" i="69"/>
  <c r="J63" i="78" s="1"/>
  <c r="P66" i="69"/>
  <c r="J67" i="78" s="1"/>
  <c r="P70" i="69"/>
  <c r="J71" i="78" s="1"/>
  <c r="H42" i="69"/>
  <c r="F43" i="78" s="1"/>
  <c r="H46" i="69"/>
  <c r="F47" i="78" s="1"/>
  <c r="H50" i="69"/>
  <c r="F51" i="78" s="1"/>
  <c r="H54" i="69"/>
  <c r="F55" i="78" s="1"/>
  <c r="H58" i="69"/>
  <c r="F59" i="78" s="1"/>
  <c r="H62" i="69"/>
  <c r="F63" i="78" s="1"/>
  <c r="H66" i="69"/>
  <c r="F67" i="78" s="1"/>
  <c r="H70" i="69"/>
  <c r="F71" i="78" s="1"/>
  <c r="P72" i="69"/>
  <c r="J73" i="78" s="1"/>
  <c r="H17" i="68"/>
  <c r="F18" i="77" s="1"/>
  <c r="H61" i="68"/>
  <c r="H21" i="68"/>
  <c r="F22" i="77" s="1"/>
  <c r="H49" i="68"/>
  <c r="H53" i="68"/>
  <c r="H57" i="68"/>
  <c r="H37" i="68"/>
  <c r="H41" i="68"/>
  <c r="H45" i="68"/>
  <c r="P37" i="68"/>
  <c r="J38" i="77" s="1"/>
  <c r="P38" i="68"/>
  <c r="J39" i="77" s="1"/>
  <c r="H52" i="68"/>
  <c r="F53" i="77" s="1"/>
  <c r="P33" i="68"/>
  <c r="J34" i="77" s="1"/>
  <c r="P34" i="68"/>
  <c r="J35" i="77" s="1"/>
  <c r="H48" i="68"/>
  <c r="F49" i="77" s="1"/>
  <c r="P25" i="68"/>
  <c r="J26" i="77" s="1"/>
  <c r="P26" i="68"/>
  <c r="J27" i="77" s="1"/>
  <c r="P21" i="68"/>
  <c r="J22" i="77" s="1"/>
  <c r="P22" i="68"/>
  <c r="J23" i="77" s="1"/>
  <c r="H36" i="68"/>
  <c r="F37" i="77" s="1"/>
  <c r="G73" i="68"/>
  <c r="P17" i="68"/>
  <c r="J18" i="77" s="1"/>
  <c r="P18" i="68"/>
  <c r="J19" i="77" s="1"/>
  <c r="H32" i="68"/>
  <c r="F33" i="77" s="1"/>
  <c r="P65" i="68"/>
  <c r="J66" i="77" s="1"/>
  <c r="P66" i="68"/>
  <c r="J67" i="77" s="1"/>
  <c r="P46" i="68"/>
  <c r="J47" i="77" s="1"/>
  <c r="P41" i="68"/>
  <c r="J42" i="77" s="1"/>
  <c r="P42" i="68"/>
  <c r="J43" i="77" s="1"/>
  <c r="P29" i="68"/>
  <c r="J30" i="77" s="1"/>
  <c r="P30" i="68"/>
  <c r="J31" i="77" s="1"/>
  <c r="H68" i="68"/>
  <c r="F69" i="77" s="1"/>
  <c r="F73" i="68"/>
  <c r="H15" i="68"/>
  <c r="F16" i="77" s="1"/>
  <c r="H28" i="68"/>
  <c r="F29" i="77" s="1"/>
  <c r="P61" i="68"/>
  <c r="J62" i="77" s="1"/>
  <c r="P62" i="68"/>
  <c r="J63" i="77" s="1"/>
  <c r="P45" i="68"/>
  <c r="J46" i="77" s="1"/>
  <c r="P57" i="68"/>
  <c r="J58" i="77" s="1"/>
  <c r="P58" i="68"/>
  <c r="J59" i="77" s="1"/>
  <c r="H72" i="68"/>
  <c r="F73" i="77" s="1"/>
  <c r="N73" i="68"/>
  <c r="P53" i="68"/>
  <c r="J54" i="77" s="1"/>
  <c r="P54" i="68"/>
  <c r="J55" i="77" s="1"/>
  <c r="H16" i="68"/>
  <c r="F17" i="77" s="1"/>
  <c r="P49" i="68"/>
  <c r="J50" i="77" s="1"/>
  <c r="P50" i="68"/>
  <c r="J51" i="77" s="1"/>
  <c r="H64" i="68"/>
  <c r="F65" i="77" s="1"/>
  <c r="P69" i="68"/>
  <c r="J70" i="77" s="1"/>
  <c r="P70" i="68"/>
  <c r="J71" i="77" s="1"/>
  <c r="H18" i="68"/>
  <c r="F19" i="77" s="1"/>
  <c r="H22" i="68"/>
  <c r="F23" i="77" s="1"/>
  <c r="H26" i="68"/>
  <c r="F27" i="77" s="1"/>
  <c r="H30" i="68"/>
  <c r="F31" i="77" s="1"/>
  <c r="H34" i="68"/>
  <c r="F35" i="77" s="1"/>
  <c r="H38" i="68"/>
  <c r="F39" i="77" s="1"/>
  <c r="H42" i="68"/>
  <c r="F43" i="77" s="1"/>
  <c r="H46" i="68"/>
  <c r="F47" i="77" s="1"/>
  <c r="H50" i="68"/>
  <c r="F51" i="77" s="1"/>
  <c r="H54" i="68"/>
  <c r="F55" i="77" s="1"/>
  <c r="H58" i="68"/>
  <c r="F59" i="77" s="1"/>
  <c r="H62" i="68"/>
  <c r="F63" i="77" s="1"/>
  <c r="H66" i="68"/>
  <c r="F67" i="77" s="1"/>
  <c r="H70" i="68"/>
  <c r="F71" i="77" s="1"/>
  <c r="P72" i="68"/>
  <c r="J73" i="77" s="1"/>
  <c r="H61" i="67"/>
  <c r="H57" i="67"/>
  <c r="P18" i="67"/>
  <c r="J19" i="76" s="1"/>
  <c r="H25" i="67"/>
  <c r="H53" i="67"/>
  <c r="H21" i="67"/>
  <c r="F22" i="76" s="1"/>
  <c r="H17" i="67"/>
  <c r="F18" i="76" s="1"/>
  <c r="H45" i="67"/>
  <c r="H49" i="67"/>
  <c r="H69" i="67"/>
  <c r="H33" i="67"/>
  <c r="H37" i="67"/>
  <c r="H41" i="67"/>
  <c r="F42" i="76" s="1"/>
  <c r="H23" i="67"/>
  <c r="F24" i="76" s="1"/>
  <c r="P15" i="67"/>
  <c r="J16" i="76" s="1"/>
  <c r="P16" i="67"/>
  <c r="J17" i="76" s="1"/>
  <c r="AA18" i="67"/>
  <c r="O19" i="76" s="1"/>
  <c r="AA29" i="67"/>
  <c r="O30" i="76" s="1"/>
  <c r="AA49" i="67"/>
  <c r="O50" i="76" s="1"/>
  <c r="H27" i="67"/>
  <c r="F28" i="76" s="1"/>
  <c r="H28" i="67"/>
  <c r="F29" i="76" s="1"/>
  <c r="AA41" i="67"/>
  <c r="O42" i="76" s="1"/>
  <c r="H24" i="67"/>
  <c r="F25" i="76" s="1"/>
  <c r="H43" i="67"/>
  <c r="F44" i="76" s="1"/>
  <c r="H47" i="67"/>
  <c r="F48" i="76" s="1"/>
  <c r="F73" i="67"/>
  <c r="X17" i="67"/>
  <c r="N18" i="76" s="1"/>
  <c r="H39" i="67"/>
  <c r="F40" i="76" s="1"/>
  <c r="G73" i="67"/>
  <c r="AA22" i="67"/>
  <c r="O23" i="76" s="1"/>
  <c r="X25" i="67"/>
  <c r="N26" i="76" s="1"/>
  <c r="H35" i="67"/>
  <c r="F36" i="76" s="1"/>
  <c r="X52" i="67"/>
  <c r="N53" i="76" s="1"/>
  <c r="X28" i="67"/>
  <c r="N29" i="76" s="1"/>
  <c r="H51" i="67"/>
  <c r="F52" i="76" s="1"/>
  <c r="H31" i="67"/>
  <c r="F32" i="76" s="1"/>
  <c r="H32" i="67"/>
  <c r="F33" i="76" s="1"/>
  <c r="P20" i="67"/>
  <c r="J21" i="76" s="1"/>
  <c r="AA25" i="67"/>
  <c r="O26" i="76" s="1"/>
  <c r="X44" i="67"/>
  <c r="N45" i="76" s="1"/>
  <c r="H36" i="67"/>
  <c r="F37" i="76" s="1"/>
  <c r="H40" i="67"/>
  <c r="F41" i="76" s="1"/>
  <c r="H44" i="67"/>
  <c r="F45" i="76" s="1"/>
  <c r="H48" i="67"/>
  <c r="F49" i="76" s="1"/>
  <c r="H52" i="67"/>
  <c r="F53" i="76" s="1"/>
  <c r="H56" i="67"/>
  <c r="F57" i="76" s="1"/>
  <c r="H60" i="67"/>
  <c r="F61" i="76" s="1"/>
  <c r="H64" i="67"/>
  <c r="F65" i="76" s="1"/>
  <c r="H68" i="67"/>
  <c r="F69" i="76" s="1"/>
  <c r="H72" i="67"/>
  <c r="F73" i="76" s="1"/>
  <c r="H55" i="67"/>
  <c r="F56" i="76" s="1"/>
  <c r="H59" i="67"/>
  <c r="F60" i="76" s="1"/>
  <c r="H63" i="67"/>
  <c r="F64" i="76" s="1"/>
  <c r="H67" i="67"/>
  <c r="F68" i="76" s="1"/>
  <c r="H71" i="67"/>
  <c r="F72" i="76" s="1"/>
  <c r="H18" i="67"/>
  <c r="F19" i="76" s="1"/>
  <c r="H22" i="67"/>
  <c r="F23" i="76" s="1"/>
  <c r="H58" i="67"/>
  <c r="F59" i="76" s="1"/>
  <c r="H62" i="67"/>
  <c r="F63" i="76" s="1"/>
  <c r="H66" i="67"/>
  <c r="F67" i="76" s="1"/>
  <c r="H70" i="67"/>
  <c r="F71" i="76" s="1"/>
  <c r="P24" i="67"/>
  <c r="J25" i="76" s="1"/>
  <c r="P28" i="67"/>
  <c r="J29" i="76" s="1"/>
  <c r="P32" i="67"/>
  <c r="J33" i="76" s="1"/>
  <c r="P36" i="67"/>
  <c r="J37" i="76" s="1"/>
  <c r="P40" i="67"/>
  <c r="J41" i="76" s="1"/>
  <c r="P44" i="67"/>
  <c r="J45" i="76" s="1"/>
  <c r="P48" i="67"/>
  <c r="J49" i="76" s="1"/>
  <c r="P52" i="67"/>
  <c r="J53" i="76" s="1"/>
  <c r="P56" i="67"/>
  <c r="J57" i="76" s="1"/>
  <c r="P60" i="67"/>
  <c r="J61" i="76" s="1"/>
  <c r="P64" i="67"/>
  <c r="J65" i="76" s="1"/>
  <c r="P68" i="67"/>
  <c r="J69" i="76" s="1"/>
  <c r="P72" i="67"/>
  <c r="J73" i="76" s="1"/>
  <c r="H34" i="66"/>
  <c r="F35" i="75" s="1"/>
  <c r="H38" i="66"/>
  <c r="F39" i="75" s="1"/>
  <c r="P53" i="66"/>
  <c r="J54" i="75" s="1"/>
  <c r="P57" i="66"/>
  <c r="P25" i="66"/>
  <c r="H62" i="66"/>
  <c r="H26" i="66"/>
  <c r="F27" i="75" s="1"/>
  <c r="H53" i="66"/>
  <c r="F54" i="75" s="1"/>
  <c r="H25" i="66"/>
  <c r="H16" i="66"/>
  <c r="F17" i="75" s="1"/>
  <c r="H29" i="66"/>
  <c r="F30" i="75" s="1"/>
  <c r="H20" i="66"/>
  <c r="H50" i="66"/>
  <c r="F51" i="75" s="1"/>
  <c r="H56" i="66"/>
  <c r="F57" i="75" s="1"/>
  <c r="X15" i="66"/>
  <c r="N16" i="75" s="1"/>
  <c r="O73" i="66"/>
  <c r="H24" i="66"/>
  <c r="F25" i="75" s="1"/>
  <c r="H27" i="66"/>
  <c r="F28" i="75" s="1"/>
  <c r="H42" i="66"/>
  <c r="F43" i="75" s="1"/>
  <c r="H48" i="66"/>
  <c r="F49" i="75" s="1"/>
  <c r="H60" i="66"/>
  <c r="F61" i="75" s="1"/>
  <c r="H63" i="66"/>
  <c r="F64" i="75" s="1"/>
  <c r="N73" i="66"/>
  <c r="H66" i="66"/>
  <c r="F67" i="75" s="1"/>
  <c r="H69" i="66"/>
  <c r="F70" i="75" s="1"/>
  <c r="H72" i="66"/>
  <c r="F73" i="75" s="1"/>
  <c r="P70" i="66"/>
  <c r="J71" i="75" s="1"/>
  <c r="F73" i="66"/>
  <c r="P69" i="66"/>
  <c r="J70" i="75" s="1"/>
  <c r="P72" i="66"/>
  <c r="J73" i="75" s="1"/>
  <c r="H43" i="66"/>
  <c r="F44" i="75" s="1"/>
  <c r="H49" i="66"/>
  <c r="F50" i="75" s="1"/>
  <c r="H52" i="66"/>
  <c r="F53" i="75" s="1"/>
  <c r="H55" i="66"/>
  <c r="F56" i="75" s="1"/>
  <c r="H58" i="66"/>
  <c r="F59" i="75" s="1"/>
  <c r="H61" i="66"/>
  <c r="F62" i="75" s="1"/>
  <c r="H64" i="66"/>
  <c r="F65" i="75" s="1"/>
  <c r="H67" i="66"/>
  <c r="F68" i="75" s="1"/>
  <c r="H70" i="66"/>
  <c r="F71" i="75" s="1"/>
  <c r="N16" i="65"/>
  <c r="Y15" i="65"/>
  <c r="V15" i="65"/>
  <c r="N15" i="65"/>
  <c r="N73" i="65" s="1"/>
  <c r="AA72" i="65"/>
  <c r="O73" i="74" s="1"/>
  <c r="X72" i="65"/>
  <c r="N73" i="74" s="1"/>
  <c r="AA71" i="65"/>
  <c r="O72" i="74" s="1"/>
  <c r="X71" i="65"/>
  <c r="N72" i="74" s="1"/>
  <c r="AA70" i="65"/>
  <c r="O71" i="74" s="1"/>
  <c r="X70" i="65"/>
  <c r="N71" i="74" s="1"/>
  <c r="AA69" i="65"/>
  <c r="O70" i="74" s="1"/>
  <c r="X69" i="65"/>
  <c r="N70" i="74" s="1"/>
  <c r="P69" i="65"/>
  <c r="J70" i="74" s="1"/>
  <c r="AA68" i="65"/>
  <c r="O69" i="74" s="1"/>
  <c r="X68" i="65"/>
  <c r="N69" i="74" s="1"/>
  <c r="P68" i="65"/>
  <c r="J69" i="74" s="1"/>
  <c r="AA67" i="65"/>
  <c r="O68" i="74" s="1"/>
  <c r="X67" i="65"/>
  <c r="N68" i="74" s="1"/>
  <c r="P67" i="65"/>
  <c r="J68" i="74" s="1"/>
  <c r="AA66" i="65"/>
  <c r="O67" i="74" s="1"/>
  <c r="X66" i="65"/>
  <c r="N67" i="74" s="1"/>
  <c r="P66" i="65"/>
  <c r="J67" i="74" s="1"/>
  <c r="AA65" i="65"/>
  <c r="O66" i="74" s="1"/>
  <c r="X65" i="65"/>
  <c r="N66" i="74" s="1"/>
  <c r="P65" i="65"/>
  <c r="AA64" i="65"/>
  <c r="O65" i="74" s="1"/>
  <c r="X64" i="65"/>
  <c r="N65" i="74" s="1"/>
  <c r="P64" i="65"/>
  <c r="J65" i="74" s="1"/>
  <c r="AA63" i="65"/>
  <c r="O64" i="74" s="1"/>
  <c r="X63" i="65"/>
  <c r="N64" i="74" s="1"/>
  <c r="AA62" i="65"/>
  <c r="O63" i="74" s="1"/>
  <c r="X62" i="65"/>
  <c r="N63" i="74" s="1"/>
  <c r="P62" i="65"/>
  <c r="J63" i="74" s="1"/>
  <c r="AA61" i="65"/>
  <c r="O62" i="74" s="1"/>
  <c r="X61" i="65"/>
  <c r="N62" i="74" s="1"/>
  <c r="AA60" i="65"/>
  <c r="O61" i="74" s="1"/>
  <c r="X60" i="65"/>
  <c r="N61" i="74" s="1"/>
  <c r="AA59" i="65"/>
  <c r="O60" i="74" s="1"/>
  <c r="X59" i="65"/>
  <c r="N60" i="74" s="1"/>
  <c r="AA58" i="65"/>
  <c r="O59" i="74" s="1"/>
  <c r="X58" i="65"/>
  <c r="N59" i="74" s="1"/>
  <c r="AA57" i="65"/>
  <c r="O58" i="74" s="1"/>
  <c r="X57" i="65"/>
  <c r="N58" i="74" s="1"/>
  <c r="P57" i="65"/>
  <c r="J58" i="74" s="1"/>
  <c r="AA56" i="65"/>
  <c r="O57" i="74" s="1"/>
  <c r="X56" i="65"/>
  <c r="N57" i="74" s="1"/>
  <c r="P56" i="65"/>
  <c r="J57" i="74" s="1"/>
  <c r="AA55" i="65"/>
  <c r="O56" i="74" s="1"/>
  <c r="X55" i="65"/>
  <c r="N56" i="74" s="1"/>
  <c r="P55" i="65"/>
  <c r="J56" i="74" s="1"/>
  <c r="AA54" i="65"/>
  <c r="O55" i="74" s="1"/>
  <c r="X54" i="65"/>
  <c r="N55" i="74" s="1"/>
  <c r="P54" i="65"/>
  <c r="J55" i="74" s="1"/>
  <c r="AA53" i="65"/>
  <c r="O54" i="74" s="1"/>
  <c r="X53" i="65"/>
  <c r="N54" i="74" s="1"/>
  <c r="P53" i="65"/>
  <c r="AA52" i="65"/>
  <c r="O53" i="74" s="1"/>
  <c r="X52" i="65"/>
  <c r="N53" i="74" s="1"/>
  <c r="P52" i="65"/>
  <c r="J53" i="74" s="1"/>
  <c r="AA51" i="65"/>
  <c r="O52" i="74" s="1"/>
  <c r="X51" i="65"/>
  <c r="N52" i="74" s="1"/>
  <c r="AA50" i="65"/>
  <c r="O51" i="74" s="1"/>
  <c r="X50" i="65"/>
  <c r="N51" i="74" s="1"/>
  <c r="P50" i="65"/>
  <c r="AA49" i="65"/>
  <c r="O50" i="74" s="1"/>
  <c r="X49" i="65"/>
  <c r="N50" i="74" s="1"/>
  <c r="AA48" i="65"/>
  <c r="O49" i="74" s="1"/>
  <c r="X48" i="65"/>
  <c r="N49" i="74" s="1"/>
  <c r="AA47" i="65"/>
  <c r="O48" i="74" s="1"/>
  <c r="X47" i="65"/>
  <c r="N48" i="74" s="1"/>
  <c r="AA46" i="65"/>
  <c r="O47" i="74" s="1"/>
  <c r="X46" i="65"/>
  <c r="N47" i="74" s="1"/>
  <c r="AA45" i="65"/>
  <c r="O46" i="74" s="1"/>
  <c r="X45" i="65"/>
  <c r="N46" i="74" s="1"/>
  <c r="P45" i="65"/>
  <c r="J46" i="74" s="1"/>
  <c r="AA44" i="65"/>
  <c r="O45" i="74" s="1"/>
  <c r="X44" i="65"/>
  <c r="N45" i="74" s="1"/>
  <c r="P44" i="65"/>
  <c r="J45" i="74" s="1"/>
  <c r="AA43" i="65"/>
  <c r="O44" i="74" s="1"/>
  <c r="X43" i="65"/>
  <c r="N44" i="74" s="1"/>
  <c r="P43" i="65"/>
  <c r="J44" i="74" s="1"/>
  <c r="AA42" i="65"/>
  <c r="O43" i="74" s="1"/>
  <c r="X42" i="65"/>
  <c r="N43" i="74" s="1"/>
  <c r="P42" i="65"/>
  <c r="J43" i="74" s="1"/>
  <c r="AA41" i="65"/>
  <c r="O42" i="74" s="1"/>
  <c r="X41" i="65"/>
  <c r="N42" i="74" s="1"/>
  <c r="P41" i="65"/>
  <c r="AA40" i="65"/>
  <c r="O41" i="74" s="1"/>
  <c r="X40" i="65"/>
  <c r="N41" i="74" s="1"/>
  <c r="P40" i="65"/>
  <c r="J41" i="74" s="1"/>
  <c r="AA39" i="65"/>
  <c r="O40" i="74" s="1"/>
  <c r="X39" i="65"/>
  <c r="N40" i="74" s="1"/>
  <c r="AA38" i="65"/>
  <c r="O39" i="74" s="1"/>
  <c r="X38" i="65"/>
  <c r="N39" i="74" s="1"/>
  <c r="P38" i="65"/>
  <c r="AA37" i="65"/>
  <c r="O38" i="74" s="1"/>
  <c r="X37" i="65"/>
  <c r="N38" i="74" s="1"/>
  <c r="AA36" i="65"/>
  <c r="O37" i="74" s="1"/>
  <c r="X36" i="65"/>
  <c r="N37" i="74" s="1"/>
  <c r="AA35" i="65"/>
  <c r="O36" i="74" s="1"/>
  <c r="X35" i="65"/>
  <c r="N36" i="74" s="1"/>
  <c r="P35" i="65"/>
  <c r="J36" i="74" s="1"/>
  <c r="AA34" i="65"/>
  <c r="O35" i="74" s="1"/>
  <c r="X34" i="65"/>
  <c r="N35" i="74" s="1"/>
  <c r="AA33" i="65"/>
  <c r="O34" i="74" s="1"/>
  <c r="X33" i="65"/>
  <c r="N34" i="74" s="1"/>
  <c r="P33" i="65"/>
  <c r="J34" i="74" s="1"/>
  <c r="AA32" i="65"/>
  <c r="O33" i="74" s="1"/>
  <c r="X32" i="65"/>
  <c r="N33" i="74" s="1"/>
  <c r="P32" i="65"/>
  <c r="AA31" i="65"/>
  <c r="O32" i="74" s="1"/>
  <c r="X31" i="65"/>
  <c r="N32" i="74" s="1"/>
  <c r="P31" i="65"/>
  <c r="J32" i="74" s="1"/>
  <c r="AA30" i="65"/>
  <c r="O31" i="74" s="1"/>
  <c r="X30" i="65"/>
  <c r="N31" i="74" s="1"/>
  <c r="P30" i="65"/>
  <c r="J31" i="74" s="1"/>
  <c r="AA29" i="65"/>
  <c r="O30" i="74" s="1"/>
  <c r="X29" i="65"/>
  <c r="N30" i="74" s="1"/>
  <c r="P29" i="65"/>
  <c r="AA28" i="65"/>
  <c r="O29" i="74" s="1"/>
  <c r="X28" i="65"/>
  <c r="N29" i="74" s="1"/>
  <c r="P28" i="65"/>
  <c r="J29" i="74" s="1"/>
  <c r="AA27" i="65"/>
  <c r="O28" i="74" s="1"/>
  <c r="X27" i="65"/>
  <c r="N28" i="74" s="1"/>
  <c r="AA26" i="65"/>
  <c r="O27" i="74" s="1"/>
  <c r="X26" i="65"/>
  <c r="N27" i="74" s="1"/>
  <c r="AA25" i="65"/>
  <c r="O26" i="74" s="1"/>
  <c r="X25" i="65"/>
  <c r="N26" i="74" s="1"/>
  <c r="AA24" i="65"/>
  <c r="O25" i="74" s="1"/>
  <c r="X24" i="65"/>
  <c r="N25" i="74" s="1"/>
  <c r="AA23" i="65"/>
  <c r="O24" i="74" s="1"/>
  <c r="X23" i="65"/>
  <c r="N24" i="74" s="1"/>
  <c r="P23" i="65"/>
  <c r="J24" i="74" s="1"/>
  <c r="AA22" i="65"/>
  <c r="O23" i="74" s="1"/>
  <c r="X22" i="65"/>
  <c r="N23" i="74" s="1"/>
  <c r="AA21" i="65"/>
  <c r="O22" i="74" s="1"/>
  <c r="X21" i="65"/>
  <c r="N22" i="74" s="1"/>
  <c r="P21" i="65"/>
  <c r="J22" i="74" s="1"/>
  <c r="AA20" i="65"/>
  <c r="O21" i="74" s="1"/>
  <c r="X20" i="65"/>
  <c r="N21" i="74" s="1"/>
  <c r="P20" i="65"/>
  <c r="J21" i="74" s="1"/>
  <c r="AA19" i="65"/>
  <c r="O20" i="74" s="1"/>
  <c r="X19" i="65"/>
  <c r="N20" i="74" s="1"/>
  <c r="AA18" i="65"/>
  <c r="O19" i="74" s="1"/>
  <c r="X18" i="65"/>
  <c r="N19" i="74" s="1"/>
  <c r="P18" i="65"/>
  <c r="J19" i="74" s="1"/>
  <c r="AA17" i="65"/>
  <c r="O18" i="74" s="1"/>
  <c r="X17" i="65"/>
  <c r="N18" i="74" s="1"/>
  <c r="P17" i="65"/>
  <c r="AA16" i="65"/>
  <c r="O17" i="74" s="1"/>
  <c r="X16" i="65"/>
  <c r="N17" i="74" s="1"/>
  <c r="F16" i="65"/>
  <c r="F17" i="65"/>
  <c r="F18" i="65"/>
  <c r="F19" i="65"/>
  <c r="F20" i="65"/>
  <c r="F21" i="65"/>
  <c r="F22" i="65"/>
  <c r="F23" i="65"/>
  <c r="F24" i="65"/>
  <c r="H24" i="65" s="1"/>
  <c r="F25" i="74" s="1"/>
  <c r="F25" i="65"/>
  <c r="F26" i="65"/>
  <c r="F27" i="65"/>
  <c r="F28" i="65"/>
  <c r="F29" i="65"/>
  <c r="F30" i="65"/>
  <c r="F31" i="65"/>
  <c r="F32" i="65"/>
  <c r="F33" i="65"/>
  <c r="F34" i="65"/>
  <c r="F35" i="65"/>
  <c r="F36" i="65"/>
  <c r="F37" i="65"/>
  <c r="F38" i="65"/>
  <c r="F39" i="65"/>
  <c r="F40" i="65"/>
  <c r="F41" i="65"/>
  <c r="F42" i="65"/>
  <c r="F43" i="65"/>
  <c r="F44" i="65"/>
  <c r="F45" i="65"/>
  <c r="F46" i="65"/>
  <c r="F47" i="65"/>
  <c r="F48" i="65"/>
  <c r="F49" i="65"/>
  <c r="F50" i="65"/>
  <c r="F51" i="65"/>
  <c r="F52" i="65"/>
  <c r="F53" i="65"/>
  <c r="F54" i="65"/>
  <c r="H54" i="65" s="1"/>
  <c r="F55" i="74" s="1"/>
  <c r="F55" i="65"/>
  <c r="F56" i="65"/>
  <c r="F57" i="65"/>
  <c r="F58" i="65"/>
  <c r="F59" i="65"/>
  <c r="F60" i="65"/>
  <c r="F61" i="65"/>
  <c r="F62" i="65"/>
  <c r="F63" i="65"/>
  <c r="F64" i="65"/>
  <c r="F65" i="65"/>
  <c r="F66" i="65"/>
  <c r="H66" i="65" s="1"/>
  <c r="F67" i="74" s="1"/>
  <c r="F67" i="65"/>
  <c r="F68" i="65"/>
  <c r="F69" i="65"/>
  <c r="F70" i="65"/>
  <c r="F71" i="65"/>
  <c r="F72" i="65"/>
  <c r="F15" i="65"/>
  <c r="H42" i="65" l="1"/>
  <c r="F43" i="74" s="1"/>
  <c r="H69" i="65"/>
  <c r="F70" i="74" s="1"/>
  <c r="H65" i="65"/>
  <c r="F66" i="74" s="1"/>
  <c r="H53" i="65"/>
  <c r="F54" i="74" s="1"/>
  <c r="H45" i="65"/>
  <c r="F46" i="74" s="1"/>
  <c r="H41" i="65"/>
  <c r="F42" i="74" s="1"/>
  <c r="H29" i="65"/>
  <c r="F30" i="74" s="1"/>
  <c r="H21" i="65"/>
  <c r="F22" i="74" s="1"/>
  <c r="F73" i="65"/>
  <c r="X15" i="65"/>
  <c r="N16" i="74" s="1"/>
  <c r="H28" i="65"/>
  <c r="F29" i="74" s="1"/>
  <c r="H22" i="65"/>
  <c r="F23" i="74" s="1"/>
  <c r="H16" i="65"/>
  <c r="F17" i="74" s="1"/>
  <c r="F42" i="77"/>
  <c r="F22" i="80"/>
  <c r="F22" i="78"/>
  <c r="F42" i="81"/>
  <c r="F21" i="77"/>
  <c r="F50" i="80"/>
  <c r="J74" i="78"/>
  <c r="G24" i="33" s="1"/>
  <c r="J74" i="77"/>
  <c r="G23" i="33" s="1"/>
  <c r="F70" i="76"/>
  <c r="F26" i="76"/>
  <c r="F41" i="75"/>
  <c r="F66" i="80"/>
  <c r="P73" i="66"/>
  <c r="J26" i="75"/>
  <c r="F54" i="77"/>
  <c r="J51" i="74"/>
  <c r="F63" i="75"/>
  <c r="F42" i="79"/>
  <c r="F46" i="79"/>
  <c r="J18" i="79"/>
  <c r="J30" i="74"/>
  <c r="J33" i="74"/>
  <c r="F50" i="76"/>
  <c r="F58" i="76"/>
  <c r="F50" i="77"/>
  <c r="F20" i="78"/>
  <c r="F58" i="80"/>
  <c r="J66" i="74"/>
  <c r="F46" i="77"/>
  <c r="F57" i="81"/>
  <c r="F29" i="81"/>
  <c r="F34" i="77"/>
  <c r="F21" i="75"/>
  <c r="F49" i="81"/>
  <c r="F62" i="82"/>
  <c r="F38" i="82"/>
  <c r="J58" i="75"/>
  <c r="J42" i="74"/>
  <c r="F62" i="79"/>
  <c r="F42" i="82"/>
  <c r="F30" i="80"/>
  <c r="J74" i="76"/>
  <c r="G22" i="33" s="1"/>
  <c r="F38" i="76"/>
  <c r="F34" i="82"/>
  <c r="J39" i="74"/>
  <c r="F26" i="75"/>
  <c r="F34" i="76"/>
  <c r="F68" i="78"/>
  <c r="G73" i="65"/>
  <c r="J18" i="74"/>
  <c r="J54" i="74"/>
  <c r="F58" i="77"/>
  <c r="F56" i="78"/>
  <c r="F70" i="79"/>
  <c r="P73" i="71"/>
  <c r="J19" i="80"/>
  <c r="F54" i="81"/>
  <c r="F18" i="80"/>
  <c r="F54" i="76"/>
  <c r="F46" i="78"/>
  <c r="F70" i="81"/>
  <c r="F54" i="82"/>
  <c r="F26" i="77"/>
  <c r="F46" i="80"/>
  <c r="J28" i="80"/>
  <c r="F30" i="81"/>
  <c r="F34" i="81"/>
  <c r="F50" i="79"/>
  <c r="F34" i="80"/>
  <c r="J25" i="81"/>
  <c r="J74" i="81" s="1"/>
  <c r="G27" i="33" s="1"/>
  <c r="F30" i="78"/>
  <c r="J25" i="82"/>
  <c r="J74" i="82" s="1"/>
  <c r="G28" i="33" s="1"/>
  <c r="F38" i="77"/>
  <c r="F26" i="78"/>
  <c r="F28" i="78"/>
  <c r="F30" i="82"/>
  <c r="F46" i="76"/>
  <c r="F62" i="76"/>
  <c r="F62" i="77"/>
  <c r="F24" i="78"/>
  <c r="F64" i="78"/>
  <c r="F18" i="81"/>
  <c r="F58" i="81"/>
  <c r="F18" i="82"/>
  <c r="P73" i="73"/>
  <c r="H73" i="73"/>
  <c r="H73" i="72"/>
  <c r="P73" i="72"/>
  <c r="H73" i="71"/>
  <c r="AA15" i="65"/>
  <c r="O16" i="74" s="1"/>
  <c r="H46" i="65"/>
  <c r="H26" i="65"/>
  <c r="H19" i="65"/>
  <c r="F20" i="74" s="1"/>
  <c r="H17" i="65"/>
  <c r="P73" i="70"/>
  <c r="H73" i="70"/>
  <c r="H73" i="69"/>
  <c r="P73" i="69"/>
  <c r="P73" i="68"/>
  <c r="H73" i="68"/>
  <c r="H73" i="67"/>
  <c r="P73" i="67"/>
  <c r="H73" i="66"/>
  <c r="P16" i="65"/>
  <c r="P22" i="65"/>
  <c r="J23" i="74" s="1"/>
  <c r="P19" i="65"/>
  <c r="J20" i="74" s="1"/>
  <c r="P46" i="65"/>
  <c r="J47" i="74" s="1"/>
  <c r="P58" i="65"/>
  <c r="J59" i="74" s="1"/>
  <c r="P70" i="65"/>
  <c r="J71" i="74" s="1"/>
  <c r="P71" i="65"/>
  <c r="J72" i="74" s="1"/>
  <c r="P36" i="65"/>
  <c r="J37" i="74" s="1"/>
  <c r="P48" i="65"/>
  <c r="J49" i="74" s="1"/>
  <c r="P60" i="65"/>
  <c r="J61" i="74" s="1"/>
  <c r="P72" i="65"/>
  <c r="J73" i="74" s="1"/>
  <c r="P47" i="65"/>
  <c r="J48" i="74" s="1"/>
  <c r="P37" i="65"/>
  <c r="J38" i="74" s="1"/>
  <c r="P49" i="65"/>
  <c r="J50" i="74" s="1"/>
  <c r="P61" i="65"/>
  <c r="J62" i="74" s="1"/>
  <c r="P59" i="65"/>
  <c r="J60" i="74" s="1"/>
  <c r="P34" i="65"/>
  <c r="J35" i="74" s="1"/>
  <c r="P24" i="65"/>
  <c r="J25" i="74" s="1"/>
  <c r="P25" i="65"/>
  <c r="J26" i="74" s="1"/>
  <c r="P26" i="65"/>
  <c r="J27" i="74" s="1"/>
  <c r="P15" i="65"/>
  <c r="J16" i="74" s="1"/>
  <c r="P27" i="65"/>
  <c r="J28" i="74" s="1"/>
  <c r="P39" i="65"/>
  <c r="J40" i="74" s="1"/>
  <c r="P51" i="65"/>
  <c r="J52" i="74" s="1"/>
  <c r="P63" i="65"/>
  <c r="J64" i="74" s="1"/>
  <c r="H43" i="65"/>
  <c r="H55" i="65"/>
  <c r="H34" i="65"/>
  <c r="H57" i="65"/>
  <c r="H67" i="65"/>
  <c r="H36" i="65"/>
  <c r="H58" i="65"/>
  <c r="H50" i="65"/>
  <c r="H62" i="65"/>
  <c r="H31" i="65"/>
  <c r="H37" i="65"/>
  <c r="F38" i="74" s="1"/>
  <c r="H48" i="65"/>
  <c r="H49" i="65"/>
  <c r="H38" i="65"/>
  <c r="H60" i="65"/>
  <c r="H25" i="65"/>
  <c r="H33" i="65"/>
  <c r="H61" i="65"/>
  <c r="H52" i="65"/>
  <c r="F53" i="74" s="1"/>
  <c r="H64" i="65"/>
  <c r="F65" i="74" s="1"/>
  <c r="H23" i="65"/>
  <c r="F24" i="74" s="1"/>
  <c r="H35" i="65"/>
  <c r="F36" i="74" s="1"/>
  <c r="H47" i="65"/>
  <c r="F48" i="74" s="1"/>
  <c r="H59" i="65"/>
  <c r="F60" i="74" s="1"/>
  <c r="H71" i="65"/>
  <c r="F72" i="74" s="1"/>
  <c r="H30" i="65"/>
  <c r="F31" i="74" s="1"/>
  <c r="H20" i="65"/>
  <c r="F21" i="74" s="1"/>
  <c r="H32" i="65"/>
  <c r="F33" i="74" s="1"/>
  <c r="H44" i="65"/>
  <c r="F45" i="74" s="1"/>
  <c r="H56" i="65"/>
  <c r="F57" i="74" s="1"/>
  <c r="H68" i="65"/>
  <c r="F69" i="74" s="1"/>
  <c r="H40" i="65"/>
  <c r="F41" i="74" s="1"/>
  <c r="H18" i="65"/>
  <c r="F19" i="74" s="1"/>
  <c r="H15" i="65"/>
  <c r="F16" i="74" s="1"/>
  <c r="H27" i="65"/>
  <c r="F28" i="74" s="1"/>
  <c r="H39" i="65"/>
  <c r="F40" i="74" s="1"/>
  <c r="H51" i="65"/>
  <c r="F52" i="74" s="1"/>
  <c r="H63" i="65"/>
  <c r="F64" i="74" s="1"/>
  <c r="H70" i="65"/>
  <c r="F71" i="74" s="1"/>
  <c r="H72" i="65"/>
  <c r="F73" i="74" s="1"/>
  <c r="C6" i="65"/>
  <c r="C5" i="65"/>
  <c r="C6" i="64"/>
  <c r="C5" i="64"/>
  <c r="J73" i="64"/>
  <c r="G27" i="19" s="1"/>
  <c r="F73" i="64"/>
  <c r="E27" i="19" s="1"/>
  <c r="C6" i="63"/>
  <c r="C5" i="63"/>
  <c r="J73" i="63"/>
  <c r="G26" i="19" s="1"/>
  <c r="F73" i="63"/>
  <c r="E26" i="19" s="1"/>
  <c r="C6" i="62"/>
  <c r="C5" i="62"/>
  <c r="J73" i="62"/>
  <c r="G25" i="19" s="1"/>
  <c r="F73" i="62"/>
  <c r="E25" i="19" s="1"/>
  <c r="C6" i="61"/>
  <c r="C5" i="61"/>
  <c r="J73" i="61"/>
  <c r="G24" i="19" s="1"/>
  <c r="F73" i="61"/>
  <c r="E24" i="19" s="1"/>
  <c r="C6" i="60"/>
  <c r="C5" i="60"/>
  <c r="J73" i="60"/>
  <c r="G23" i="19" s="1"/>
  <c r="F73" i="60"/>
  <c r="E23" i="19" s="1"/>
  <c r="C6" i="59"/>
  <c r="C5" i="59"/>
  <c r="J73" i="59"/>
  <c r="G22" i="19" s="1"/>
  <c r="F73" i="59"/>
  <c r="E22" i="19" s="1"/>
  <c r="C6" i="58"/>
  <c r="C5" i="58"/>
  <c r="J73" i="58"/>
  <c r="G21" i="19" s="1"/>
  <c r="F73" i="58"/>
  <c r="E21" i="19" s="1"/>
  <c r="C6" i="57"/>
  <c r="C5" i="57"/>
  <c r="J73" i="57"/>
  <c r="G20" i="19" s="1"/>
  <c r="F73" i="57"/>
  <c r="E20" i="19" s="1"/>
  <c r="C6" i="56"/>
  <c r="C5" i="56"/>
  <c r="F73" i="56"/>
  <c r="E19" i="19" s="1"/>
  <c r="J73" i="56"/>
  <c r="G19" i="19" s="1"/>
  <c r="J151" i="22"/>
  <c r="F151" i="22"/>
  <c r="J17" i="22"/>
  <c r="F17" i="22"/>
  <c r="D151" i="51"/>
  <c r="H151" i="51" s="1"/>
  <c r="E151" i="51"/>
  <c r="L151" i="51"/>
  <c r="M151" i="51"/>
  <c r="D17" i="51"/>
  <c r="E17" i="51"/>
  <c r="L17" i="51"/>
  <c r="P17" i="51" s="1"/>
  <c r="F151" i="51" l="1"/>
  <c r="I151" i="51" s="1"/>
  <c r="N17" i="51"/>
  <c r="Q17" i="51" s="1"/>
  <c r="F74" i="79"/>
  <c r="E25" i="33" s="1"/>
  <c r="F74" i="80"/>
  <c r="E26" i="33" s="1"/>
  <c r="F44" i="74"/>
  <c r="F27" i="74"/>
  <c r="F74" i="77"/>
  <c r="E23" i="33" s="1"/>
  <c r="F32" i="74"/>
  <c r="F34" i="74"/>
  <c r="F63" i="74"/>
  <c r="F74" i="82"/>
  <c r="E28" i="33" s="1"/>
  <c r="F74" i="75"/>
  <c r="E21" i="33" s="1"/>
  <c r="J17" i="74"/>
  <c r="J74" i="79"/>
  <c r="G25" i="33" s="1"/>
  <c r="F47" i="74"/>
  <c r="F56" i="74"/>
  <c r="F62" i="74"/>
  <c r="F74" i="76"/>
  <c r="E22" i="33" s="1"/>
  <c r="F74" i="78"/>
  <c r="E24" i="33" s="1"/>
  <c r="F74" i="81"/>
  <c r="E27" i="33" s="1"/>
  <c r="F61" i="74"/>
  <c r="F51" i="74"/>
  <c r="F39" i="74"/>
  <c r="F59" i="74"/>
  <c r="J74" i="75"/>
  <c r="G21" i="33" s="1"/>
  <c r="F37" i="74"/>
  <c r="J74" i="80"/>
  <c r="G26" i="33" s="1"/>
  <c r="F26" i="74"/>
  <c r="F68" i="74"/>
  <c r="F50" i="74"/>
  <c r="F58" i="74"/>
  <c r="F18" i="74"/>
  <c r="F49" i="74"/>
  <c r="F35" i="74"/>
  <c r="F17" i="51"/>
  <c r="N151" i="51"/>
  <c r="P73" i="65"/>
  <c r="H73" i="65"/>
  <c r="P151" i="51"/>
  <c r="H17" i="51"/>
  <c r="H18" i="39" l="1"/>
  <c r="J18" i="39" s="1"/>
  <c r="F74" i="74"/>
  <c r="E20" i="33" s="1"/>
  <c r="J74" i="74"/>
  <c r="G20" i="33" s="1"/>
  <c r="I17" i="51"/>
  <c r="D18" i="39"/>
  <c r="F18" i="39" s="1"/>
  <c r="Q151" i="51"/>
  <c r="H152" i="39"/>
  <c r="J152" i="39" s="1"/>
  <c r="G49" i="40" l="1"/>
  <c r="H49" i="40"/>
  <c r="J49" i="40"/>
  <c r="K49" i="40"/>
  <c r="M49" i="40"/>
  <c r="N49" i="40"/>
  <c r="P49" i="40"/>
  <c r="Q49" i="40"/>
  <c r="S49" i="40"/>
  <c r="T49" i="40"/>
  <c r="J48" i="2"/>
  <c r="R49" i="40" l="1"/>
  <c r="H49" i="29" s="1"/>
  <c r="O49" i="40"/>
  <c r="G49" i="29" s="1"/>
  <c r="U49" i="40"/>
  <c r="I49" i="29" s="1"/>
  <c r="V49" i="40"/>
  <c r="L49" i="40"/>
  <c r="F49" i="29" s="1"/>
  <c r="I49" i="40"/>
  <c r="E49" i="29" s="1"/>
  <c r="W49" i="40"/>
  <c r="J49" i="29" l="1"/>
  <c r="X49" i="40"/>
  <c r="A39" i="31" l="1"/>
  <c r="B31" i="31"/>
  <c r="B26" i="31"/>
  <c r="B11" i="31"/>
  <c r="C6" i="40" l="1"/>
  <c r="A3" i="53"/>
  <c r="L18" i="38" l="1"/>
  <c r="D8" i="41"/>
  <c r="C6" i="22"/>
  <c r="C5" i="22"/>
  <c r="C6" i="12"/>
  <c r="C5" i="12"/>
  <c r="C6" i="16"/>
  <c r="C5" i="16"/>
  <c r="C6" i="23"/>
  <c r="C5" i="23"/>
  <c r="C6" i="18"/>
  <c r="C5" i="18"/>
  <c r="C6" i="17"/>
  <c r="C5" i="17"/>
  <c r="C6" i="19"/>
  <c r="C5" i="19"/>
  <c r="C6" i="28"/>
  <c r="C5" i="28"/>
  <c r="C6" i="24"/>
  <c r="C5" i="24"/>
  <c r="C6" i="20"/>
  <c r="C5" i="20"/>
  <c r="E9" i="51" l="1"/>
  <c r="D9" i="51" l="1"/>
  <c r="F9" i="51" s="1"/>
  <c r="D10" i="39" s="1"/>
  <c r="D36" i="52" s="1"/>
  <c r="F8" i="49"/>
  <c r="F9" i="37" s="1"/>
  <c r="D8" i="48"/>
  <c r="D9" i="36" s="1"/>
  <c r="F8" i="47"/>
  <c r="F9" i="35" s="1"/>
  <c r="D8" i="46"/>
  <c r="D9" i="34" s="1"/>
  <c r="V162" i="38" l="1"/>
  <c r="V157" i="38"/>
  <c r="V152" i="38"/>
  <c r="V147" i="38"/>
  <c r="V142" i="38"/>
  <c r="V137" i="38"/>
  <c r="V132" i="38"/>
  <c r="V127" i="38"/>
  <c r="V122" i="38"/>
  <c r="V117" i="38"/>
  <c r="V112" i="38"/>
  <c r="V107" i="38"/>
  <c r="V102" i="38"/>
  <c r="V97" i="38"/>
  <c r="V92" i="38"/>
  <c r="V87" i="38"/>
  <c r="V82" i="38"/>
  <c r="V77" i="38"/>
  <c r="V72" i="38"/>
  <c r="V67" i="38"/>
  <c r="V62" i="38"/>
  <c r="V57" i="38"/>
  <c r="V52" i="38"/>
  <c r="V47" i="38"/>
  <c r="V42" i="38"/>
  <c r="V37" i="38"/>
  <c r="V32" i="38"/>
  <c r="V27" i="38"/>
  <c r="V22" i="38"/>
  <c r="V17" i="38"/>
  <c r="Q22" i="38"/>
  <c r="Q17" i="38"/>
  <c r="C6" i="51"/>
  <c r="C5" i="51"/>
  <c r="C6" i="38"/>
  <c r="C5" i="38"/>
  <c r="C6" i="49"/>
  <c r="C5" i="49"/>
  <c r="C6" i="48"/>
  <c r="C5" i="48"/>
  <c r="C6" i="47"/>
  <c r="C5" i="47"/>
  <c r="C6" i="46"/>
  <c r="C5" i="46"/>
  <c r="C6" i="43"/>
  <c r="C5" i="43"/>
  <c r="C6" i="41"/>
  <c r="C5" i="41"/>
  <c r="C7" i="40"/>
  <c r="C7" i="39"/>
  <c r="C6" i="39"/>
  <c r="C7" i="50"/>
  <c r="C6" i="50"/>
  <c r="C7" i="37"/>
  <c r="C6" i="37"/>
  <c r="C7" i="36"/>
  <c r="C6" i="36"/>
  <c r="C7" i="35"/>
  <c r="C6" i="35"/>
  <c r="C7" i="34"/>
  <c r="C6" i="34"/>
  <c r="C7" i="33"/>
  <c r="C6" i="33"/>
  <c r="C7" i="32"/>
  <c r="C6" i="32"/>
  <c r="C7" i="31"/>
  <c r="C6" i="31"/>
  <c r="C7" i="30"/>
  <c r="C6" i="30"/>
  <c r="C7" i="29"/>
  <c r="C6" i="29"/>
  <c r="D6" i="53"/>
  <c r="D5" i="53"/>
  <c r="D36" i="31" l="1"/>
  <c r="A4" i="39"/>
  <c r="A4" i="50"/>
  <c r="A4" i="37"/>
  <c r="A4" i="36"/>
  <c r="A4" i="35"/>
  <c r="A4" i="34"/>
  <c r="A4" i="33"/>
  <c r="A4" i="32"/>
  <c r="A4" i="31"/>
  <c r="A4" i="30"/>
  <c r="A4" i="29"/>
  <c r="E312" i="52"/>
  <c r="E303" i="52"/>
  <c r="E294" i="52"/>
  <c r="E285" i="52"/>
  <c r="E276" i="52"/>
  <c r="E267" i="52"/>
  <c r="E258" i="52"/>
  <c r="E249" i="52"/>
  <c r="E240" i="52"/>
  <c r="E231" i="52"/>
  <c r="E222" i="52"/>
  <c r="E213" i="52"/>
  <c r="E204" i="52"/>
  <c r="E195" i="52"/>
  <c r="E186" i="52"/>
  <c r="E177" i="52"/>
  <c r="E168" i="52"/>
  <c r="E159" i="52"/>
  <c r="E150" i="52"/>
  <c r="E141" i="52"/>
  <c r="E132" i="52"/>
  <c r="E123" i="52"/>
  <c r="E114" i="52"/>
  <c r="E105" i="52"/>
  <c r="E96" i="52"/>
  <c r="E87" i="52"/>
  <c r="E78" i="52"/>
  <c r="E69" i="52"/>
  <c r="E60" i="52"/>
  <c r="E51" i="52"/>
  <c r="E313" i="52"/>
  <c r="E304" i="52"/>
  <c r="E295" i="52"/>
  <c r="E286" i="52"/>
  <c r="E277" i="52"/>
  <c r="E268" i="52"/>
  <c r="E259" i="52"/>
  <c r="E250" i="52"/>
  <c r="E241" i="52"/>
  <c r="E232" i="52"/>
  <c r="E223" i="52"/>
  <c r="E214" i="52"/>
  <c r="E205" i="52"/>
  <c r="E196" i="52"/>
  <c r="E187" i="52"/>
  <c r="E178" i="52"/>
  <c r="E169" i="52"/>
  <c r="E160" i="52"/>
  <c r="E151" i="52"/>
  <c r="E142" i="52"/>
  <c r="E133" i="52"/>
  <c r="E124" i="52"/>
  <c r="E115" i="52"/>
  <c r="E106" i="52"/>
  <c r="E97" i="52"/>
  <c r="E88" i="52"/>
  <c r="E79" i="52"/>
  <c r="E70" i="52"/>
  <c r="E61" i="52"/>
  <c r="E52" i="52"/>
  <c r="E86" i="52"/>
  <c r="M19" i="51"/>
  <c r="M20" i="51"/>
  <c r="M21" i="51"/>
  <c r="M22" i="51"/>
  <c r="M23" i="51"/>
  <c r="M24" i="51"/>
  <c r="M25" i="51"/>
  <c r="M26" i="51"/>
  <c r="M27" i="51"/>
  <c r="M28" i="51"/>
  <c r="M29" i="51"/>
  <c r="M30" i="51"/>
  <c r="M31" i="51"/>
  <c r="M32" i="51"/>
  <c r="M33" i="51"/>
  <c r="M34" i="51"/>
  <c r="M35" i="51"/>
  <c r="M36" i="51"/>
  <c r="M37" i="51"/>
  <c r="M38" i="51"/>
  <c r="M39" i="51"/>
  <c r="M40" i="51"/>
  <c r="M41" i="51"/>
  <c r="M42" i="51"/>
  <c r="M43" i="51"/>
  <c r="M44" i="51"/>
  <c r="M45" i="51"/>
  <c r="M46" i="51"/>
  <c r="M47" i="51"/>
  <c r="M48" i="51"/>
  <c r="M49" i="51"/>
  <c r="M50" i="51"/>
  <c r="M51" i="51"/>
  <c r="M52" i="51"/>
  <c r="M53" i="51"/>
  <c r="M54" i="51"/>
  <c r="M55" i="51"/>
  <c r="M56" i="51"/>
  <c r="M57" i="51"/>
  <c r="M58" i="51"/>
  <c r="M59" i="51"/>
  <c r="M60" i="51"/>
  <c r="M61" i="51"/>
  <c r="M62" i="51"/>
  <c r="M63" i="51"/>
  <c r="M64" i="51"/>
  <c r="M65" i="51"/>
  <c r="M66" i="51"/>
  <c r="M67" i="51"/>
  <c r="M68" i="51"/>
  <c r="M69" i="51"/>
  <c r="M70" i="51"/>
  <c r="M71" i="51"/>
  <c r="M72" i="51"/>
  <c r="M73" i="51"/>
  <c r="M74" i="51"/>
  <c r="M75" i="51"/>
  <c r="M76" i="51"/>
  <c r="M77" i="51"/>
  <c r="M78" i="51"/>
  <c r="M79" i="51"/>
  <c r="M80" i="51"/>
  <c r="M81" i="51"/>
  <c r="M82" i="51"/>
  <c r="M83" i="51"/>
  <c r="M84" i="51"/>
  <c r="M85" i="51"/>
  <c r="M86" i="51"/>
  <c r="M87" i="51"/>
  <c r="M88" i="51"/>
  <c r="M89" i="51"/>
  <c r="M90" i="51"/>
  <c r="M91" i="51"/>
  <c r="M92" i="51"/>
  <c r="M93" i="51"/>
  <c r="M94" i="51"/>
  <c r="M95" i="51"/>
  <c r="M96" i="51"/>
  <c r="M97" i="51"/>
  <c r="M98" i="51"/>
  <c r="M99" i="51"/>
  <c r="M100" i="51"/>
  <c r="M101" i="51"/>
  <c r="M102" i="51"/>
  <c r="M103" i="51"/>
  <c r="M104" i="51"/>
  <c r="M105" i="51"/>
  <c r="M106" i="51"/>
  <c r="M107" i="51"/>
  <c r="M108" i="51"/>
  <c r="M109" i="51"/>
  <c r="M110" i="51"/>
  <c r="M111" i="51"/>
  <c r="M112" i="51"/>
  <c r="M113" i="51"/>
  <c r="M114" i="51"/>
  <c r="M115" i="51"/>
  <c r="M116" i="51"/>
  <c r="M117" i="51"/>
  <c r="M118" i="51"/>
  <c r="M119" i="51"/>
  <c r="M120" i="51"/>
  <c r="M121" i="51"/>
  <c r="M122" i="51"/>
  <c r="M123" i="51"/>
  <c r="M124" i="51"/>
  <c r="M125" i="51"/>
  <c r="M126" i="51"/>
  <c r="M127" i="51"/>
  <c r="M128" i="51"/>
  <c r="M129" i="51"/>
  <c r="M130" i="51"/>
  <c r="M131" i="51"/>
  <c r="M132" i="51"/>
  <c r="M133" i="51"/>
  <c r="M134" i="51"/>
  <c r="M135" i="51"/>
  <c r="M136" i="51"/>
  <c r="M137" i="51"/>
  <c r="M138" i="51"/>
  <c r="M139" i="51"/>
  <c r="M140" i="51"/>
  <c r="M141" i="51"/>
  <c r="M142" i="51"/>
  <c r="M143" i="51"/>
  <c r="M144" i="51"/>
  <c r="M145" i="51"/>
  <c r="M146" i="51"/>
  <c r="M147" i="51"/>
  <c r="M148" i="51"/>
  <c r="M149" i="51"/>
  <c r="M150" i="51"/>
  <c r="M152" i="51"/>
  <c r="M153" i="51"/>
  <c r="M154" i="51"/>
  <c r="M155" i="51"/>
  <c r="M156" i="51"/>
  <c r="M157" i="51"/>
  <c r="M158" i="51"/>
  <c r="M159" i="51"/>
  <c r="M160" i="51"/>
  <c r="M161" i="51"/>
  <c r="M162" i="51"/>
  <c r="M163" i="51"/>
  <c r="M164" i="51"/>
  <c r="M165" i="51"/>
  <c r="M166" i="51"/>
  <c r="M167" i="51"/>
  <c r="M168" i="51"/>
  <c r="M169" i="51"/>
  <c r="M170" i="51"/>
  <c r="M171" i="51"/>
  <c r="M172" i="51"/>
  <c r="M173" i="51"/>
  <c r="M174" i="51"/>
  <c r="M175" i="51"/>
  <c r="M176" i="51"/>
  <c r="M177" i="51"/>
  <c r="M178" i="51"/>
  <c r="M179" i="51"/>
  <c r="M180" i="51"/>
  <c r="M181" i="51"/>
  <c r="M182" i="51"/>
  <c r="M183" i="51"/>
  <c r="M184" i="51"/>
  <c r="M185" i="51"/>
  <c r="M186" i="51"/>
  <c r="M187" i="51"/>
  <c r="M188" i="51"/>
  <c r="M189" i="51"/>
  <c r="M190" i="51"/>
  <c r="M191" i="51"/>
  <c r="M192" i="51"/>
  <c r="M193" i="51"/>
  <c r="M194" i="51"/>
  <c r="M195" i="51"/>
  <c r="M196" i="51"/>
  <c r="M18" i="51"/>
  <c r="L19" i="51"/>
  <c r="P19" i="51" s="1"/>
  <c r="L20" i="51"/>
  <c r="L21" i="51"/>
  <c r="L22" i="51"/>
  <c r="L23" i="51"/>
  <c r="L24" i="51"/>
  <c r="L25" i="51"/>
  <c r="L26" i="51"/>
  <c r="L27" i="51"/>
  <c r="L28" i="51"/>
  <c r="L29" i="51"/>
  <c r="L30" i="51"/>
  <c r="L31" i="51"/>
  <c r="L32" i="51"/>
  <c r="L33" i="51"/>
  <c r="L34" i="51"/>
  <c r="L35" i="51"/>
  <c r="L36" i="51"/>
  <c r="L37" i="51"/>
  <c r="L38" i="51"/>
  <c r="L39" i="51"/>
  <c r="L40" i="51"/>
  <c r="L41" i="51"/>
  <c r="L42" i="51"/>
  <c r="L43" i="51"/>
  <c r="L44" i="51"/>
  <c r="L45" i="51"/>
  <c r="L46" i="51"/>
  <c r="L47" i="51"/>
  <c r="L48" i="51"/>
  <c r="L49" i="51"/>
  <c r="L50" i="51"/>
  <c r="L51" i="51"/>
  <c r="L52" i="51"/>
  <c r="L53" i="51"/>
  <c r="L54" i="51"/>
  <c r="L55" i="51"/>
  <c r="L56" i="51"/>
  <c r="L57" i="51"/>
  <c r="L58" i="51"/>
  <c r="L59" i="51"/>
  <c r="L60" i="51"/>
  <c r="L61" i="51"/>
  <c r="L62" i="51"/>
  <c r="L63" i="51"/>
  <c r="L64" i="51"/>
  <c r="L65" i="51"/>
  <c r="L66" i="51"/>
  <c r="L67" i="51"/>
  <c r="L68" i="51"/>
  <c r="L69" i="51"/>
  <c r="L70" i="51"/>
  <c r="L71" i="51"/>
  <c r="L72" i="51"/>
  <c r="L73" i="51"/>
  <c r="L74" i="51"/>
  <c r="L75" i="51"/>
  <c r="L76" i="51"/>
  <c r="L77" i="51"/>
  <c r="L78" i="51"/>
  <c r="L79" i="51"/>
  <c r="L80" i="51"/>
  <c r="L81" i="51"/>
  <c r="L82" i="51"/>
  <c r="L83" i="51"/>
  <c r="L84" i="51"/>
  <c r="L85" i="51"/>
  <c r="L86" i="51"/>
  <c r="L87" i="51"/>
  <c r="L88" i="51"/>
  <c r="L89" i="51"/>
  <c r="L90" i="51"/>
  <c r="L91" i="51"/>
  <c r="L92" i="51"/>
  <c r="L93" i="51"/>
  <c r="L94" i="51"/>
  <c r="L95" i="51"/>
  <c r="L96" i="51"/>
  <c r="L97" i="51"/>
  <c r="L98" i="51"/>
  <c r="L99" i="51"/>
  <c r="L100" i="51"/>
  <c r="L101" i="51"/>
  <c r="L102" i="51"/>
  <c r="L103" i="51"/>
  <c r="L104" i="51"/>
  <c r="L105" i="51"/>
  <c r="L106" i="51"/>
  <c r="L107" i="51"/>
  <c r="L108" i="51"/>
  <c r="L109" i="51"/>
  <c r="L110" i="51"/>
  <c r="L111" i="51"/>
  <c r="L112" i="51"/>
  <c r="L113" i="51"/>
  <c r="L114" i="51"/>
  <c r="L115" i="51"/>
  <c r="L116" i="51"/>
  <c r="L117" i="51"/>
  <c r="L118" i="51"/>
  <c r="L119" i="51"/>
  <c r="L120" i="51"/>
  <c r="L121" i="51"/>
  <c r="L122" i="51"/>
  <c r="L123" i="51"/>
  <c r="L124" i="51"/>
  <c r="L125" i="51"/>
  <c r="L126" i="51"/>
  <c r="L127" i="51"/>
  <c r="L128" i="51"/>
  <c r="L129" i="51"/>
  <c r="L130" i="51"/>
  <c r="L131" i="51"/>
  <c r="L132" i="51"/>
  <c r="L133" i="51"/>
  <c r="L134" i="51"/>
  <c r="L135" i="51"/>
  <c r="L136" i="51"/>
  <c r="L137" i="51"/>
  <c r="L138" i="51"/>
  <c r="L139" i="51"/>
  <c r="L140" i="51"/>
  <c r="L141" i="51"/>
  <c r="L142" i="51"/>
  <c r="L143" i="51"/>
  <c r="L144" i="51"/>
  <c r="L145" i="51"/>
  <c r="L146" i="51"/>
  <c r="L147" i="51"/>
  <c r="L148" i="51"/>
  <c r="L149" i="51"/>
  <c r="L150" i="51"/>
  <c r="L152" i="51"/>
  <c r="L153" i="51"/>
  <c r="L154" i="51"/>
  <c r="L155" i="51"/>
  <c r="L156" i="51"/>
  <c r="L157" i="51"/>
  <c r="L158" i="51"/>
  <c r="L159" i="51"/>
  <c r="L160" i="51"/>
  <c r="L161" i="51"/>
  <c r="L162" i="51"/>
  <c r="L163" i="51"/>
  <c r="L164" i="51"/>
  <c r="L165" i="51"/>
  <c r="L166" i="51"/>
  <c r="L167" i="51"/>
  <c r="L168" i="51"/>
  <c r="L169" i="51"/>
  <c r="L170" i="51"/>
  <c r="L171" i="51"/>
  <c r="L172" i="51"/>
  <c r="L173" i="51"/>
  <c r="L174" i="51"/>
  <c r="L175" i="51"/>
  <c r="L176" i="51"/>
  <c r="L177" i="51"/>
  <c r="L178" i="51"/>
  <c r="L179" i="51"/>
  <c r="L180" i="51"/>
  <c r="L181" i="51"/>
  <c r="L182" i="51"/>
  <c r="L183" i="51"/>
  <c r="L184" i="51"/>
  <c r="L185" i="51"/>
  <c r="L186" i="51"/>
  <c r="L187" i="51"/>
  <c r="L188" i="51"/>
  <c r="L189" i="51"/>
  <c r="L190" i="51"/>
  <c r="L191" i="51"/>
  <c r="L192" i="51"/>
  <c r="L193" i="51"/>
  <c r="L194" i="51"/>
  <c r="L195" i="51"/>
  <c r="L196" i="51"/>
  <c r="L18" i="51"/>
  <c r="P18" i="51" s="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6" i="51"/>
  <c r="E57" i="51"/>
  <c r="E58" i="51"/>
  <c r="E59" i="5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5" i="51"/>
  <c r="E96" i="51"/>
  <c r="E97" i="51"/>
  <c r="E98" i="51"/>
  <c r="E99" i="51"/>
  <c r="E100" i="51"/>
  <c r="E101" i="51"/>
  <c r="E102" i="51"/>
  <c r="E103" i="51"/>
  <c r="E104" i="51"/>
  <c r="E105" i="51"/>
  <c r="E106" i="51"/>
  <c r="E107" i="51"/>
  <c r="E108" i="51"/>
  <c r="E109" i="51"/>
  <c r="E110" i="51"/>
  <c r="E111" i="51"/>
  <c r="E112" i="51"/>
  <c r="E113" i="51"/>
  <c r="E114" i="51"/>
  <c r="E115" i="51"/>
  <c r="E116" i="51"/>
  <c r="E117" i="51"/>
  <c r="E118" i="51"/>
  <c r="E119" i="51"/>
  <c r="E120" i="51"/>
  <c r="E121" i="51"/>
  <c r="E122" i="51"/>
  <c r="E123" i="51"/>
  <c r="E124" i="51"/>
  <c r="E125" i="51"/>
  <c r="E126" i="51"/>
  <c r="E127" i="51"/>
  <c r="E128" i="51"/>
  <c r="E129" i="51"/>
  <c r="E130" i="51"/>
  <c r="E131" i="51"/>
  <c r="E132" i="51"/>
  <c r="E133" i="51"/>
  <c r="E134" i="51"/>
  <c r="E135" i="51"/>
  <c r="E136" i="51"/>
  <c r="E137" i="51"/>
  <c r="E138" i="51"/>
  <c r="E139" i="51"/>
  <c r="E140" i="51"/>
  <c r="E141" i="51"/>
  <c r="E142" i="51"/>
  <c r="E143" i="51"/>
  <c r="E144" i="51"/>
  <c r="E145" i="51"/>
  <c r="E146" i="51"/>
  <c r="E147" i="51"/>
  <c r="E148" i="51"/>
  <c r="E149" i="51"/>
  <c r="E150" i="51"/>
  <c r="E152" i="51"/>
  <c r="E153" i="51"/>
  <c r="E154" i="51"/>
  <c r="E155" i="51"/>
  <c r="E156" i="51"/>
  <c r="E157" i="51"/>
  <c r="E158" i="51"/>
  <c r="E159" i="51"/>
  <c r="E160" i="51"/>
  <c r="E161" i="51"/>
  <c r="E162" i="51"/>
  <c r="E163" i="51"/>
  <c r="E164" i="51"/>
  <c r="E165" i="51"/>
  <c r="E166" i="51"/>
  <c r="E167" i="51"/>
  <c r="E168" i="51"/>
  <c r="E169" i="51"/>
  <c r="E170" i="51"/>
  <c r="E171" i="51"/>
  <c r="E172" i="51"/>
  <c r="E173" i="51"/>
  <c r="E174" i="51"/>
  <c r="E175" i="51"/>
  <c r="E176" i="51"/>
  <c r="E177" i="51"/>
  <c r="E178" i="51"/>
  <c r="E179" i="51"/>
  <c r="E180" i="51"/>
  <c r="E181" i="51"/>
  <c r="E182" i="51"/>
  <c r="E183" i="51"/>
  <c r="E184" i="51"/>
  <c r="E185" i="51"/>
  <c r="E186" i="51"/>
  <c r="E187" i="51"/>
  <c r="E188" i="51"/>
  <c r="E189" i="51"/>
  <c r="E190" i="51"/>
  <c r="E191" i="51"/>
  <c r="E192" i="51"/>
  <c r="E193" i="51"/>
  <c r="E194" i="51"/>
  <c r="E195" i="51"/>
  <c r="E196"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85" i="51"/>
  <c r="D86" i="51"/>
  <c r="D87" i="51"/>
  <c r="D88" i="51"/>
  <c r="D89" i="51"/>
  <c r="D90" i="51"/>
  <c r="D91" i="51"/>
  <c r="D92" i="51"/>
  <c r="D93" i="51"/>
  <c r="D94" i="51"/>
  <c r="D95" i="51"/>
  <c r="D96" i="51"/>
  <c r="D97" i="51"/>
  <c r="D98" i="51"/>
  <c r="D99" i="51"/>
  <c r="D100" i="51"/>
  <c r="D101" i="51"/>
  <c r="D102" i="51"/>
  <c r="D103" i="51"/>
  <c r="D104" i="51"/>
  <c r="D105" i="51"/>
  <c r="D106" i="51"/>
  <c r="D107" i="51"/>
  <c r="D108" i="51"/>
  <c r="D109" i="51"/>
  <c r="D110" i="51"/>
  <c r="D111" i="51"/>
  <c r="D112" i="51"/>
  <c r="D113" i="51"/>
  <c r="D114" i="51"/>
  <c r="D115" i="51"/>
  <c r="D116" i="51"/>
  <c r="D117" i="51"/>
  <c r="D118" i="51"/>
  <c r="D119" i="51"/>
  <c r="D120" i="51"/>
  <c r="D121" i="51"/>
  <c r="D122" i="51"/>
  <c r="D123" i="51"/>
  <c r="D124" i="51"/>
  <c r="D125" i="51"/>
  <c r="D126" i="51"/>
  <c r="D127" i="51"/>
  <c r="D128" i="51"/>
  <c r="D129" i="51"/>
  <c r="D130" i="51"/>
  <c r="D131" i="51"/>
  <c r="D132" i="51"/>
  <c r="D133" i="51"/>
  <c r="D134" i="51"/>
  <c r="D135" i="51"/>
  <c r="D136" i="51"/>
  <c r="D137" i="51"/>
  <c r="D138" i="51"/>
  <c r="D139" i="51"/>
  <c r="D140" i="51"/>
  <c r="D141" i="51"/>
  <c r="D142" i="51"/>
  <c r="D143" i="51"/>
  <c r="D144" i="51"/>
  <c r="D145" i="51"/>
  <c r="D146" i="51"/>
  <c r="D147" i="51"/>
  <c r="D148" i="51"/>
  <c r="D149" i="51"/>
  <c r="D150" i="51"/>
  <c r="D152" i="51"/>
  <c r="D153" i="51"/>
  <c r="D154" i="51"/>
  <c r="D155" i="51"/>
  <c r="D156" i="51"/>
  <c r="D157" i="51"/>
  <c r="D158" i="51"/>
  <c r="D159" i="51"/>
  <c r="D160" i="51"/>
  <c r="D161" i="51"/>
  <c r="D162" i="51"/>
  <c r="D163" i="51"/>
  <c r="D164" i="51"/>
  <c r="D165" i="51"/>
  <c r="D166" i="51"/>
  <c r="D167" i="51"/>
  <c r="D168" i="51"/>
  <c r="D169" i="51"/>
  <c r="D170" i="51"/>
  <c r="D171" i="51"/>
  <c r="D172" i="51"/>
  <c r="D173" i="51"/>
  <c r="D174" i="51"/>
  <c r="D175" i="51"/>
  <c r="D176" i="51"/>
  <c r="D177" i="51"/>
  <c r="D178" i="51"/>
  <c r="D179" i="51"/>
  <c r="D180" i="51"/>
  <c r="D181" i="51"/>
  <c r="D182" i="51"/>
  <c r="D183" i="51"/>
  <c r="D184" i="51"/>
  <c r="D185" i="51"/>
  <c r="D186" i="51"/>
  <c r="D187" i="51"/>
  <c r="D188" i="51"/>
  <c r="D189" i="51"/>
  <c r="D190" i="51"/>
  <c r="D191" i="51"/>
  <c r="D192" i="51"/>
  <c r="D193" i="51"/>
  <c r="D194" i="51"/>
  <c r="D195" i="51"/>
  <c r="D196" i="51"/>
  <c r="D18" i="51"/>
  <c r="H18" i="51" s="1"/>
  <c r="N183" i="38"/>
  <c r="M175" i="38"/>
  <c r="U162" i="38"/>
  <c r="U157" i="38"/>
  <c r="W157" i="38" s="1"/>
  <c r="O158" i="50" s="1"/>
  <c r="D304" i="52" s="1"/>
  <c r="U152" i="38"/>
  <c r="U147" i="38"/>
  <c r="U142" i="38"/>
  <c r="U137" i="38"/>
  <c r="U132" i="38"/>
  <c r="W132" i="38" s="1"/>
  <c r="O133" i="50" s="1"/>
  <c r="D259" i="52" s="1"/>
  <c r="U127" i="38"/>
  <c r="U122" i="38"/>
  <c r="U117" i="38"/>
  <c r="U112" i="38"/>
  <c r="W112" i="38" s="1"/>
  <c r="O113" i="50" s="1"/>
  <c r="D223" i="52" s="1"/>
  <c r="U107" i="38"/>
  <c r="W107" i="38" s="1"/>
  <c r="O108" i="50" s="1"/>
  <c r="D214" i="52" s="1"/>
  <c r="U102" i="38"/>
  <c r="U97" i="38"/>
  <c r="U92" i="38"/>
  <c r="U87" i="38"/>
  <c r="U82" i="38"/>
  <c r="U77" i="38"/>
  <c r="W77" i="38" s="1"/>
  <c r="O78" i="50" s="1"/>
  <c r="D160" i="52" s="1"/>
  <c r="U72" i="38"/>
  <c r="W72" i="38" s="1"/>
  <c r="O73" i="50" s="1"/>
  <c r="D151" i="52" s="1"/>
  <c r="U67" i="38"/>
  <c r="U62" i="38"/>
  <c r="U57" i="38"/>
  <c r="W57" i="38" s="1"/>
  <c r="O58" i="50" s="1"/>
  <c r="D124" i="52" s="1"/>
  <c r="U52" i="38"/>
  <c r="U47" i="38"/>
  <c r="W47" i="38" s="1"/>
  <c r="O48" i="50" s="1"/>
  <c r="D106" i="52" s="1"/>
  <c r="U42" i="38"/>
  <c r="U37" i="38"/>
  <c r="U32" i="38"/>
  <c r="U27" i="38"/>
  <c r="U22" i="38"/>
  <c r="Q162" i="38"/>
  <c r="P162" i="38"/>
  <c r="Z162" i="38" s="1"/>
  <c r="Q157" i="38"/>
  <c r="P157" i="38"/>
  <c r="Z157" i="38" s="1"/>
  <c r="Q152" i="38"/>
  <c r="P152" i="38"/>
  <c r="Q147" i="38"/>
  <c r="P147" i="38"/>
  <c r="Q142" i="38"/>
  <c r="P142" i="38"/>
  <c r="Z142" i="38" s="1"/>
  <c r="Q137" i="38"/>
  <c r="P137" i="38"/>
  <c r="Q132" i="38"/>
  <c r="P132" i="38"/>
  <c r="Z132" i="38" s="1"/>
  <c r="Q127" i="38"/>
  <c r="P127" i="38"/>
  <c r="Q122" i="38"/>
  <c r="P122" i="38"/>
  <c r="Q117" i="38"/>
  <c r="P117" i="38"/>
  <c r="Q112" i="38"/>
  <c r="P112" i="38"/>
  <c r="Q107" i="38"/>
  <c r="P107" i="38"/>
  <c r="Q102" i="38"/>
  <c r="P102" i="38"/>
  <c r="Q97" i="38"/>
  <c r="P97" i="38"/>
  <c r="Z97" i="38" s="1"/>
  <c r="Q92" i="38"/>
  <c r="P92" i="38"/>
  <c r="Q87" i="38"/>
  <c r="P87" i="38"/>
  <c r="Q82" i="38"/>
  <c r="P82" i="38"/>
  <c r="Z82" i="38" s="1"/>
  <c r="Q77" i="38"/>
  <c r="P77" i="38"/>
  <c r="Z77" i="38" s="1"/>
  <c r="Q72" i="38"/>
  <c r="P72" i="38"/>
  <c r="Z72" i="38" s="1"/>
  <c r="Q67" i="38"/>
  <c r="P67" i="38"/>
  <c r="Q62" i="38"/>
  <c r="P62" i="38"/>
  <c r="Q57" i="38"/>
  <c r="P57" i="38"/>
  <c r="Q52" i="38"/>
  <c r="P52" i="38"/>
  <c r="Q47" i="38"/>
  <c r="P47" i="38"/>
  <c r="Q42" i="38"/>
  <c r="P42" i="38"/>
  <c r="Z42" i="38" s="1"/>
  <c r="Q37" i="38"/>
  <c r="P37" i="38"/>
  <c r="Q32" i="38"/>
  <c r="P32" i="38"/>
  <c r="Q27" i="38"/>
  <c r="P27" i="38"/>
  <c r="Z27" i="38" s="1"/>
  <c r="P22" i="38"/>
  <c r="Z22" i="38" s="1"/>
  <c r="U17" i="38"/>
  <c r="P17" i="38"/>
  <c r="Z17" i="38" s="1"/>
  <c r="Z122" i="38" l="1"/>
  <c r="Z37" i="38"/>
  <c r="F20" i="51"/>
  <c r="I20" i="51" s="1"/>
  <c r="F188" i="51"/>
  <c r="D189" i="39" s="1"/>
  <c r="F164" i="51"/>
  <c r="D165" i="39" s="1"/>
  <c r="F139" i="51"/>
  <c r="D140" i="39" s="1"/>
  <c r="N193" i="51"/>
  <c r="H194" i="39" s="1"/>
  <c r="N169" i="51"/>
  <c r="H170" i="39" s="1"/>
  <c r="N144" i="51"/>
  <c r="H145" i="39" s="1"/>
  <c r="N120" i="51"/>
  <c r="H121" i="39" s="1"/>
  <c r="N96" i="51"/>
  <c r="H97" i="39" s="1"/>
  <c r="N72" i="51"/>
  <c r="H73" i="39" s="1"/>
  <c r="N48" i="51"/>
  <c r="H49" i="39" s="1"/>
  <c r="N24" i="51"/>
  <c r="H25" i="39" s="1"/>
  <c r="N196" i="51"/>
  <c r="H197" i="39" s="1"/>
  <c r="N195" i="51"/>
  <c r="H196" i="39" s="1"/>
  <c r="N171" i="51"/>
  <c r="H172" i="39" s="1"/>
  <c r="N146" i="51"/>
  <c r="H147" i="39" s="1"/>
  <c r="F174" i="51"/>
  <c r="D175" i="39" s="1"/>
  <c r="F149" i="51"/>
  <c r="D150" i="39" s="1"/>
  <c r="F125" i="51"/>
  <c r="I125" i="51" s="1"/>
  <c r="F196" i="51"/>
  <c r="D197" i="39" s="1"/>
  <c r="F172" i="51"/>
  <c r="D173" i="39" s="1"/>
  <c r="F147" i="51"/>
  <c r="D148" i="39" s="1"/>
  <c r="F183" i="51"/>
  <c r="D184" i="39" s="1"/>
  <c r="N179" i="51"/>
  <c r="H180" i="39" s="1"/>
  <c r="N155" i="51"/>
  <c r="H156" i="39" s="1"/>
  <c r="F182" i="51"/>
  <c r="I182" i="51" s="1"/>
  <c r="F158" i="51"/>
  <c r="D159" i="39" s="1"/>
  <c r="F133" i="51"/>
  <c r="D134" i="39" s="1"/>
  <c r="F193" i="51"/>
  <c r="D194" i="39" s="1"/>
  <c r="N177" i="51"/>
  <c r="H178" i="39" s="1"/>
  <c r="N153" i="51"/>
  <c r="H154" i="39" s="1"/>
  <c r="N128" i="51"/>
  <c r="H129" i="39" s="1"/>
  <c r="N104" i="51"/>
  <c r="H105" i="39" s="1"/>
  <c r="N80" i="51"/>
  <c r="H81" i="39" s="1"/>
  <c r="N56" i="51"/>
  <c r="H57" i="39" s="1"/>
  <c r="N32" i="51"/>
  <c r="H33" i="39" s="1"/>
  <c r="F180" i="51"/>
  <c r="D181" i="39" s="1"/>
  <c r="F156" i="51"/>
  <c r="D157" i="39" s="1"/>
  <c r="F131" i="51"/>
  <c r="D132" i="39" s="1"/>
  <c r="F191" i="51"/>
  <c r="D192" i="39" s="1"/>
  <c r="N187" i="51"/>
  <c r="H188" i="39" s="1"/>
  <c r="N163" i="51"/>
  <c r="H164" i="39" s="1"/>
  <c r="N138" i="51"/>
  <c r="H139" i="39" s="1"/>
  <c r="F190" i="51"/>
  <c r="D191" i="39" s="1"/>
  <c r="F166" i="51"/>
  <c r="D167" i="39" s="1"/>
  <c r="F141" i="51"/>
  <c r="I141" i="51" s="1"/>
  <c r="F117" i="51"/>
  <c r="D118" i="39" s="1"/>
  <c r="N185" i="51"/>
  <c r="H186" i="39" s="1"/>
  <c r="N161" i="51"/>
  <c r="H162" i="39" s="1"/>
  <c r="N136" i="51"/>
  <c r="H137" i="39" s="1"/>
  <c r="N112" i="51"/>
  <c r="H113" i="39" s="1"/>
  <c r="N88" i="51"/>
  <c r="H89" i="39" s="1"/>
  <c r="N64" i="51"/>
  <c r="H65" i="39" s="1"/>
  <c r="N40" i="51"/>
  <c r="H41" i="39" s="1"/>
  <c r="R22" i="38"/>
  <c r="F18" i="51"/>
  <c r="D19" i="39" s="1"/>
  <c r="F36" i="52" s="1"/>
  <c r="F115" i="51"/>
  <c r="D116" i="39" s="1"/>
  <c r="F99" i="51"/>
  <c r="D100" i="39" s="1"/>
  <c r="F83" i="51"/>
  <c r="D84" i="39" s="1"/>
  <c r="F67" i="51"/>
  <c r="D68" i="39" s="1"/>
  <c r="F51" i="51"/>
  <c r="D52" i="39" s="1"/>
  <c r="F35" i="51"/>
  <c r="D36" i="39" s="1"/>
  <c r="F27" i="51"/>
  <c r="D28" i="39" s="1"/>
  <c r="F19" i="51"/>
  <c r="D20" i="39" s="1"/>
  <c r="F123" i="51"/>
  <c r="D124" i="39" s="1"/>
  <c r="F107" i="51"/>
  <c r="D108" i="39" s="1"/>
  <c r="F91" i="51"/>
  <c r="D92" i="39" s="1"/>
  <c r="F75" i="51"/>
  <c r="D76" i="39" s="1"/>
  <c r="F59" i="51"/>
  <c r="D60" i="39" s="1"/>
  <c r="F43" i="51"/>
  <c r="D44" i="39" s="1"/>
  <c r="F195" i="51"/>
  <c r="D196" i="39" s="1"/>
  <c r="F189" i="51"/>
  <c r="D190" i="39" s="1"/>
  <c r="F194" i="51"/>
  <c r="D195" i="39" s="1"/>
  <c r="F109" i="51"/>
  <c r="I109" i="51" s="1"/>
  <c r="F101" i="51"/>
  <c r="D102" i="39" s="1"/>
  <c r="F93" i="51"/>
  <c r="D94" i="39" s="1"/>
  <c r="F85" i="51"/>
  <c r="D86" i="39" s="1"/>
  <c r="F77" i="51"/>
  <c r="D78" i="39" s="1"/>
  <c r="F69" i="51"/>
  <c r="D70" i="39" s="1"/>
  <c r="F61" i="51"/>
  <c r="I61" i="51" s="1"/>
  <c r="F53" i="51"/>
  <c r="I53" i="51" s="1"/>
  <c r="F45" i="51"/>
  <c r="D46" i="39" s="1"/>
  <c r="F37" i="51"/>
  <c r="I37" i="51" s="1"/>
  <c r="F29" i="51"/>
  <c r="I29" i="51" s="1"/>
  <c r="F21" i="51"/>
  <c r="I21" i="51" s="1"/>
  <c r="N130" i="51"/>
  <c r="H131" i="39" s="1"/>
  <c r="N122" i="51"/>
  <c r="H123" i="39" s="1"/>
  <c r="N114" i="51"/>
  <c r="H115" i="39" s="1"/>
  <c r="N106" i="51"/>
  <c r="H107" i="39" s="1"/>
  <c r="N98" i="51"/>
  <c r="H99" i="39" s="1"/>
  <c r="N90" i="51"/>
  <c r="H91" i="39" s="1"/>
  <c r="N82" i="51"/>
  <c r="H83" i="39" s="1"/>
  <c r="N74" i="51"/>
  <c r="H75" i="39" s="1"/>
  <c r="N66" i="51"/>
  <c r="H67" i="39" s="1"/>
  <c r="N58" i="51"/>
  <c r="H59" i="39" s="1"/>
  <c r="N50" i="51"/>
  <c r="H51" i="39" s="1"/>
  <c r="N42" i="51"/>
  <c r="H43" i="39" s="1"/>
  <c r="N34" i="51"/>
  <c r="H35" i="39" s="1"/>
  <c r="N26" i="51"/>
  <c r="H27" i="39" s="1"/>
  <c r="F181" i="51"/>
  <c r="I181" i="51" s="1"/>
  <c r="F173" i="51"/>
  <c r="I173" i="51" s="1"/>
  <c r="F165" i="51"/>
  <c r="I165" i="51" s="1"/>
  <c r="F157" i="51"/>
  <c r="I157" i="51" s="1"/>
  <c r="F148" i="51"/>
  <c r="I148" i="51" s="1"/>
  <c r="F140" i="51"/>
  <c r="I140" i="51" s="1"/>
  <c r="F132" i="51"/>
  <c r="D133" i="39" s="1"/>
  <c r="F124" i="51"/>
  <c r="I124" i="51" s="1"/>
  <c r="F116" i="51"/>
  <c r="I116" i="51" s="1"/>
  <c r="F108" i="51"/>
  <c r="I108" i="51" s="1"/>
  <c r="F100" i="51"/>
  <c r="D101" i="39" s="1"/>
  <c r="F92" i="51"/>
  <c r="I92" i="51" s="1"/>
  <c r="F84" i="51"/>
  <c r="I84" i="51" s="1"/>
  <c r="F76" i="51"/>
  <c r="I76" i="51" s="1"/>
  <c r="F68" i="51"/>
  <c r="D69" i="39" s="1"/>
  <c r="F60" i="51"/>
  <c r="I60" i="51" s="1"/>
  <c r="F52" i="51"/>
  <c r="D53" i="39" s="1"/>
  <c r="F44" i="51"/>
  <c r="I44" i="51" s="1"/>
  <c r="F36" i="51"/>
  <c r="I36" i="51" s="1"/>
  <c r="F28" i="51"/>
  <c r="I28" i="51" s="1"/>
  <c r="N194" i="51"/>
  <c r="H195" i="39" s="1"/>
  <c r="N186" i="51"/>
  <c r="H187" i="39" s="1"/>
  <c r="N178" i="51"/>
  <c r="H179" i="39" s="1"/>
  <c r="N170" i="51"/>
  <c r="H171" i="39" s="1"/>
  <c r="N162" i="51"/>
  <c r="H163" i="39" s="1"/>
  <c r="N154" i="51"/>
  <c r="H155" i="39" s="1"/>
  <c r="N145" i="51"/>
  <c r="H146" i="39" s="1"/>
  <c r="N137" i="51"/>
  <c r="Q137" i="51" s="1"/>
  <c r="N129" i="51"/>
  <c r="Q129" i="51" s="1"/>
  <c r="N121" i="51"/>
  <c r="Q121" i="51" s="1"/>
  <c r="N113" i="51"/>
  <c r="Q113" i="51" s="1"/>
  <c r="N105" i="51"/>
  <c r="Q105" i="51" s="1"/>
  <c r="N97" i="51"/>
  <c r="Q97" i="51" s="1"/>
  <c r="N89" i="51"/>
  <c r="Q89" i="51" s="1"/>
  <c r="N81" i="51"/>
  <c r="H82" i="39" s="1"/>
  <c r="N73" i="51"/>
  <c r="Q73" i="51" s="1"/>
  <c r="N65" i="51"/>
  <c r="Q65" i="51" s="1"/>
  <c r="N57" i="51"/>
  <c r="Q57" i="51" s="1"/>
  <c r="N49" i="51"/>
  <c r="Q49" i="51" s="1"/>
  <c r="N41" i="51"/>
  <c r="Q41" i="51" s="1"/>
  <c r="N33" i="51"/>
  <c r="Q33" i="51" s="1"/>
  <c r="N25" i="51"/>
  <c r="H26" i="39" s="1"/>
  <c r="F187" i="51"/>
  <c r="D188" i="39" s="1"/>
  <c r="F179" i="51"/>
  <c r="D180" i="39" s="1"/>
  <c r="F171" i="51"/>
  <c r="D172" i="39" s="1"/>
  <c r="F163" i="51"/>
  <c r="D164" i="39" s="1"/>
  <c r="F155" i="51"/>
  <c r="D156" i="39" s="1"/>
  <c r="F146" i="51"/>
  <c r="D147" i="39" s="1"/>
  <c r="F138" i="51"/>
  <c r="D139" i="39" s="1"/>
  <c r="F130" i="51"/>
  <c r="D131" i="39" s="1"/>
  <c r="F122" i="51"/>
  <c r="D123" i="39" s="1"/>
  <c r="F114" i="51"/>
  <c r="D115" i="39" s="1"/>
  <c r="F106" i="51"/>
  <c r="D107" i="39" s="1"/>
  <c r="F98" i="51"/>
  <c r="D99" i="39" s="1"/>
  <c r="F90" i="51"/>
  <c r="D91" i="39" s="1"/>
  <c r="F82" i="51"/>
  <c r="I82" i="51" s="1"/>
  <c r="F74" i="51"/>
  <c r="D75" i="39" s="1"/>
  <c r="F66" i="51"/>
  <c r="D67" i="39" s="1"/>
  <c r="F58" i="51"/>
  <c r="I58" i="51" s="1"/>
  <c r="F50" i="51"/>
  <c r="D51" i="39" s="1"/>
  <c r="F42" i="51"/>
  <c r="D43" i="39" s="1"/>
  <c r="F34" i="51"/>
  <c r="D35" i="39" s="1"/>
  <c r="F26" i="51"/>
  <c r="D27" i="39" s="1"/>
  <c r="N192" i="51"/>
  <c r="H193" i="39" s="1"/>
  <c r="N184" i="51"/>
  <c r="H185" i="39" s="1"/>
  <c r="N176" i="51"/>
  <c r="H177" i="39" s="1"/>
  <c r="N168" i="51"/>
  <c r="H169" i="39" s="1"/>
  <c r="N160" i="51"/>
  <c r="H161" i="39" s="1"/>
  <c r="N152" i="51"/>
  <c r="H153" i="39" s="1"/>
  <c r="N143" i="51"/>
  <c r="H144" i="39" s="1"/>
  <c r="N135" i="51"/>
  <c r="H136" i="39" s="1"/>
  <c r="N127" i="51"/>
  <c r="H128" i="39" s="1"/>
  <c r="N119" i="51"/>
  <c r="H120" i="39" s="1"/>
  <c r="N111" i="51"/>
  <c r="H112" i="39" s="1"/>
  <c r="N103" i="51"/>
  <c r="H104" i="39" s="1"/>
  <c r="N95" i="51"/>
  <c r="H96" i="39" s="1"/>
  <c r="N87" i="51"/>
  <c r="H88" i="39" s="1"/>
  <c r="N79" i="51"/>
  <c r="H80" i="39" s="1"/>
  <c r="N71" i="51"/>
  <c r="H72" i="39" s="1"/>
  <c r="N63" i="51"/>
  <c r="Q63" i="51" s="1"/>
  <c r="N55" i="51"/>
  <c r="H56" i="39" s="1"/>
  <c r="N47" i="51"/>
  <c r="H48" i="39" s="1"/>
  <c r="N39" i="51"/>
  <c r="H40" i="39" s="1"/>
  <c r="N31" i="51"/>
  <c r="H32" i="39" s="1"/>
  <c r="N23" i="51"/>
  <c r="Q23" i="51" s="1"/>
  <c r="F186" i="51"/>
  <c r="D187" i="39" s="1"/>
  <c r="F178" i="51"/>
  <c r="D179" i="39" s="1"/>
  <c r="F170" i="51"/>
  <c r="D171" i="39" s="1"/>
  <c r="F162" i="51"/>
  <c r="D163" i="39" s="1"/>
  <c r="F154" i="51"/>
  <c r="D155" i="39" s="1"/>
  <c r="F145" i="51"/>
  <c r="D146" i="39" s="1"/>
  <c r="F137" i="51"/>
  <c r="D138" i="39" s="1"/>
  <c r="F129" i="51"/>
  <c r="D130" i="39" s="1"/>
  <c r="F121" i="51"/>
  <c r="D122" i="39" s="1"/>
  <c r="F113" i="51"/>
  <c r="D114" i="39" s="1"/>
  <c r="F105" i="51"/>
  <c r="D106" i="39" s="1"/>
  <c r="F97" i="51"/>
  <c r="D98" i="39" s="1"/>
  <c r="F89" i="51"/>
  <c r="D90" i="39" s="1"/>
  <c r="F81" i="51"/>
  <c r="D82" i="39" s="1"/>
  <c r="F73" i="51"/>
  <c r="D74" i="39" s="1"/>
  <c r="F65" i="51"/>
  <c r="D66" i="39" s="1"/>
  <c r="F57" i="51"/>
  <c r="D58" i="39" s="1"/>
  <c r="F49" i="51"/>
  <c r="D50" i="39" s="1"/>
  <c r="F41" i="51"/>
  <c r="D42" i="39" s="1"/>
  <c r="F33" i="51"/>
  <c r="D34" i="39" s="1"/>
  <c r="F25" i="51"/>
  <c r="D26" i="39" s="1"/>
  <c r="N191" i="51"/>
  <c r="H192" i="39" s="1"/>
  <c r="N183" i="51"/>
  <c r="H184" i="39" s="1"/>
  <c r="N175" i="51"/>
  <c r="H176" i="39" s="1"/>
  <c r="N167" i="51"/>
  <c r="H168" i="39" s="1"/>
  <c r="N159" i="51"/>
  <c r="H160" i="39" s="1"/>
  <c r="N150" i="51"/>
  <c r="H151" i="39" s="1"/>
  <c r="N142" i="51"/>
  <c r="Q142" i="51" s="1"/>
  <c r="N134" i="51"/>
  <c r="H135" i="39" s="1"/>
  <c r="N126" i="51"/>
  <c r="H127" i="39" s="1"/>
  <c r="N118" i="51"/>
  <c r="Q118" i="51" s="1"/>
  <c r="N110" i="51"/>
  <c r="Q110" i="51" s="1"/>
  <c r="N102" i="51"/>
  <c r="H103" i="39" s="1"/>
  <c r="N94" i="51"/>
  <c r="H95" i="39" s="1"/>
  <c r="N86" i="51"/>
  <c r="H87" i="39" s="1"/>
  <c r="N78" i="51"/>
  <c r="Q78" i="51" s="1"/>
  <c r="N70" i="51"/>
  <c r="H71" i="39" s="1"/>
  <c r="N62" i="51"/>
  <c r="H63" i="39" s="1"/>
  <c r="N54" i="51"/>
  <c r="Q54" i="51" s="1"/>
  <c r="N46" i="51"/>
  <c r="Q46" i="51" s="1"/>
  <c r="N38" i="51"/>
  <c r="H39" i="39" s="1"/>
  <c r="N30" i="51"/>
  <c r="H31" i="39" s="1"/>
  <c r="N22" i="51"/>
  <c r="Q22" i="51" s="1"/>
  <c r="F185" i="51"/>
  <c r="D186" i="39" s="1"/>
  <c r="F177" i="51"/>
  <c r="D178" i="39" s="1"/>
  <c r="F169" i="51"/>
  <c r="D170" i="39" s="1"/>
  <c r="F161" i="51"/>
  <c r="I161" i="51" s="1"/>
  <c r="F153" i="51"/>
  <c r="D154" i="39" s="1"/>
  <c r="F144" i="51"/>
  <c r="D145" i="39" s="1"/>
  <c r="F136" i="51"/>
  <c r="D137" i="39" s="1"/>
  <c r="F128" i="51"/>
  <c r="D129" i="39" s="1"/>
  <c r="F120" i="51"/>
  <c r="I120" i="51" s="1"/>
  <c r="F112" i="51"/>
  <c r="D113" i="39" s="1"/>
  <c r="F104" i="51"/>
  <c r="D105" i="39" s="1"/>
  <c r="F96" i="51"/>
  <c r="D97" i="39" s="1"/>
  <c r="F88" i="51"/>
  <c r="D89" i="39" s="1"/>
  <c r="F80" i="51"/>
  <c r="I80" i="51" s="1"/>
  <c r="F72" i="51"/>
  <c r="D73" i="39" s="1"/>
  <c r="F64" i="51"/>
  <c r="I64" i="51" s="1"/>
  <c r="F56" i="51"/>
  <c r="D57" i="39" s="1"/>
  <c r="F48" i="51"/>
  <c r="D49" i="39" s="1"/>
  <c r="F40" i="51"/>
  <c r="D41" i="39" s="1"/>
  <c r="F32" i="51"/>
  <c r="D33" i="39" s="1"/>
  <c r="F24" i="51"/>
  <c r="D25" i="39" s="1"/>
  <c r="N190" i="51"/>
  <c r="H191" i="39" s="1"/>
  <c r="N182" i="51"/>
  <c r="Q182" i="51" s="1"/>
  <c r="N174" i="51"/>
  <c r="H175" i="39" s="1"/>
  <c r="N166" i="51"/>
  <c r="H167" i="39" s="1"/>
  <c r="N158" i="51"/>
  <c r="H159" i="39" s="1"/>
  <c r="N149" i="51"/>
  <c r="Q149" i="51" s="1"/>
  <c r="N141" i="51"/>
  <c r="Q141" i="51" s="1"/>
  <c r="N133" i="51"/>
  <c r="Q133" i="51" s="1"/>
  <c r="N125" i="51"/>
  <c r="Q125" i="51" s="1"/>
  <c r="N117" i="51"/>
  <c r="Q117" i="51" s="1"/>
  <c r="N109" i="51"/>
  <c r="Q109" i="51" s="1"/>
  <c r="N101" i="51"/>
  <c r="Q101" i="51" s="1"/>
  <c r="N93" i="51"/>
  <c r="Q93" i="51" s="1"/>
  <c r="N85" i="51"/>
  <c r="Q85" i="51" s="1"/>
  <c r="N77" i="51"/>
  <c r="Q77" i="51" s="1"/>
  <c r="N69" i="51"/>
  <c r="Q69" i="51" s="1"/>
  <c r="N61" i="51"/>
  <c r="Q61" i="51" s="1"/>
  <c r="N53" i="51"/>
  <c r="Q53" i="51" s="1"/>
  <c r="N45" i="51"/>
  <c r="Q45" i="51" s="1"/>
  <c r="N37" i="51"/>
  <c r="Q37" i="51" s="1"/>
  <c r="N29" i="51"/>
  <c r="H30" i="39" s="1"/>
  <c r="N21" i="51"/>
  <c r="Q21" i="51" s="1"/>
  <c r="F192" i="51"/>
  <c r="I192" i="51" s="1"/>
  <c r="F184" i="51"/>
  <c r="D185" i="39" s="1"/>
  <c r="F176" i="51"/>
  <c r="D177" i="39" s="1"/>
  <c r="F168" i="51"/>
  <c r="I168" i="51" s="1"/>
  <c r="F160" i="51"/>
  <c r="D161" i="39" s="1"/>
  <c r="F152" i="51"/>
  <c r="F143" i="51"/>
  <c r="D144" i="39" s="1"/>
  <c r="F135" i="51"/>
  <c r="D136" i="39" s="1"/>
  <c r="F127" i="51"/>
  <c r="D128" i="39" s="1"/>
  <c r="F119" i="51"/>
  <c r="I119" i="51" s="1"/>
  <c r="F111" i="51"/>
  <c r="I111" i="51" s="1"/>
  <c r="F103" i="51"/>
  <c r="D104" i="39" s="1"/>
  <c r="F95" i="51"/>
  <c r="D96" i="39" s="1"/>
  <c r="F87" i="51"/>
  <c r="D88" i="39" s="1"/>
  <c r="F79" i="51"/>
  <c r="D80" i="39" s="1"/>
  <c r="F71" i="51"/>
  <c r="D72" i="39" s="1"/>
  <c r="F63" i="51"/>
  <c r="D64" i="39" s="1"/>
  <c r="F55" i="51"/>
  <c r="D56" i="39" s="1"/>
  <c r="F47" i="51"/>
  <c r="D48" i="39" s="1"/>
  <c r="F39" i="51"/>
  <c r="D40" i="39" s="1"/>
  <c r="F31" i="51"/>
  <c r="D32" i="39" s="1"/>
  <c r="F23" i="51"/>
  <c r="D24" i="39" s="1"/>
  <c r="N189" i="51"/>
  <c r="H190" i="39" s="1"/>
  <c r="N181" i="51"/>
  <c r="H182" i="39" s="1"/>
  <c r="N173" i="51"/>
  <c r="Q173" i="51" s="1"/>
  <c r="N165" i="51"/>
  <c r="Q165" i="51" s="1"/>
  <c r="N157" i="51"/>
  <c r="H158" i="39" s="1"/>
  <c r="N148" i="51"/>
  <c r="Q148" i="51" s="1"/>
  <c r="N140" i="51"/>
  <c r="Q140" i="51" s="1"/>
  <c r="N132" i="51"/>
  <c r="Q132" i="51" s="1"/>
  <c r="N124" i="51"/>
  <c r="Q124" i="51" s="1"/>
  <c r="N116" i="51"/>
  <c r="Q116" i="51" s="1"/>
  <c r="N108" i="51"/>
  <c r="Q108" i="51" s="1"/>
  <c r="N100" i="51"/>
  <c r="Q100" i="51" s="1"/>
  <c r="N92" i="51"/>
  <c r="Q92" i="51" s="1"/>
  <c r="N84" i="51"/>
  <c r="Q84" i="51" s="1"/>
  <c r="N76" i="51"/>
  <c r="Q76" i="51" s="1"/>
  <c r="N68" i="51"/>
  <c r="Q68" i="51" s="1"/>
  <c r="N60" i="51"/>
  <c r="Q60" i="51" s="1"/>
  <c r="N52" i="51"/>
  <c r="Q52" i="51" s="1"/>
  <c r="N44" i="51"/>
  <c r="Q44" i="51" s="1"/>
  <c r="N36" i="51"/>
  <c r="Q36" i="51" s="1"/>
  <c r="N28" i="51"/>
  <c r="Q28" i="51" s="1"/>
  <c r="N20" i="51"/>
  <c r="Q20" i="51" s="1"/>
  <c r="F175" i="51"/>
  <c r="D176" i="39" s="1"/>
  <c r="F167" i="51"/>
  <c r="D168" i="39" s="1"/>
  <c r="F159" i="51"/>
  <c r="D160" i="39" s="1"/>
  <c r="F150" i="51"/>
  <c r="D151" i="39" s="1"/>
  <c r="F142" i="51"/>
  <c r="D143" i="39" s="1"/>
  <c r="F134" i="51"/>
  <c r="D135" i="39" s="1"/>
  <c r="F126" i="51"/>
  <c r="D127" i="39" s="1"/>
  <c r="F118" i="51"/>
  <c r="D119" i="39" s="1"/>
  <c r="F110" i="51"/>
  <c r="D111" i="39" s="1"/>
  <c r="F102" i="51"/>
  <c r="D103" i="39" s="1"/>
  <c r="F94" i="51"/>
  <c r="D95" i="39" s="1"/>
  <c r="F86" i="51"/>
  <c r="D87" i="39" s="1"/>
  <c r="F78" i="51"/>
  <c r="D79" i="39" s="1"/>
  <c r="F70" i="51"/>
  <c r="I70" i="51" s="1"/>
  <c r="F62" i="51"/>
  <c r="D63" i="39" s="1"/>
  <c r="F54" i="51"/>
  <c r="I54" i="51" s="1"/>
  <c r="F46" i="51"/>
  <c r="D47" i="39" s="1"/>
  <c r="F38" i="51"/>
  <c r="D39" i="39" s="1"/>
  <c r="F30" i="51"/>
  <c r="D31" i="39" s="1"/>
  <c r="F22" i="51"/>
  <c r="D23" i="39" s="1"/>
  <c r="N188" i="51"/>
  <c r="H189" i="39" s="1"/>
  <c r="N180" i="51"/>
  <c r="H181" i="39" s="1"/>
  <c r="N172" i="51"/>
  <c r="H173" i="39" s="1"/>
  <c r="N164" i="51"/>
  <c r="H165" i="39" s="1"/>
  <c r="N156" i="51"/>
  <c r="H157" i="39" s="1"/>
  <c r="N147" i="51"/>
  <c r="Q147" i="51" s="1"/>
  <c r="N139" i="51"/>
  <c r="Q139" i="51" s="1"/>
  <c r="N131" i="51"/>
  <c r="H132" i="39" s="1"/>
  <c r="N123" i="51"/>
  <c r="H124" i="39" s="1"/>
  <c r="N115" i="51"/>
  <c r="Q115" i="51" s="1"/>
  <c r="N107" i="51"/>
  <c r="Q107" i="51" s="1"/>
  <c r="N99" i="51"/>
  <c r="H100" i="39" s="1"/>
  <c r="N91" i="51"/>
  <c r="Q91" i="51" s="1"/>
  <c r="N83" i="51"/>
  <c r="Q83" i="51" s="1"/>
  <c r="N75" i="51"/>
  <c r="H76" i="39" s="1"/>
  <c r="N67" i="51"/>
  <c r="Q67" i="51" s="1"/>
  <c r="N59" i="51"/>
  <c r="H60" i="39" s="1"/>
  <c r="N51" i="51"/>
  <c r="Q51" i="51" s="1"/>
  <c r="N43" i="51"/>
  <c r="H44" i="39" s="1"/>
  <c r="N35" i="51"/>
  <c r="H36" i="39" s="1"/>
  <c r="N27" i="51"/>
  <c r="Q27" i="51" s="1"/>
  <c r="N19" i="51"/>
  <c r="H20" i="39" s="1"/>
  <c r="R52" i="38"/>
  <c r="R152" i="38"/>
  <c r="AA152" i="38" s="1"/>
  <c r="R47" i="38"/>
  <c r="R67" i="38"/>
  <c r="R107" i="38"/>
  <c r="R127" i="38"/>
  <c r="M128" i="50" s="1"/>
  <c r="D249" i="52" s="1"/>
  <c r="R147" i="38"/>
  <c r="M148" i="50" s="1"/>
  <c r="D285" i="52" s="1"/>
  <c r="R57" i="38"/>
  <c r="M58" i="50" s="1"/>
  <c r="D123" i="52" s="1"/>
  <c r="R117" i="38"/>
  <c r="R137" i="38"/>
  <c r="M197" i="51"/>
  <c r="N18" i="51"/>
  <c r="E197" i="51"/>
  <c r="R92" i="38"/>
  <c r="R112" i="38"/>
  <c r="M113" i="50" s="1"/>
  <c r="D222" i="52" s="1"/>
  <c r="W42" i="38"/>
  <c r="O43" i="50" s="1"/>
  <c r="D97" i="52" s="1"/>
  <c r="W162" i="38"/>
  <c r="O163" i="50" s="1"/>
  <c r="D313" i="52" s="1"/>
  <c r="R87" i="38"/>
  <c r="R32" i="38"/>
  <c r="M33" i="50" s="1"/>
  <c r="D78" i="52" s="1"/>
  <c r="R122" i="38"/>
  <c r="Z137" i="38"/>
  <c r="W37" i="38"/>
  <c r="O38" i="50" s="1"/>
  <c r="D88" i="52" s="1"/>
  <c r="W97" i="38"/>
  <c r="O98" i="50" s="1"/>
  <c r="D196" i="52" s="1"/>
  <c r="W117" i="38"/>
  <c r="O118" i="50" s="1"/>
  <c r="D232" i="52" s="1"/>
  <c r="W137" i="38"/>
  <c r="O138" i="50" s="1"/>
  <c r="D268" i="52" s="1"/>
  <c r="Z47" i="38"/>
  <c r="Z87" i="38"/>
  <c r="Z152" i="38"/>
  <c r="Z107" i="38"/>
  <c r="R27" i="38"/>
  <c r="M28" i="50" s="1"/>
  <c r="D69" i="52" s="1"/>
  <c r="W22" i="38"/>
  <c r="O23" i="50" s="1"/>
  <c r="D61" i="52" s="1"/>
  <c r="W62" i="38"/>
  <c r="O63" i="50" s="1"/>
  <c r="D133" i="52" s="1"/>
  <c r="W82" i="38"/>
  <c r="O83" i="50" s="1"/>
  <c r="D169" i="52" s="1"/>
  <c r="W102" i="38"/>
  <c r="O103" i="50" s="1"/>
  <c r="D205" i="52" s="1"/>
  <c r="W122" i="38"/>
  <c r="O123" i="50" s="1"/>
  <c r="D241" i="52" s="1"/>
  <c r="W142" i="38"/>
  <c r="O143" i="50" s="1"/>
  <c r="D277" i="52" s="1"/>
  <c r="Z52" i="38"/>
  <c r="Z67" i="38"/>
  <c r="Z92" i="38"/>
  <c r="R72" i="38"/>
  <c r="M73" i="50" s="1"/>
  <c r="D150" i="52" s="1"/>
  <c r="R132" i="38"/>
  <c r="M133" i="50" s="1"/>
  <c r="D258" i="52" s="1"/>
  <c r="W27" i="38"/>
  <c r="O28" i="50" s="1"/>
  <c r="D70" i="52" s="1"/>
  <c r="W67" i="38"/>
  <c r="O68" i="50" s="1"/>
  <c r="D142" i="52" s="1"/>
  <c r="W87" i="38"/>
  <c r="O88" i="50" s="1"/>
  <c r="D178" i="52" s="1"/>
  <c r="W127" i="38"/>
  <c r="O128" i="50" s="1"/>
  <c r="D250" i="52" s="1"/>
  <c r="W147" i="38"/>
  <c r="O148" i="50" s="1"/>
  <c r="D286" i="52" s="1"/>
  <c r="Z57" i="38"/>
  <c r="Z112" i="38"/>
  <c r="Z127" i="38"/>
  <c r="R37" i="38"/>
  <c r="M38" i="50" s="1"/>
  <c r="D87" i="52" s="1"/>
  <c r="R77" i="38"/>
  <c r="M78" i="50" s="1"/>
  <c r="D159" i="52" s="1"/>
  <c r="R97" i="38"/>
  <c r="M98" i="50" s="1"/>
  <c r="D195" i="52" s="1"/>
  <c r="R157" i="38"/>
  <c r="M158" i="50" s="1"/>
  <c r="D303" i="52" s="1"/>
  <c r="W32" i="38"/>
  <c r="O33" i="50" s="1"/>
  <c r="D79" i="52" s="1"/>
  <c r="W52" i="38"/>
  <c r="O53" i="50" s="1"/>
  <c r="D115" i="52" s="1"/>
  <c r="W92" i="38"/>
  <c r="O93" i="50" s="1"/>
  <c r="D187" i="52" s="1"/>
  <c r="W152" i="38"/>
  <c r="O153" i="50" s="1"/>
  <c r="D295" i="52" s="1"/>
  <c r="Z32" i="38"/>
  <c r="Z147" i="38"/>
  <c r="R42" i="38"/>
  <c r="M43" i="50" s="1"/>
  <c r="D96" i="52" s="1"/>
  <c r="R62" i="38"/>
  <c r="M63" i="50" s="1"/>
  <c r="D132" i="52" s="1"/>
  <c r="R82" i="38"/>
  <c r="M83" i="50" s="1"/>
  <c r="D168" i="52" s="1"/>
  <c r="R102" i="38"/>
  <c r="M103" i="50" s="1"/>
  <c r="D204" i="52" s="1"/>
  <c r="R142" i="38"/>
  <c r="M143" i="50" s="1"/>
  <c r="D276" i="52" s="1"/>
  <c r="R162" i="38"/>
  <c r="M163" i="50" s="1"/>
  <c r="D312" i="52" s="1"/>
  <c r="Z62" i="38"/>
  <c r="Z102" i="38"/>
  <c r="Z117" i="38"/>
  <c r="W17" i="38"/>
  <c r="O18" i="50" s="1"/>
  <c r="D52" i="52" s="1"/>
  <c r="R17" i="38"/>
  <c r="I188" i="51" l="1"/>
  <c r="I164" i="51"/>
  <c r="L184" i="50"/>
  <c r="I77" i="51"/>
  <c r="Q169" i="51"/>
  <c r="Q177" i="51"/>
  <c r="AA22" i="38"/>
  <c r="AA52" i="38"/>
  <c r="Q187" i="51"/>
  <c r="D62" i="39"/>
  <c r="Q163" i="51"/>
  <c r="Q144" i="51"/>
  <c r="H58" i="39"/>
  <c r="Q98" i="51"/>
  <c r="I139" i="51"/>
  <c r="I190" i="51"/>
  <c r="I149" i="51"/>
  <c r="Q40" i="51"/>
  <c r="I107" i="51"/>
  <c r="D112" i="39"/>
  <c r="Q104" i="51"/>
  <c r="I68" i="51"/>
  <c r="I150" i="51"/>
  <c r="H50" i="39"/>
  <c r="Q153" i="51"/>
  <c r="Q145" i="51"/>
  <c r="M23" i="50"/>
  <c r="D60" i="52" s="1"/>
  <c r="Q90" i="51"/>
  <c r="I89" i="51"/>
  <c r="Q120" i="51"/>
  <c r="H138" i="39"/>
  <c r="Q29" i="51"/>
  <c r="Q103" i="51"/>
  <c r="Q128" i="51"/>
  <c r="Q82" i="51"/>
  <c r="Q96" i="51"/>
  <c r="D126" i="39"/>
  <c r="D158" i="39"/>
  <c r="I69" i="51"/>
  <c r="I178" i="51"/>
  <c r="I166" i="51"/>
  <c r="I196" i="51"/>
  <c r="I195" i="51"/>
  <c r="D166" i="39"/>
  <c r="D37" i="39"/>
  <c r="Q62" i="51"/>
  <c r="I122" i="51"/>
  <c r="I103" i="51"/>
  <c r="I187" i="51"/>
  <c r="Q56" i="51"/>
  <c r="I45" i="51"/>
  <c r="H122" i="39"/>
  <c r="I117" i="51"/>
  <c r="I91" i="51"/>
  <c r="I193" i="51"/>
  <c r="Q64" i="51"/>
  <c r="I42" i="51"/>
  <c r="H148" i="39"/>
  <c r="I174" i="51"/>
  <c r="Q193" i="51"/>
  <c r="D61" i="39"/>
  <c r="Q72" i="51"/>
  <c r="Q131" i="51"/>
  <c r="Q159" i="51"/>
  <c r="D183" i="39"/>
  <c r="H118" i="39"/>
  <c r="I156" i="51"/>
  <c r="H130" i="39"/>
  <c r="Q158" i="51"/>
  <c r="Q171" i="51"/>
  <c r="Q195" i="51"/>
  <c r="I183" i="51"/>
  <c r="Q111" i="51"/>
  <c r="D81" i="39"/>
  <c r="Q24" i="51"/>
  <c r="I128" i="51"/>
  <c r="I35" i="51"/>
  <c r="D110" i="39"/>
  <c r="Q48" i="51"/>
  <c r="I98" i="51"/>
  <c r="Q58" i="51"/>
  <c r="I90" i="51"/>
  <c r="Q74" i="51"/>
  <c r="Q66" i="51"/>
  <c r="I114" i="51"/>
  <c r="I52" i="51"/>
  <c r="I26" i="51"/>
  <c r="Q122" i="51"/>
  <c r="D54" i="39"/>
  <c r="H34" i="39"/>
  <c r="I72" i="51"/>
  <c r="Q189" i="51"/>
  <c r="H126" i="39"/>
  <c r="I186" i="51"/>
  <c r="I100" i="51"/>
  <c r="D125" i="39"/>
  <c r="I159" i="51"/>
  <c r="Q154" i="51"/>
  <c r="I48" i="51"/>
  <c r="D59" i="39"/>
  <c r="H70" i="39"/>
  <c r="Q47" i="51"/>
  <c r="H98" i="39"/>
  <c r="Q161" i="51"/>
  <c r="Q126" i="51"/>
  <c r="I121" i="51"/>
  <c r="Q143" i="51"/>
  <c r="I163" i="51"/>
  <c r="Q155" i="51"/>
  <c r="Q196" i="51"/>
  <c r="I145" i="51"/>
  <c r="D193" i="39"/>
  <c r="Q181" i="51"/>
  <c r="H62" i="39"/>
  <c r="Q123" i="51"/>
  <c r="I154" i="51"/>
  <c r="H110" i="39"/>
  <c r="H29" i="39"/>
  <c r="I153" i="51"/>
  <c r="Q164" i="51"/>
  <c r="H125" i="39"/>
  <c r="H24" i="39"/>
  <c r="I47" i="51"/>
  <c r="I66" i="51"/>
  <c r="Q34" i="51"/>
  <c r="Q119" i="51"/>
  <c r="Q146" i="51"/>
  <c r="Q75" i="51"/>
  <c r="I118" i="51"/>
  <c r="I23" i="51"/>
  <c r="H90" i="39"/>
  <c r="Q102" i="51"/>
  <c r="Q136" i="51"/>
  <c r="I19" i="51"/>
  <c r="Q172" i="51"/>
  <c r="H66" i="39"/>
  <c r="Q186" i="51"/>
  <c r="I94" i="51"/>
  <c r="I142" i="51"/>
  <c r="I127" i="51"/>
  <c r="Q130" i="51"/>
  <c r="I180" i="51"/>
  <c r="H183" i="39"/>
  <c r="H28" i="39"/>
  <c r="I144" i="51"/>
  <c r="I79" i="51"/>
  <c r="Q134" i="51"/>
  <c r="Q71" i="51"/>
  <c r="D29" i="39"/>
  <c r="H93" i="39"/>
  <c r="Q185" i="51"/>
  <c r="Q25" i="51"/>
  <c r="D142" i="39"/>
  <c r="Q167" i="51"/>
  <c r="I73" i="51"/>
  <c r="Q35" i="51"/>
  <c r="I83" i="51"/>
  <c r="Q157" i="51"/>
  <c r="I126" i="51"/>
  <c r="I81" i="51"/>
  <c r="Q99" i="51"/>
  <c r="Q176" i="51"/>
  <c r="I147" i="51"/>
  <c r="H174" i="39"/>
  <c r="I189" i="51"/>
  <c r="H45" i="39"/>
  <c r="H85" i="39"/>
  <c r="H64" i="39"/>
  <c r="I40" i="51"/>
  <c r="D21" i="39"/>
  <c r="Q179" i="51"/>
  <c r="D120" i="39"/>
  <c r="I132" i="51"/>
  <c r="I115" i="51"/>
  <c r="H23" i="39"/>
  <c r="I137" i="51"/>
  <c r="H119" i="39"/>
  <c r="Q43" i="51"/>
  <c r="I160" i="51"/>
  <c r="D55" i="39"/>
  <c r="D149" i="39"/>
  <c r="Q50" i="51"/>
  <c r="Q32" i="51"/>
  <c r="Q79" i="51"/>
  <c r="H52" i="39"/>
  <c r="Q138" i="51"/>
  <c r="Q95" i="51"/>
  <c r="Q80" i="51"/>
  <c r="H114" i="39"/>
  <c r="H108" i="39"/>
  <c r="Q70" i="51"/>
  <c r="I179" i="51"/>
  <c r="D77" i="39"/>
  <c r="I32" i="51"/>
  <c r="I34" i="51"/>
  <c r="I18" i="51"/>
  <c r="I95" i="51"/>
  <c r="H166" i="39"/>
  <c r="I136" i="51"/>
  <c r="I172" i="51"/>
  <c r="Q160" i="51"/>
  <c r="H55" i="39"/>
  <c r="H78" i="39"/>
  <c r="I57" i="51"/>
  <c r="H22" i="39"/>
  <c r="I99" i="51"/>
  <c r="D38" i="39"/>
  <c r="D169" i="39"/>
  <c r="I63" i="51"/>
  <c r="H53" i="39"/>
  <c r="I22" i="51"/>
  <c r="Q188" i="51"/>
  <c r="I49" i="51"/>
  <c r="Q38" i="51"/>
  <c r="Q168" i="51"/>
  <c r="D83" i="39"/>
  <c r="H61" i="39"/>
  <c r="I104" i="51"/>
  <c r="I46" i="51"/>
  <c r="N175" i="38"/>
  <c r="Q30" i="51"/>
  <c r="H54" i="39"/>
  <c r="I96" i="51"/>
  <c r="I62" i="51"/>
  <c r="Q190" i="51"/>
  <c r="H86" i="39"/>
  <c r="D30" i="39"/>
  <c r="D71" i="39"/>
  <c r="H21" i="39"/>
  <c r="H109" i="39"/>
  <c r="D121" i="39"/>
  <c r="I43" i="51"/>
  <c r="H74" i="39"/>
  <c r="H117" i="39"/>
  <c r="D65" i="39"/>
  <c r="D162" i="39"/>
  <c r="D153" i="39"/>
  <c r="D152" i="39"/>
  <c r="F152" i="39" s="1"/>
  <c r="F197" i="51"/>
  <c r="H46" i="39"/>
  <c r="H150" i="39"/>
  <c r="Q178" i="51"/>
  <c r="Q114" i="51"/>
  <c r="Q31" i="51"/>
  <c r="Q81" i="51"/>
  <c r="I191" i="51"/>
  <c r="I135" i="51"/>
  <c r="I169" i="51"/>
  <c r="H68" i="39"/>
  <c r="Q112" i="51"/>
  <c r="Q39" i="51"/>
  <c r="D85" i="39"/>
  <c r="D93" i="39"/>
  <c r="I133" i="51"/>
  <c r="Q59" i="51"/>
  <c r="Q183" i="51"/>
  <c r="I146" i="51"/>
  <c r="Q88" i="51"/>
  <c r="Q191" i="51"/>
  <c r="I155" i="51"/>
  <c r="I131" i="51"/>
  <c r="I71" i="51"/>
  <c r="I176" i="51"/>
  <c r="I177" i="51"/>
  <c r="Q170" i="51"/>
  <c r="I113" i="51"/>
  <c r="I78" i="51"/>
  <c r="Q26" i="51"/>
  <c r="Q135" i="51"/>
  <c r="I39" i="51"/>
  <c r="I50" i="51"/>
  <c r="I158" i="51"/>
  <c r="I101" i="51"/>
  <c r="Q94" i="51"/>
  <c r="I86" i="51"/>
  <c r="H142" i="39"/>
  <c r="I27" i="51"/>
  <c r="L177" i="50"/>
  <c r="N179" i="38"/>
  <c r="L179" i="50"/>
  <c r="L176" i="50"/>
  <c r="I102" i="51"/>
  <c r="I167" i="51"/>
  <c r="H133" i="39"/>
  <c r="Q106" i="51"/>
  <c r="Q194" i="51"/>
  <c r="I110" i="51"/>
  <c r="I175" i="51"/>
  <c r="H42" i="39"/>
  <c r="H106" i="39"/>
  <c r="H116" i="39"/>
  <c r="I65" i="51"/>
  <c r="I129" i="51"/>
  <c r="I194" i="51"/>
  <c r="Q86" i="51"/>
  <c r="Q152" i="51"/>
  <c r="I30" i="51"/>
  <c r="I87" i="51"/>
  <c r="I59" i="51"/>
  <c r="I31" i="51"/>
  <c r="I143" i="51"/>
  <c r="I55" i="51"/>
  <c r="H37" i="39"/>
  <c r="I51" i="51"/>
  <c r="D22" i="39"/>
  <c r="H94" i="39"/>
  <c r="H38" i="39"/>
  <c r="H47" i="39"/>
  <c r="I106" i="51"/>
  <c r="I171" i="51"/>
  <c r="I85" i="51"/>
  <c r="I123" i="51"/>
  <c r="D109" i="39"/>
  <c r="H69" i="39"/>
  <c r="H141" i="39"/>
  <c r="I185" i="51"/>
  <c r="D174" i="39"/>
  <c r="Q19" i="51"/>
  <c r="H79" i="39"/>
  <c r="Q55" i="51"/>
  <c r="I38" i="51"/>
  <c r="I74" i="51"/>
  <c r="H140" i="39"/>
  <c r="I134" i="51"/>
  <c r="H102" i="39"/>
  <c r="Q156" i="51"/>
  <c r="Q166" i="51"/>
  <c r="H111" i="39"/>
  <c r="Q150" i="51"/>
  <c r="Q127" i="51"/>
  <c r="D45" i="39"/>
  <c r="I93" i="51"/>
  <c r="Q180" i="51"/>
  <c r="H77" i="39"/>
  <c r="H149" i="39"/>
  <c r="H92" i="39"/>
  <c r="I56" i="51"/>
  <c r="I24" i="51"/>
  <c r="H101" i="39"/>
  <c r="D182" i="39"/>
  <c r="I112" i="51"/>
  <c r="I25" i="51"/>
  <c r="L180" i="50"/>
  <c r="H84" i="39"/>
  <c r="Q42" i="51"/>
  <c r="Q162" i="51"/>
  <c r="H134" i="39"/>
  <c r="N176" i="38"/>
  <c r="Q174" i="51"/>
  <c r="I33" i="51"/>
  <c r="I97" i="51"/>
  <c r="I162" i="51"/>
  <c r="H143" i="39"/>
  <c r="I130" i="51"/>
  <c r="Q87" i="51"/>
  <c r="Q184" i="51"/>
  <c r="I152" i="51"/>
  <c r="I88" i="51"/>
  <c r="D117" i="39"/>
  <c r="I184" i="51"/>
  <c r="I67" i="51"/>
  <c r="D141" i="39"/>
  <c r="N178" i="38"/>
  <c r="I41" i="51"/>
  <c r="I105" i="51"/>
  <c r="I170" i="51"/>
  <c r="Q175" i="51"/>
  <c r="I138" i="51"/>
  <c r="Q192" i="51"/>
  <c r="I75" i="51"/>
  <c r="M53" i="50"/>
  <c r="D114" i="52" s="1"/>
  <c r="M153" i="50"/>
  <c r="D294" i="52" s="1"/>
  <c r="AA32" i="38"/>
  <c r="AA127" i="38"/>
  <c r="AA112" i="38"/>
  <c r="AA57" i="38"/>
  <c r="AA147" i="38"/>
  <c r="AA67" i="38"/>
  <c r="M68" i="50"/>
  <c r="D141" i="52" s="1"/>
  <c r="AA47" i="38"/>
  <c r="M48" i="50"/>
  <c r="D105" i="52" s="1"/>
  <c r="AA137" i="38"/>
  <c r="M138" i="50"/>
  <c r="D267" i="52" s="1"/>
  <c r="AA92" i="38"/>
  <c r="M93" i="50"/>
  <c r="D186" i="52" s="1"/>
  <c r="AA117" i="38"/>
  <c r="M118" i="50"/>
  <c r="D231" i="52" s="1"/>
  <c r="AA122" i="38"/>
  <c r="M123" i="50"/>
  <c r="D240" i="52" s="1"/>
  <c r="AA87" i="38"/>
  <c r="M88" i="50"/>
  <c r="D177" i="52" s="1"/>
  <c r="N197" i="51"/>
  <c r="H19" i="39"/>
  <c r="Q18" i="51"/>
  <c r="AA107" i="38"/>
  <c r="M108" i="50"/>
  <c r="D213" i="52" s="1"/>
  <c r="AA72" i="38"/>
  <c r="AA37" i="38"/>
  <c r="AA162" i="38"/>
  <c r="AA82" i="38"/>
  <c r="AA132" i="38"/>
  <c r="AA62" i="38"/>
  <c r="AA157" i="38"/>
  <c r="AA142" i="38"/>
  <c r="AA97" i="38"/>
  <c r="AA102" i="38"/>
  <c r="AA42" i="38"/>
  <c r="AA77" i="38"/>
  <c r="AA17" i="38"/>
  <c r="M18" i="50"/>
  <c r="D51" i="52" s="1"/>
  <c r="AA27" i="38"/>
  <c r="R167" i="38"/>
  <c r="L178" i="50" l="1"/>
  <c r="N177" i="38"/>
  <c r="I197" i="51"/>
  <c r="I8" i="51" s="1"/>
  <c r="D198" i="39"/>
  <c r="L165" i="38"/>
  <c r="L164" i="38"/>
  <c r="L163" i="38"/>
  <c r="L160" i="38"/>
  <c r="L159" i="38"/>
  <c r="L158" i="38"/>
  <c r="L155" i="38"/>
  <c r="L154" i="38"/>
  <c r="L153" i="38"/>
  <c r="L150" i="38"/>
  <c r="L149" i="38"/>
  <c r="L148" i="38"/>
  <c r="L145" i="38"/>
  <c r="L144" i="38"/>
  <c r="L143" i="38"/>
  <c r="L140" i="38"/>
  <c r="L139" i="38"/>
  <c r="L138" i="38"/>
  <c r="L135" i="38"/>
  <c r="L134" i="38"/>
  <c r="L133" i="38"/>
  <c r="L130" i="38"/>
  <c r="L129" i="38"/>
  <c r="L128" i="38"/>
  <c r="L125" i="38"/>
  <c r="L124" i="38"/>
  <c r="L123" i="38"/>
  <c r="L120" i="38"/>
  <c r="L119" i="38"/>
  <c r="L118" i="38"/>
  <c r="L115" i="38"/>
  <c r="L114" i="38"/>
  <c r="L113" i="38"/>
  <c r="L110" i="38"/>
  <c r="L109" i="38"/>
  <c r="L108" i="38"/>
  <c r="L105" i="38"/>
  <c r="L104" i="38"/>
  <c r="L103" i="38"/>
  <c r="L100" i="38"/>
  <c r="L99" i="38"/>
  <c r="L98" i="38"/>
  <c r="L95" i="38"/>
  <c r="L94" i="38"/>
  <c r="L93" i="38"/>
  <c r="L90" i="38"/>
  <c r="L89" i="38"/>
  <c r="L88" i="38"/>
  <c r="L85" i="38"/>
  <c r="L84" i="38"/>
  <c r="L83" i="38"/>
  <c r="L80" i="38"/>
  <c r="L79" i="38"/>
  <c r="L78" i="38"/>
  <c r="L75" i="38"/>
  <c r="L74" i="38"/>
  <c r="L73" i="38"/>
  <c r="L70" i="38"/>
  <c r="L69" i="38"/>
  <c r="L68" i="38"/>
  <c r="L65" i="38"/>
  <c r="L64" i="38"/>
  <c r="L63" i="38"/>
  <c r="L60" i="38"/>
  <c r="L59" i="38"/>
  <c r="L58" i="38"/>
  <c r="L55" i="38"/>
  <c r="L54" i="38"/>
  <c r="L53" i="38"/>
  <c r="L50" i="38"/>
  <c r="L49" i="38"/>
  <c r="L48" i="38"/>
  <c r="L45" i="38"/>
  <c r="L44" i="38"/>
  <c r="L43" i="38"/>
  <c r="L40" i="38"/>
  <c r="L39" i="38"/>
  <c r="L38" i="38"/>
  <c r="L35" i="38"/>
  <c r="L34" i="38"/>
  <c r="L33" i="38"/>
  <c r="L30" i="38"/>
  <c r="L29" i="38"/>
  <c r="L28" i="38"/>
  <c r="L25" i="38"/>
  <c r="L24" i="38"/>
  <c r="L23" i="38"/>
  <c r="L20" i="38" l="1"/>
  <c r="K165" i="38"/>
  <c r="M165" i="38" s="1"/>
  <c r="K166" i="50" s="1"/>
  <c r="K164" i="38"/>
  <c r="M164" i="38" s="1"/>
  <c r="K165" i="50" s="1"/>
  <c r="K163" i="38"/>
  <c r="M163" i="38" s="1"/>
  <c r="K164" i="50" s="1"/>
  <c r="K160" i="38"/>
  <c r="M160" i="38" s="1"/>
  <c r="K161" i="50" s="1"/>
  <c r="K159" i="38"/>
  <c r="M159" i="38" s="1"/>
  <c r="K160" i="50" s="1"/>
  <c r="K158" i="38"/>
  <c r="M158" i="38" s="1"/>
  <c r="K159" i="50" s="1"/>
  <c r="K155" i="38"/>
  <c r="M155" i="38" s="1"/>
  <c r="K156" i="50" s="1"/>
  <c r="K154" i="38"/>
  <c r="M154" i="38" s="1"/>
  <c r="K155" i="50" s="1"/>
  <c r="K153" i="38"/>
  <c r="M153" i="38" s="1"/>
  <c r="K154" i="50" s="1"/>
  <c r="K150" i="38"/>
  <c r="M150" i="38" s="1"/>
  <c r="K151" i="50" s="1"/>
  <c r="K149" i="38"/>
  <c r="M149" i="38" s="1"/>
  <c r="K150" i="50" s="1"/>
  <c r="K148" i="38"/>
  <c r="M148" i="38" s="1"/>
  <c r="K149" i="50" s="1"/>
  <c r="K145" i="38"/>
  <c r="M145" i="38" s="1"/>
  <c r="K146" i="50" s="1"/>
  <c r="K144" i="38"/>
  <c r="M144" i="38" s="1"/>
  <c r="K145" i="50" s="1"/>
  <c r="K143" i="38"/>
  <c r="M143" i="38" s="1"/>
  <c r="K144" i="50" s="1"/>
  <c r="K140" i="38"/>
  <c r="M140" i="38" s="1"/>
  <c r="K141" i="50" s="1"/>
  <c r="K139" i="38"/>
  <c r="M139" i="38" s="1"/>
  <c r="K140" i="50" s="1"/>
  <c r="K138" i="38"/>
  <c r="M138" i="38" s="1"/>
  <c r="K139" i="50" s="1"/>
  <c r="K135" i="38"/>
  <c r="M135" i="38" s="1"/>
  <c r="K136" i="50" s="1"/>
  <c r="K134" i="38"/>
  <c r="M134" i="38" s="1"/>
  <c r="K135" i="50" s="1"/>
  <c r="K133" i="38"/>
  <c r="M133" i="38" s="1"/>
  <c r="K134" i="50" s="1"/>
  <c r="K130" i="38"/>
  <c r="M130" i="38" s="1"/>
  <c r="K131" i="50" s="1"/>
  <c r="K129" i="38"/>
  <c r="M129" i="38" s="1"/>
  <c r="K130" i="50" s="1"/>
  <c r="K128" i="38"/>
  <c r="M128" i="38" s="1"/>
  <c r="K129" i="50" s="1"/>
  <c r="K125" i="38"/>
  <c r="M125" i="38" s="1"/>
  <c r="K126" i="50" s="1"/>
  <c r="K124" i="38"/>
  <c r="M124" i="38" s="1"/>
  <c r="K125" i="50" s="1"/>
  <c r="K123" i="38"/>
  <c r="M123" i="38" s="1"/>
  <c r="K124" i="50" s="1"/>
  <c r="K120" i="38"/>
  <c r="M120" i="38" s="1"/>
  <c r="K121" i="50" s="1"/>
  <c r="K119" i="38"/>
  <c r="M119" i="38" s="1"/>
  <c r="K120" i="50" s="1"/>
  <c r="K118" i="38"/>
  <c r="M118" i="38" s="1"/>
  <c r="K119" i="50" s="1"/>
  <c r="K115" i="38"/>
  <c r="M115" i="38" s="1"/>
  <c r="K116" i="50" s="1"/>
  <c r="K114" i="38"/>
  <c r="M114" i="38" s="1"/>
  <c r="K115" i="50" s="1"/>
  <c r="K113" i="38"/>
  <c r="M113" i="38" s="1"/>
  <c r="K114" i="50" s="1"/>
  <c r="K110" i="38"/>
  <c r="M110" i="38" s="1"/>
  <c r="K111" i="50" s="1"/>
  <c r="K109" i="38"/>
  <c r="M109" i="38" s="1"/>
  <c r="K110" i="50" s="1"/>
  <c r="K108" i="38"/>
  <c r="M108" i="38" s="1"/>
  <c r="K109" i="50" s="1"/>
  <c r="K105" i="38"/>
  <c r="M105" i="38" s="1"/>
  <c r="K106" i="50" s="1"/>
  <c r="K104" i="38"/>
  <c r="M104" i="38" s="1"/>
  <c r="K105" i="50" s="1"/>
  <c r="K103" i="38"/>
  <c r="M103" i="38" s="1"/>
  <c r="K104" i="50" s="1"/>
  <c r="K100" i="38"/>
  <c r="M100" i="38" s="1"/>
  <c r="K101" i="50" s="1"/>
  <c r="K99" i="38"/>
  <c r="M99" i="38" s="1"/>
  <c r="K100" i="50" s="1"/>
  <c r="K98" i="38"/>
  <c r="M98" i="38" s="1"/>
  <c r="K99" i="50" s="1"/>
  <c r="K95" i="38"/>
  <c r="M95" i="38" s="1"/>
  <c r="K96" i="50" s="1"/>
  <c r="K94" i="38"/>
  <c r="M94" i="38" s="1"/>
  <c r="K95" i="50" s="1"/>
  <c r="K93" i="38"/>
  <c r="M93" i="38" s="1"/>
  <c r="K94" i="50" s="1"/>
  <c r="K90" i="38"/>
  <c r="M90" i="38" s="1"/>
  <c r="K91" i="50" s="1"/>
  <c r="K89" i="38"/>
  <c r="M89" i="38" s="1"/>
  <c r="K90" i="50" s="1"/>
  <c r="K88" i="38"/>
  <c r="M88" i="38" s="1"/>
  <c r="K89" i="50" s="1"/>
  <c r="K85" i="38"/>
  <c r="M85" i="38" s="1"/>
  <c r="K86" i="50" s="1"/>
  <c r="K84" i="38"/>
  <c r="M84" i="38" s="1"/>
  <c r="K85" i="50" s="1"/>
  <c r="K83" i="38"/>
  <c r="M83" i="38" s="1"/>
  <c r="K84" i="50" s="1"/>
  <c r="K80" i="38"/>
  <c r="M80" i="38" s="1"/>
  <c r="K81" i="50" s="1"/>
  <c r="K79" i="38"/>
  <c r="M79" i="38" s="1"/>
  <c r="K80" i="50" s="1"/>
  <c r="K78" i="38"/>
  <c r="M78" i="38" s="1"/>
  <c r="K79" i="50" s="1"/>
  <c r="K75" i="38"/>
  <c r="M75" i="38" s="1"/>
  <c r="K76" i="50" s="1"/>
  <c r="K74" i="38"/>
  <c r="M74" i="38" s="1"/>
  <c r="K75" i="50" s="1"/>
  <c r="K73" i="38"/>
  <c r="M73" i="38" s="1"/>
  <c r="K74" i="50" s="1"/>
  <c r="K70" i="38"/>
  <c r="M70" i="38" s="1"/>
  <c r="K71" i="50" s="1"/>
  <c r="K69" i="38"/>
  <c r="M69" i="38" s="1"/>
  <c r="K70" i="50" s="1"/>
  <c r="K68" i="38"/>
  <c r="M68" i="38" s="1"/>
  <c r="K69" i="50" s="1"/>
  <c r="K65" i="38"/>
  <c r="M65" i="38" s="1"/>
  <c r="K66" i="50" s="1"/>
  <c r="K64" i="38"/>
  <c r="M64" i="38" s="1"/>
  <c r="K65" i="50" s="1"/>
  <c r="K63" i="38"/>
  <c r="M63" i="38" s="1"/>
  <c r="K64" i="50" s="1"/>
  <c r="K60" i="38"/>
  <c r="M60" i="38" s="1"/>
  <c r="K61" i="50" s="1"/>
  <c r="K59" i="38"/>
  <c r="M59" i="38" s="1"/>
  <c r="K60" i="50" s="1"/>
  <c r="K58" i="38"/>
  <c r="M58" i="38" s="1"/>
  <c r="K59" i="50" s="1"/>
  <c r="K55" i="38"/>
  <c r="M55" i="38" s="1"/>
  <c r="K56" i="50" s="1"/>
  <c r="K54" i="38"/>
  <c r="M54" i="38" s="1"/>
  <c r="K55" i="50" s="1"/>
  <c r="K53" i="38"/>
  <c r="M53" i="38" s="1"/>
  <c r="K54" i="50" s="1"/>
  <c r="K50" i="38"/>
  <c r="M50" i="38" s="1"/>
  <c r="K51" i="50" s="1"/>
  <c r="K49" i="38"/>
  <c r="M49" i="38" s="1"/>
  <c r="K50" i="50" s="1"/>
  <c r="K48" i="38"/>
  <c r="M48" i="38" s="1"/>
  <c r="K49" i="50" s="1"/>
  <c r="K45" i="38"/>
  <c r="M45" i="38" s="1"/>
  <c r="K46" i="50" s="1"/>
  <c r="K44" i="38"/>
  <c r="M44" i="38" s="1"/>
  <c r="K45" i="50" s="1"/>
  <c r="K43" i="38"/>
  <c r="M43" i="38" s="1"/>
  <c r="K44" i="50" s="1"/>
  <c r="K40" i="38"/>
  <c r="M40" i="38" s="1"/>
  <c r="K41" i="50" s="1"/>
  <c r="K39" i="38"/>
  <c r="M39" i="38" s="1"/>
  <c r="K40" i="50" s="1"/>
  <c r="K38" i="38"/>
  <c r="M38" i="38" s="1"/>
  <c r="K39" i="50" s="1"/>
  <c r="K35" i="38"/>
  <c r="M35" i="38" s="1"/>
  <c r="K36" i="50" s="1"/>
  <c r="K34" i="38"/>
  <c r="M34" i="38" s="1"/>
  <c r="K35" i="50" s="1"/>
  <c r="K33" i="38"/>
  <c r="M33" i="38" s="1"/>
  <c r="K34" i="50" s="1"/>
  <c r="K30" i="38"/>
  <c r="M30" i="38" s="1"/>
  <c r="K31" i="50" s="1"/>
  <c r="K29" i="38"/>
  <c r="M29" i="38" s="1"/>
  <c r="K30" i="50" s="1"/>
  <c r="K28" i="38"/>
  <c r="M28" i="38" s="1"/>
  <c r="K29" i="50" s="1"/>
  <c r="K25" i="38"/>
  <c r="M25" i="38" s="1"/>
  <c r="K26" i="50" s="1"/>
  <c r="K24" i="38"/>
  <c r="M24" i="38" s="1"/>
  <c r="K25" i="50" s="1"/>
  <c r="K23" i="38"/>
  <c r="M23" i="38" s="1"/>
  <c r="K24" i="50" s="1"/>
  <c r="J165" i="38"/>
  <c r="J166" i="50" s="1"/>
  <c r="J164" i="38"/>
  <c r="J165" i="50" s="1"/>
  <c r="J163" i="38"/>
  <c r="J164" i="50" s="1"/>
  <c r="J160" i="38"/>
  <c r="J161" i="50" s="1"/>
  <c r="J159" i="38"/>
  <c r="J160" i="50" s="1"/>
  <c r="J158" i="38"/>
  <c r="J159" i="50" s="1"/>
  <c r="J155" i="38"/>
  <c r="J156" i="50" s="1"/>
  <c r="J154" i="38"/>
  <c r="J155" i="50" s="1"/>
  <c r="J153" i="38"/>
  <c r="J154" i="50" s="1"/>
  <c r="J150" i="38"/>
  <c r="J151" i="50" s="1"/>
  <c r="J149" i="38"/>
  <c r="J150" i="50" s="1"/>
  <c r="J148" i="38"/>
  <c r="J149" i="50" s="1"/>
  <c r="J145" i="38"/>
  <c r="J146" i="50" s="1"/>
  <c r="J144" i="38"/>
  <c r="J145" i="50" s="1"/>
  <c r="J143" i="38"/>
  <c r="J144" i="50" s="1"/>
  <c r="J140" i="38"/>
  <c r="J141" i="50" s="1"/>
  <c r="J139" i="38"/>
  <c r="J140" i="50" s="1"/>
  <c r="J138" i="38"/>
  <c r="J139" i="50" s="1"/>
  <c r="J135" i="38"/>
  <c r="J136" i="50" s="1"/>
  <c r="J134" i="38"/>
  <c r="J135" i="50" s="1"/>
  <c r="J133" i="38"/>
  <c r="J134" i="50" s="1"/>
  <c r="J130" i="38"/>
  <c r="J131" i="50" s="1"/>
  <c r="J129" i="38"/>
  <c r="J130" i="50" s="1"/>
  <c r="J128" i="38"/>
  <c r="J129" i="50" s="1"/>
  <c r="J125" i="38"/>
  <c r="J126" i="50" s="1"/>
  <c r="J124" i="38"/>
  <c r="J125" i="50" s="1"/>
  <c r="J123" i="38"/>
  <c r="J124" i="50" s="1"/>
  <c r="J120" i="38"/>
  <c r="J121" i="50" s="1"/>
  <c r="J119" i="38"/>
  <c r="J120" i="50" s="1"/>
  <c r="J118" i="38"/>
  <c r="J119" i="50" s="1"/>
  <c r="J115" i="38"/>
  <c r="J116" i="50" s="1"/>
  <c r="J114" i="38"/>
  <c r="J115" i="50" s="1"/>
  <c r="J113" i="38"/>
  <c r="J114" i="50" s="1"/>
  <c r="J110" i="38"/>
  <c r="J111" i="50" s="1"/>
  <c r="J109" i="38"/>
  <c r="J110" i="50" s="1"/>
  <c r="J108" i="38"/>
  <c r="J109" i="50" s="1"/>
  <c r="J105" i="38"/>
  <c r="J106" i="50" s="1"/>
  <c r="J104" i="38"/>
  <c r="J105" i="50" s="1"/>
  <c r="J103" i="38"/>
  <c r="J104" i="50" s="1"/>
  <c r="J100" i="38"/>
  <c r="J101" i="50" s="1"/>
  <c r="J99" i="38"/>
  <c r="J100" i="50" s="1"/>
  <c r="J98" i="38"/>
  <c r="J99" i="50" s="1"/>
  <c r="J95" i="38"/>
  <c r="J96" i="50" s="1"/>
  <c r="J94" i="38"/>
  <c r="J95" i="50" s="1"/>
  <c r="J93" i="38"/>
  <c r="J94" i="50" s="1"/>
  <c r="J90" i="38"/>
  <c r="J91" i="50" s="1"/>
  <c r="J89" i="38"/>
  <c r="J90" i="50" s="1"/>
  <c r="J88" i="38"/>
  <c r="J89" i="50" s="1"/>
  <c r="J85" i="38"/>
  <c r="J86" i="50" s="1"/>
  <c r="J84" i="38"/>
  <c r="J85" i="50" s="1"/>
  <c r="J83" i="38"/>
  <c r="J84" i="50" s="1"/>
  <c r="J80" i="38"/>
  <c r="J81" i="50" s="1"/>
  <c r="J79" i="38"/>
  <c r="J80" i="50" s="1"/>
  <c r="J78" i="38"/>
  <c r="J79" i="50" s="1"/>
  <c r="J75" i="38"/>
  <c r="J76" i="50" s="1"/>
  <c r="J74" i="38"/>
  <c r="J75" i="50" s="1"/>
  <c r="J73" i="38"/>
  <c r="J74" i="50" s="1"/>
  <c r="J70" i="38"/>
  <c r="J71" i="50" s="1"/>
  <c r="J69" i="38"/>
  <c r="J70" i="50" s="1"/>
  <c r="J68" i="38"/>
  <c r="J69" i="50" s="1"/>
  <c r="J65" i="38"/>
  <c r="J66" i="50" s="1"/>
  <c r="J64" i="38"/>
  <c r="J65" i="50" s="1"/>
  <c r="J63" i="38"/>
  <c r="J64" i="50" s="1"/>
  <c r="J60" i="38"/>
  <c r="J61" i="50" s="1"/>
  <c r="J59" i="38"/>
  <c r="J60" i="50" s="1"/>
  <c r="J58" i="38"/>
  <c r="J59" i="50" s="1"/>
  <c r="J55" i="38"/>
  <c r="J56" i="50" s="1"/>
  <c r="J54" i="38"/>
  <c r="J55" i="50" s="1"/>
  <c r="J53" i="38"/>
  <c r="J54" i="50" s="1"/>
  <c r="J50" i="38"/>
  <c r="J51" i="50" s="1"/>
  <c r="J49" i="38"/>
  <c r="J50" i="50" s="1"/>
  <c r="J48" i="38"/>
  <c r="J49" i="50" s="1"/>
  <c r="J45" i="38"/>
  <c r="J46" i="50" s="1"/>
  <c r="J44" i="38"/>
  <c r="J45" i="50" s="1"/>
  <c r="J43" i="38"/>
  <c r="J44" i="50" s="1"/>
  <c r="J40" i="38"/>
  <c r="J41" i="50" s="1"/>
  <c r="J39" i="38"/>
  <c r="J40" i="50" s="1"/>
  <c r="J38" i="38"/>
  <c r="J39" i="50" s="1"/>
  <c r="J35" i="38"/>
  <c r="J36" i="50" s="1"/>
  <c r="J34" i="38"/>
  <c r="J35" i="50" s="1"/>
  <c r="J33" i="38"/>
  <c r="J34" i="50" s="1"/>
  <c r="J30" i="38"/>
  <c r="J31" i="50" s="1"/>
  <c r="J29" i="38"/>
  <c r="J30" i="50" s="1"/>
  <c r="J28" i="38"/>
  <c r="J29" i="50" s="1"/>
  <c r="J25" i="38"/>
  <c r="J26" i="50" s="1"/>
  <c r="J24" i="38"/>
  <c r="J25" i="50" s="1"/>
  <c r="J23" i="38"/>
  <c r="J24" i="50" s="1"/>
  <c r="J20" i="38"/>
  <c r="J21" i="50" s="1"/>
  <c r="J19" i="38"/>
  <c r="J20" i="50" s="1"/>
  <c r="J18" i="38"/>
  <c r="K20" i="38"/>
  <c r="K19" i="38"/>
  <c r="K18" i="38"/>
  <c r="M18" i="38" s="1"/>
  <c r="K19" i="50" s="1"/>
  <c r="E162" i="38"/>
  <c r="E163" i="50" s="1"/>
  <c r="D162" i="38"/>
  <c r="D163" i="50" s="1"/>
  <c r="E157" i="38"/>
  <c r="E158" i="50" s="1"/>
  <c r="D157" i="38"/>
  <c r="D158" i="50" s="1"/>
  <c r="E152" i="38"/>
  <c r="E153" i="50" s="1"/>
  <c r="D152" i="38"/>
  <c r="D153" i="50" s="1"/>
  <c r="E147" i="38"/>
  <c r="E148" i="50" s="1"/>
  <c r="D147" i="38"/>
  <c r="D148" i="50" s="1"/>
  <c r="E142" i="38"/>
  <c r="E143" i="50" s="1"/>
  <c r="D142" i="38"/>
  <c r="D143" i="50" s="1"/>
  <c r="E137" i="38"/>
  <c r="E138" i="50" s="1"/>
  <c r="D137" i="38"/>
  <c r="D138" i="50" s="1"/>
  <c r="E132" i="38"/>
  <c r="E133" i="50" s="1"/>
  <c r="D132" i="38"/>
  <c r="D133" i="50" s="1"/>
  <c r="E127" i="38"/>
  <c r="E128" i="50" s="1"/>
  <c r="D127" i="38"/>
  <c r="D128" i="50" s="1"/>
  <c r="E122" i="38"/>
  <c r="E123" i="50" s="1"/>
  <c r="D122" i="38"/>
  <c r="D123" i="50" s="1"/>
  <c r="E117" i="38"/>
  <c r="E118" i="50" s="1"/>
  <c r="D117" i="38"/>
  <c r="D118" i="50" s="1"/>
  <c r="E112" i="38"/>
  <c r="E113" i="50" s="1"/>
  <c r="D112" i="38"/>
  <c r="D113" i="50" s="1"/>
  <c r="E107" i="38"/>
  <c r="E108" i="50" s="1"/>
  <c r="D107" i="38"/>
  <c r="D108" i="50" s="1"/>
  <c r="E102" i="38"/>
  <c r="E103" i="50" s="1"/>
  <c r="D102" i="38"/>
  <c r="D103" i="50" s="1"/>
  <c r="E97" i="38"/>
  <c r="E98" i="50" s="1"/>
  <c r="D97" i="38"/>
  <c r="D98" i="50" s="1"/>
  <c r="E92" i="38"/>
  <c r="E93" i="50" s="1"/>
  <c r="D92" i="38"/>
  <c r="D93" i="50" s="1"/>
  <c r="E87" i="38"/>
  <c r="E88" i="50" s="1"/>
  <c r="D87" i="38"/>
  <c r="D88" i="50" s="1"/>
  <c r="E82" i="38"/>
  <c r="E83" i="50" s="1"/>
  <c r="D82" i="38"/>
  <c r="D83" i="50" s="1"/>
  <c r="E77" i="38"/>
  <c r="E78" i="50" s="1"/>
  <c r="D77" i="38"/>
  <c r="D78" i="50" s="1"/>
  <c r="E72" i="38"/>
  <c r="E73" i="50" s="1"/>
  <c r="D72" i="38"/>
  <c r="D73" i="50" s="1"/>
  <c r="E67" i="38"/>
  <c r="E68" i="50" s="1"/>
  <c r="D67" i="38"/>
  <c r="D68" i="50" s="1"/>
  <c r="E62" i="38"/>
  <c r="E63" i="50" s="1"/>
  <c r="D62" i="38"/>
  <c r="D63" i="50" s="1"/>
  <c r="E57" i="38"/>
  <c r="E58" i="50" s="1"/>
  <c r="D57" i="38"/>
  <c r="D58" i="50" s="1"/>
  <c r="E52" i="38"/>
  <c r="E53" i="50" s="1"/>
  <c r="D52" i="38"/>
  <c r="D53" i="50" s="1"/>
  <c r="E47" i="38"/>
  <c r="E48" i="50" s="1"/>
  <c r="D47" i="38"/>
  <c r="D48" i="50" s="1"/>
  <c r="E42" i="38"/>
  <c r="E43" i="50" s="1"/>
  <c r="D42" i="38"/>
  <c r="D43" i="50" s="1"/>
  <c r="E37" i="38"/>
  <c r="E38" i="50" s="1"/>
  <c r="D37" i="38"/>
  <c r="D38" i="50" s="1"/>
  <c r="E32" i="38"/>
  <c r="E33" i="50" s="1"/>
  <c r="D32" i="38"/>
  <c r="D33" i="50" s="1"/>
  <c r="E27" i="38"/>
  <c r="E28" i="50" s="1"/>
  <c r="D27" i="38"/>
  <c r="D28" i="50" s="1"/>
  <c r="E22" i="38"/>
  <c r="E23" i="50" s="1"/>
  <c r="D22" i="38"/>
  <c r="D23" i="50" s="1"/>
  <c r="E17" i="38"/>
  <c r="E18" i="50" s="1"/>
  <c r="D17" i="38"/>
  <c r="D18" i="50" s="1"/>
  <c r="B162" i="38"/>
  <c r="B163" i="50" s="1"/>
  <c r="B310" i="52" s="1"/>
  <c r="B157" i="38"/>
  <c r="B152" i="38"/>
  <c r="B153" i="50" s="1"/>
  <c r="B292" i="52" s="1"/>
  <c r="B147" i="38"/>
  <c r="B148" i="50" s="1"/>
  <c r="B283" i="52" s="1"/>
  <c r="B142" i="38"/>
  <c r="B143" i="50" s="1"/>
  <c r="B274" i="52" s="1"/>
  <c r="B137" i="38"/>
  <c r="B138" i="50" s="1"/>
  <c r="B265" i="52" s="1"/>
  <c r="B132" i="38"/>
  <c r="B133" i="50" s="1"/>
  <c r="B256" i="52" s="1"/>
  <c r="B127" i="38"/>
  <c r="B128" i="50" s="1"/>
  <c r="B247" i="52" s="1"/>
  <c r="B122" i="38"/>
  <c r="B123" i="50" s="1"/>
  <c r="B238" i="52" s="1"/>
  <c r="B117" i="38"/>
  <c r="B118" i="50" s="1"/>
  <c r="B229" i="52" s="1"/>
  <c r="B112" i="38"/>
  <c r="B113" i="50" s="1"/>
  <c r="B220" i="52" s="1"/>
  <c r="B107" i="38"/>
  <c r="B108" i="50" s="1"/>
  <c r="B211" i="52" s="1"/>
  <c r="B102" i="38"/>
  <c r="B103" i="50" s="1"/>
  <c r="B202" i="52" s="1"/>
  <c r="B97" i="38"/>
  <c r="B98" i="50" s="1"/>
  <c r="B193" i="52" s="1"/>
  <c r="B92" i="38"/>
  <c r="B93" i="50" s="1"/>
  <c r="B184" i="52" s="1"/>
  <c r="B87" i="38"/>
  <c r="B88" i="50" s="1"/>
  <c r="B175" i="52" s="1"/>
  <c r="B82" i="38"/>
  <c r="B83" i="50" s="1"/>
  <c r="B166" i="52" s="1"/>
  <c r="B77" i="38"/>
  <c r="B78" i="50" s="1"/>
  <c r="B157" i="52" s="1"/>
  <c r="B72" i="38"/>
  <c r="B73" i="50" s="1"/>
  <c r="B148" i="52" s="1"/>
  <c r="B67" i="38"/>
  <c r="B68" i="50" s="1"/>
  <c r="B139" i="52" s="1"/>
  <c r="B62" i="38"/>
  <c r="B63" i="50" s="1"/>
  <c r="B130" i="52" s="1"/>
  <c r="B57" i="38"/>
  <c r="B58" i="50" s="1"/>
  <c r="B121" i="52" s="1"/>
  <c r="B52" i="38"/>
  <c r="B53" i="50" s="1"/>
  <c r="B112" i="52" s="1"/>
  <c r="B47" i="38"/>
  <c r="B48" i="50" s="1"/>
  <c r="B103" i="52" s="1"/>
  <c r="B42" i="38"/>
  <c r="B43" i="50" s="1"/>
  <c r="B94" i="52" s="1"/>
  <c r="B37" i="38"/>
  <c r="B38" i="50" s="1"/>
  <c r="B85" i="52" s="1"/>
  <c r="B32" i="38"/>
  <c r="B33" i="50" s="1"/>
  <c r="B76" i="52" s="1"/>
  <c r="B17" i="38"/>
  <c r="B22" i="38"/>
  <c r="B23" i="50" s="1"/>
  <c r="B58" i="52" s="1"/>
  <c r="B27" i="38"/>
  <c r="B28" i="50" s="1"/>
  <c r="B67" i="52" s="1"/>
  <c r="F162" i="38"/>
  <c r="F163" i="50" s="1"/>
  <c r="F157" i="38"/>
  <c r="F158" i="50" s="1"/>
  <c r="F152" i="38"/>
  <c r="F153" i="50" s="1"/>
  <c r="F147" i="38"/>
  <c r="F148" i="50" s="1"/>
  <c r="F142" i="38"/>
  <c r="F143" i="50" s="1"/>
  <c r="F137" i="38"/>
  <c r="F138" i="50" s="1"/>
  <c r="F132" i="38"/>
  <c r="F133" i="50" s="1"/>
  <c r="F127" i="38"/>
  <c r="F128" i="50" s="1"/>
  <c r="F122" i="38"/>
  <c r="F123" i="50" s="1"/>
  <c r="F117" i="38"/>
  <c r="F118" i="50" s="1"/>
  <c r="F112" i="38"/>
  <c r="F113" i="50" s="1"/>
  <c r="F107" i="38"/>
  <c r="F108" i="50" s="1"/>
  <c r="F102" i="38"/>
  <c r="F103" i="50" s="1"/>
  <c r="F97" i="38"/>
  <c r="F98" i="50" s="1"/>
  <c r="F92" i="38"/>
  <c r="F93" i="50" s="1"/>
  <c r="F87" i="38"/>
  <c r="F88" i="50" s="1"/>
  <c r="F82" i="38"/>
  <c r="F83" i="50" s="1"/>
  <c r="F77" i="38"/>
  <c r="F78" i="50" s="1"/>
  <c r="F72" i="38"/>
  <c r="F73" i="50" s="1"/>
  <c r="F67" i="38"/>
  <c r="F68" i="50" s="1"/>
  <c r="F62" i="38"/>
  <c r="F63" i="50" s="1"/>
  <c r="F57" i="38"/>
  <c r="F58" i="50" s="1"/>
  <c r="F52" i="38"/>
  <c r="F53" i="50" s="1"/>
  <c r="F47" i="38"/>
  <c r="F48" i="50" s="1"/>
  <c r="F42" i="38"/>
  <c r="F43" i="50" s="1"/>
  <c r="F37" i="38"/>
  <c r="F38" i="50" s="1"/>
  <c r="F32" i="38"/>
  <c r="F33" i="50" s="1"/>
  <c r="F27" i="38"/>
  <c r="F28" i="50" s="1"/>
  <c r="F22" i="38"/>
  <c r="F23" i="50" s="1"/>
  <c r="F17" i="38"/>
  <c r="H162" i="38"/>
  <c r="H163" i="50" s="1"/>
  <c r="G162" i="38"/>
  <c r="G163" i="50" s="1"/>
  <c r="H157" i="38"/>
  <c r="H158" i="50" s="1"/>
  <c r="G157" i="38"/>
  <c r="G158" i="50" s="1"/>
  <c r="H152" i="38"/>
  <c r="H153" i="50" s="1"/>
  <c r="G152" i="38"/>
  <c r="G153" i="50" s="1"/>
  <c r="H147" i="38"/>
  <c r="H148" i="50" s="1"/>
  <c r="G147" i="38"/>
  <c r="G148" i="50" s="1"/>
  <c r="H142" i="38"/>
  <c r="H143" i="50" s="1"/>
  <c r="G142" i="38"/>
  <c r="G143" i="50" s="1"/>
  <c r="H137" i="38"/>
  <c r="H138" i="50" s="1"/>
  <c r="G137" i="38"/>
  <c r="G138" i="50" s="1"/>
  <c r="H132" i="38"/>
  <c r="H133" i="50" s="1"/>
  <c r="G132" i="38"/>
  <c r="G133" i="50" s="1"/>
  <c r="H127" i="38"/>
  <c r="H128" i="50" s="1"/>
  <c r="G127" i="38"/>
  <c r="G128" i="50" s="1"/>
  <c r="H122" i="38"/>
  <c r="H123" i="50" s="1"/>
  <c r="G122" i="38"/>
  <c r="G123" i="50" s="1"/>
  <c r="H117" i="38"/>
  <c r="H118" i="50" s="1"/>
  <c r="G117" i="38"/>
  <c r="G118" i="50" s="1"/>
  <c r="H112" i="38"/>
  <c r="H113" i="50" s="1"/>
  <c r="G112" i="38"/>
  <c r="G113" i="50" s="1"/>
  <c r="H107" i="38"/>
  <c r="H108" i="50" s="1"/>
  <c r="G107" i="38"/>
  <c r="G108" i="50" s="1"/>
  <c r="H102" i="38"/>
  <c r="H103" i="50" s="1"/>
  <c r="G102" i="38"/>
  <c r="G103" i="50" s="1"/>
  <c r="H97" i="38"/>
  <c r="H98" i="50" s="1"/>
  <c r="G97" i="38"/>
  <c r="G98" i="50" s="1"/>
  <c r="H92" i="38"/>
  <c r="H93" i="50" s="1"/>
  <c r="G92" i="38"/>
  <c r="G93" i="50" s="1"/>
  <c r="H87" i="38"/>
  <c r="H88" i="50" s="1"/>
  <c r="G87" i="38"/>
  <c r="G88" i="50" s="1"/>
  <c r="H82" i="38"/>
  <c r="H83" i="50" s="1"/>
  <c r="G82" i="38"/>
  <c r="G83" i="50" s="1"/>
  <c r="H77" i="38"/>
  <c r="H78" i="50" s="1"/>
  <c r="G77" i="38"/>
  <c r="G78" i="50" s="1"/>
  <c r="H72" i="38"/>
  <c r="H73" i="50" s="1"/>
  <c r="G72" i="38"/>
  <c r="G73" i="50" s="1"/>
  <c r="H67" i="38"/>
  <c r="H68" i="50" s="1"/>
  <c r="G67" i="38"/>
  <c r="G68" i="50" s="1"/>
  <c r="H62" i="38"/>
  <c r="H63" i="50" s="1"/>
  <c r="G62" i="38"/>
  <c r="G63" i="50" s="1"/>
  <c r="H57" i="38"/>
  <c r="H58" i="50" s="1"/>
  <c r="G57" i="38"/>
  <c r="G58" i="50" s="1"/>
  <c r="H52" i="38"/>
  <c r="H53" i="50" s="1"/>
  <c r="G52" i="38"/>
  <c r="G53" i="50" s="1"/>
  <c r="H47" i="38"/>
  <c r="H48" i="50" s="1"/>
  <c r="G47" i="38"/>
  <c r="G48" i="50" s="1"/>
  <c r="H42" i="38"/>
  <c r="H43" i="50" s="1"/>
  <c r="G42" i="38"/>
  <c r="G43" i="50" s="1"/>
  <c r="H37" i="38"/>
  <c r="H38" i="50" s="1"/>
  <c r="G37" i="38"/>
  <c r="G38" i="50" s="1"/>
  <c r="H32" i="38"/>
  <c r="H33" i="50" s="1"/>
  <c r="G32" i="38"/>
  <c r="G33" i="50" s="1"/>
  <c r="H27" i="38"/>
  <c r="H28" i="50" s="1"/>
  <c r="G27" i="38"/>
  <c r="G28" i="50" s="1"/>
  <c r="H22" i="38"/>
  <c r="H23" i="50" s="1"/>
  <c r="G22" i="38"/>
  <c r="G23" i="50" s="1"/>
  <c r="H17" i="38"/>
  <c r="H18" i="50" s="1"/>
  <c r="G17" i="38"/>
  <c r="G18" i="50" s="1"/>
  <c r="I17" i="38" l="1"/>
  <c r="L17" i="38"/>
  <c r="I157" i="38"/>
  <c r="B158" i="50"/>
  <c r="B301" i="52" s="1"/>
  <c r="K175" i="38"/>
  <c r="O175" i="38" s="1"/>
  <c r="F18" i="50"/>
  <c r="M19" i="38"/>
  <c r="K20" i="50" s="1"/>
  <c r="M20" i="38"/>
  <c r="K21" i="50" s="1"/>
  <c r="L176" i="38"/>
  <c r="P176" i="38" s="1"/>
  <c r="L175" i="38"/>
  <c r="P175" i="38" s="1"/>
  <c r="L181" i="38"/>
  <c r="L183" i="38"/>
  <c r="L184" i="38"/>
  <c r="L182" i="38"/>
  <c r="L179" i="38"/>
  <c r="P179" i="38" s="1"/>
  <c r="L178" i="38"/>
  <c r="P178" i="38" s="1"/>
  <c r="J19" i="50"/>
  <c r="K176" i="50" s="1"/>
  <c r="L180" i="38"/>
  <c r="L177" i="38"/>
  <c r="P177" i="38" s="1"/>
  <c r="B18" i="50"/>
  <c r="K17" i="38"/>
  <c r="X17" i="38" s="1"/>
  <c r="F167" i="38"/>
  <c r="W167" i="38"/>
  <c r="AA167" i="38" s="1"/>
  <c r="V167" i="38"/>
  <c r="Q167" i="38"/>
  <c r="M162" i="38"/>
  <c r="M157" i="38"/>
  <c r="M152" i="38"/>
  <c r="M147" i="38"/>
  <c r="M142" i="38"/>
  <c r="M137" i="38"/>
  <c r="M132" i="38"/>
  <c r="M127" i="38"/>
  <c r="M122" i="38"/>
  <c r="M117" i="38"/>
  <c r="M112" i="38"/>
  <c r="M107" i="38"/>
  <c r="M102" i="38"/>
  <c r="M97" i="38"/>
  <c r="M92" i="38"/>
  <c r="M87" i="38"/>
  <c r="M82" i="38"/>
  <c r="M77" i="38"/>
  <c r="M72" i="38"/>
  <c r="M67" i="38"/>
  <c r="M62" i="38"/>
  <c r="M57" i="38"/>
  <c r="M52" i="38"/>
  <c r="M47" i="38"/>
  <c r="M42" i="38"/>
  <c r="M37" i="38"/>
  <c r="M32" i="38"/>
  <c r="M27" i="38"/>
  <c r="M22" i="38"/>
  <c r="L162" i="38"/>
  <c r="L157" i="38"/>
  <c r="L152" i="38"/>
  <c r="L147" i="38"/>
  <c r="L142" i="38"/>
  <c r="L137" i="38"/>
  <c r="L132" i="38"/>
  <c r="L127" i="38"/>
  <c r="L122" i="38"/>
  <c r="L117" i="38"/>
  <c r="L112" i="38"/>
  <c r="L107" i="38"/>
  <c r="L102" i="38"/>
  <c r="L97" i="38"/>
  <c r="L92" i="38"/>
  <c r="L87" i="38"/>
  <c r="L82" i="38"/>
  <c r="L77" i="38"/>
  <c r="L72" i="38"/>
  <c r="L67" i="38"/>
  <c r="L62" i="38"/>
  <c r="L57" i="38"/>
  <c r="L52" i="38"/>
  <c r="L47" i="38"/>
  <c r="L42" i="38"/>
  <c r="L37" i="38"/>
  <c r="L32" i="38"/>
  <c r="L27" i="38"/>
  <c r="L22" i="38"/>
  <c r="N17" i="38" l="1"/>
  <c r="B49" i="52"/>
  <c r="M17" i="38"/>
  <c r="L167" i="38"/>
  <c r="O97" i="38"/>
  <c r="T97" i="38"/>
  <c r="Y97" i="38"/>
  <c r="AC97" i="38"/>
  <c r="T22" i="38"/>
  <c r="AC22" i="38"/>
  <c r="Y22" i="38"/>
  <c r="T62" i="38"/>
  <c r="Y62" i="38"/>
  <c r="AC62" i="38"/>
  <c r="O102" i="38"/>
  <c r="Y102" i="38"/>
  <c r="T102" i="38"/>
  <c r="AC102" i="38"/>
  <c r="O142" i="38"/>
  <c r="T142" i="38"/>
  <c r="Y142" i="38"/>
  <c r="AC142" i="38"/>
  <c r="T27" i="38"/>
  <c r="Y27" i="38"/>
  <c r="AC27" i="38"/>
  <c r="O107" i="38"/>
  <c r="AC107" i="38"/>
  <c r="Y107" i="38"/>
  <c r="T107" i="38"/>
  <c r="Y37" i="38"/>
  <c r="T37" i="38"/>
  <c r="AC37" i="38"/>
  <c r="O77" i="38"/>
  <c r="Y77" i="38"/>
  <c r="T77" i="38"/>
  <c r="AC77" i="38"/>
  <c r="O117" i="38"/>
  <c r="AC117" i="38"/>
  <c r="T117" i="38"/>
  <c r="Y117" i="38"/>
  <c r="O157" i="38"/>
  <c r="Y157" i="38"/>
  <c r="T157" i="38"/>
  <c r="AC157" i="38"/>
  <c r="S17" i="38"/>
  <c r="AB17" i="38"/>
  <c r="Y57" i="38"/>
  <c r="T57" i="38"/>
  <c r="AC57" i="38"/>
  <c r="O137" i="38"/>
  <c r="AC137" i="38"/>
  <c r="T137" i="38"/>
  <c r="Y137" i="38"/>
  <c r="T32" i="38"/>
  <c r="Y32" i="38"/>
  <c r="AC32" i="38"/>
  <c r="O112" i="38"/>
  <c r="Y112" i="38"/>
  <c r="T112" i="38"/>
  <c r="AC112" i="38"/>
  <c r="Y42" i="38"/>
  <c r="T42" i="38"/>
  <c r="AC42" i="38"/>
  <c r="O82" i="38"/>
  <c r="Y82" i="38"/>
  <c r="T82" i="38"/>
  <c r="AC82" i="38"/>
  <c r="O122" i="38"/>
  <c r="T122" i="38"/>
  <c r="AC122" i="38"/>
  <c r="Y122" i="38"/>
  <c r="O162" i="38"/>
  <c r="Y162" i="38"/>
  <c r="T162" i="38"/>
  <c r="AC162" i="38"/>
  <c r="AC67" i="38"/>
  <c r="T67" i="38"/>
  <c r="Y67" i="38"/>
  <c r="O147" i="38"/>
  <c r="T147" i="38"/>
  <c r="Y147" i="38"/>
  <c r="AC147" i="38"/>
  <c r="Y72" i="38"/>
  <c r="T72" i="38"/>
  <c r="AC72" i="38"/>
  <c r="Y47" i="38"/>
  <c r="T47" i="38"/>
  <c r="AC47" i="38"/>
  <c r="AC87" i="38"/>
  <c r="T87" i="38"/>
  <c r="Y87" i="38"/>
  <c r="O127" i="38"/>
  <c r="T127" i="38"/>
  <c r="AC127" i="38"/>
  <c r="Y127" i="38"/>
  <c r="O152" i="38"/>
  <c r="T152" i="38"/>
  <c r="AC152" i="38"/>
  <c r="Y152" i="38"/>
  <c r="T52" i="38"/>
  <c r="AC52" i="38"/>
  <c r="Y52" i="38"/>
  <c r="O92" i="38"/>
  <c r="T92" i="38"/>
  <c r="AC92" i="38"/>
  <c r="Y92" i="38"/>
  <c r="O132" i="38"/>
  <c r="Y132" i="38"/>
  <c r="T132" i="38"/>
  <c r="AC132" i="38"/>
  <c r="P183" i="38"/>
  <c r="T175" i="38"/>
  <c r="T176" i="38"/>
  <c r="Q173" i="38"/>
  <c r="Y17" i="38" l="1"/>
  <c r="O17" i="38"/>
  <c r="AC17" i="38"/>
  <c r="M167" i="38"/>
  <c r="T17" i="38"/>
  <c r="Z16" i="49"/>
  <c r="Z17" i="49"/>
  <c r="Z18" i="49"/>
  <c r="Z19" i="49"/>
  <c r="Z20" i="49"/>
  <c r="Z21" i="49"/>
  <c r="Z22" i="49"/>
  <c r="Z23" i="49"/>
  <c r="Z24" i="49"/>
  <c r="Z25" i="49"/>
  <c r="Z26" i="49"/>
  <c r="Z27" i="49"/>
  <c r="Z28" i="49"/>
  <c r="Z29" i="49"/>
  <c r="Z30" i="49"/>
  <c r="Z31" i="49"/>
  <c r="Z32" i="49"/>
  <c r="Z33" i="49"/>
  <c r="Z34" i="49"/>
  <c r="Z35" i="49"/>
  <c r="Z36" i="49"/>
  <c r="Z37" i="49"/>
  <c r="Z38" i="49"/>
  <c r="Z39" i="49"/>
  <c r="Z40" i="49"/>
  <c r="Z41" i="49"/>
  <c r="Z42" i="49"/>
  <c r="Z43" i="49"/>
  <c r="Z44" i="49"/>
  <c r="Z45" i="49"/>
  <c r="Z46" i="49"/>
  <c r="Z47" i="49"/>
  <c r="Z48" i="49"/>
  <c r="Z49" i="49"/>
  <c r="Z50" i="49"/>
  <c r="Z51" i="49"/>
  <c r="Z52" i="49"/>
  <c r="Z53" i="49"/>
  <c r="Z54" i="49"/>
  <c r="Z55" i="49"/>
  <c r="Z56" i="49"/>
  <c r="Z57" i="49"/>
  <c r="Z58" i="49"/>
  <c r="Z59" i="49"/>
  <c r="Z60" i="49"/>
  <c r="Z61" i="49"/>
  <c r="Z62" i="49"/>
  <c r="Z63" i="49"/>
  <c r="Z64" i="49"/>
  <c r="Z65" i="49"/>
  <c r="Z66" i="49"/>
  <c r="Z67" i="49"/>
  <c r="Z68" i="49"/>
  <c r="Z69" i="49"/>
  <c r="Z70" i="49"/>
  <c r="Z71" i="49"/>
  <c r="Z72" i="49"/>
  <c r="W16" i="49"/>
  <c r="W17" i="49"/>
  <c r="W18" i="49"/>
  <c r="W19" i="49"/>
  <c r="W20" i="49"/>
  <c r="W21" i="49"/>
  <c r="W22" i="49"/>
  <c r="W23" i="49"/>
  <c r="W24" i="49"/>
  <c r="W25" i="49"/>
  <c r="W26" i="49"/>
  <c r="W27" i="49"/>
  <c r="W28" i="49"/>
  <c r="W29" i="49"/>
  <c r="W30" i="49"/>
  <c r="W31" i="49"/>
  <c r="W32" i="49"/>
  <c r="W33" i="49"/>
  <c r="W34" i="49"/>
  <c r="W35" i="49"/>
  <c r="W36" i="49"/>
  <c r="W37" i="49"/>
  <c r="W38" i="49"/>
  <c r="W39" i="49"/>
  <c r="W40" i="49"/>
  <c r="W41" i="49"/>
  <c r="W42" i="49"/>
  <c r="W43" i="49"/>
  <c r="W44" i="49"/>
  <c r="W45" i="49"/>
  <c r="W46" i="49"/>
  <c r="W47" i="49"/>
  <c r="W48" i="49"/>
  <c r="W49" i="49"/>
  <c r="W50" i="49"/>
  <c r="W51" i="49"/>
  <c r="W52" i="49"/>
  <c r="W53" i="49"/>
  <c r="W54" i="49"/>
  <c r="W55" i="49"/>
  <c r="W56" i="49"/>
  <c r="W57" i="49"/>
  <c r="W58" i="49"/>
  <c r="W59" i="49"/>
  <c r="W60" i="49"/>
  <c r="W61" i="49"/>
  <c r="W62" i="49"/>
  <c r="W63" i="49"/>
  <c r="W64" i="49"/>
  <c r="W65" i="49"/>
  <c r="W66" i="49"/>
  <c r="W67" i="49"/>
  <c r="W68" i="49"/>
  <c r="W69" i="49"/>
  <c r="W70" i="49"/>
  <c r="W71" i="49"/>
  <c r="W72" i="49"/>
  <c r="Z15" i="49"/>
  <c r="W15" i="49"/>
  <c r="Y16" i="49"/>
  <c r="Y17" i="49"/>
  <c r="Y18" i="49"/>
  <c r="Y19" i="49"/>
  <c r="Y20" i="49"/>
  <c r="Y21" i="49"/>
  <c r="Y22" i="49"/>
  <c r="Y23" i="49"/>
  <c r="Y24" i="49"/>
  <c r="Y25" i="49"/>
  <c r="Y26" i="49"/>
  <c r="Y27" i="49"/>
  <c r="Y28" i="49"/>
  <c r="Y29" i="49"/>
  <c r="Y30" i="49"/>
  <c r="Y31" i="49"/>
  <c r="Y32" i="49"/>
  <c r="Y33" i="49"/>
  <c r="Y34" i="49"/>
  <c r="Y35" i="49"/>
  <c r="Y36" i="49"/>
  <c r="Y37" i="49"/>
  <c r="Y38" i="49"/>
  <c r="Y39" i="49"/>
  <c r="Y40" i="49"/>
  <c r="Y41" i="49"/>
  <c r="Y42" i="49"/>
  <c r="Y43" i="49"/>
  <c r="Y44" i="49"/>
  <c r="Y45" i="49"/>
  <c r="Y46" i="49"/>
  <c r="Y47" i="49"/>
  <c r="Y48" i="49"/>
  <c r="Y49" i="49"/>
  <c r="Y50" i="49"/>
  <c r="Y51" i="49"/>
  <c r="Y52" i="49"/>
  <c r="Y53" i="49"/>
  <c r="Y54" i="49"/>
  <c r="Y55" i="49"/>
  <c r="Y56" i="49"/>
  <c r="Y57" i="49"/>
  <c r="Y58" i="49"/>
  <c r="Y59" i="49"/>
  <c r="Y60" i="49"/>
  <c r="Y61" i="49"/>
  <c r="Y62" i="49"/>
  <c r="Y63" i="49"/>
  <c r="Y64" i="49"/>
  <c r="Y65" i="49"/>
  <c r="Y66" i="49"/>
  <c r="Y67" i="49"/>
  <c r="Y68" i="49"/>
  <c r="Y69" i="49"/>
  <c r="Y70" i="49"/>
  <c r="Y71" i="49"/>
  <c r="Y72" i="49"/>
  <c r="V16" i="49"/>
  <c r="V17" i="49"/>
  <c r="V18" i="49"/>
  <c r="V19" i="49"/>
  <c r="V20" i="49"/>
  <c r="V21" i="49"/>
  <c r="V22" i="49"/>
  <c r="V23" i="49"/>
  <c r="V24" i="49"/>
  <c r="V25" i="49"/>
  <c r="V26" i="49"/>
  <c r="V27" i="49"/>
  <c r="V28" i="49"/>
  <c r="V29" i="49"/>
  <c r="V30" i="49"/>
  <c r="V31" i="49"/>
  <c r="V32" i="49"/>
  <c r="V33" i="49"/>
  <c r="V34" i="49"/>
  <c r="V35" i="49"/>
  <c r="V36" i="49"/>
  <c r="V37" i="49"/>
  <c r="V38" i="49"/>
  <c r="V39" i="49"/>
  <c r="V40" i="49"/>
  <c r="V41" i="49"/>
  <c r="V42" i="49"/>
  <c r="V43" i="49"/>
  <c r="V44" i="49"/>
  <c r="V45" i="49"/>
  <c r="V46" i="49"/>
  <c r="V47" i="49"/>
  <c r="V48" i="49"/>
  <c r="V49" i="49"/>
  <c r="V50" i="49"/>
  <c r="V51" i="49"/>
  <c r="V52" i="49"/>
  <c r="V53" i="49"/>
  <c r="V54" i="49"/>
  <c r="V55" i="49"/>
  <c r="V56" i="49"/>
  <c r="V57" i="49"/>
  <c r="V58" i="49"/>
  <c r="V59" i="49"/>
  <c r="V60" i="49"/>
  <c r="V61" i="49"/>
  <c r="V62" i="49"/>
  <c r="V63" i="49"/>
  <c r="V64" i="49"/>
  <c r="V65" i="49"/>
  <c r="V66" i="49"/>
  <c r="V67" i="49"/>
  <c r="V68" i="49"/>
  <c r="V69" i="49"/>
  <c r="V70" i="49"/>
  <c r="V71" i="49"/>
  <c r="V72" i="49"/>
  <c r="Y15" i="49"/>
  <c r="V15" i="49"/>
  <c r="O16" i="49"/>
  <c r="O17" i="49"/>
  <c r="O18" i="49"/>
  <c r="O19" i="49"/>
  <c r="O20" i="49"/>
  <c r="O21" i="49"/>
  <c r="O22" i="49"/>
  <c r="O23" i="49"/>
  <c r="O24" i="49"/>
  <c r="O25" i="49"/>
  <c r="O26" i="49"/>
  <c r="O27" i="49"/>
  <c r="O28" i="49"/>
  <c r="O30" i="49"/>
  <c r="O31" i="49"/>
  <c r="O32" i="49"/>
  <c r="O33" i="49"/>
  <c r="O34" i="49"/>
  <c r="O35" i="49"/>
  <c r="O36" i="49"/>
  <c r="O37" i="49"/>
  <c r="O38" i="49"/>
  <c r="O39" i="49"/>
  <c r="O40" i="49"/>
  <c r="O41" i="49"/>
  <c r="O42" i="49"/>
  <c r="O43" i="49"/>
  <c r="O44" i="49"/>
  <c r="O45" i="49"/>
  <c r="O46" i="49"/>
  <c r="O47" i="49"/>
  <c r="O48" i="49"/>
  <c r="O49" i="49"/>
  <c r="O50" i="49"/>
  <c r="O51" i="49"/>
  <c r="O52" i="49"/>
  <c r="O53" i="49"/>
  <c r="O54" i="49"/>
  <c r="O55" i="49"/>
  <c r="O56" i="49"/>
  <c r="O57" i="49"/>
  <c r="O58" i="49"/>
  <c r="O59" i="49"/>
  <c r="O60" i="49"/>
  <c r="O61" i="49"/>
  <c r="O62" i="49"/>
  <c r="O63" i="49"/>
  <c r="O64" i="49"/>
  <c r="O65" i="49"/>
  <c r="O66" i="49"/>
  <c r="O67" i="49"/>
  <c r="O68" i="49"/>
  <c r="O69" i="49"/>
  <c r="O70" i="49"/>
  <c r="O71" i="49"/>
  <c r="O72" i="49"/>
  <c r="O15" i="49"/>
  <c r="N16" i="49"/>
  <c r="N17" i="49"/>
  <c r="N18" i="49"/>
  <c r="N19" i="49"/>
  <c r="N20" i="49"/>
  <c r="N21" i="49"/>
  <c r="N22" i="49"/>
  <c r="N23" i="49"/>
  <c r="N24" i="49"/>
  <c r="N25"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55" i="49"/>
  <c r="N56" i="49"/>
  <c r="N57" i="49"/>
  <c r="N58" i="49"/>
  <c r="N59" i="49"/>
  <c r="N60" i="49"/>
  <c r="N61" i="49"/>
  <c r="N62" i="49"/>
  <c r="N63" i="49"/>
  <c r="N64" i="49"/>
  <c r="N65" i="49"/>
  <c r="N66" i="49"/>
  <c r="N67" i="49"/>
  <c r="N68" i="49"/>
  <c r="N69" i="49"/>
  <c r="N70" i="49"/>
  <c r="N71" i="49"/>
  <c r="N72" i="49"/>
  <c r="N15" i="49"/>
  <c r="G16" i="49"/>
  <c r="G17" i="49"/>
  <c r="G18" i="49"/>
  <c r="G19"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15" i="49"/>
  <c r="B16" i="49"/>
  <c r="B17" i="37" s="1"/>
  <c r="B17" i="49"/>
  <c r="B18" i="37" s="1"/>
  <c r="B18" i="49"/>
  <c r="B19" i="37" s="1"/>
  <c r="B19" i="49"/>
  <c r="B20" i="37" s="1"/>
  <c r="B20" i="49"/>
  <c r="B21" i="37" s="1"/>
  <c r="B21" i="49"/>
  <c r="B22" i="37" s="1"/>
  <c r="B22" i="49"/>
  <c r="B23" i="37" s="1"/>
  <c r="B23" i="49"/>
  <c r="B24" i="37" s="1"/>
  <c r="B24" i="49"/>
  <c r="B25" i="37" s="1"/>
  <c r="B25" i="49"/>
  <c r="B26" i="37" s="1"/>
  <c r="B26" i="49"/>
  <c r="B27" i="37" s="1"/>
  <c r="B27" i="49"/>
  <c r="B28" i="37" s="1"/>
  <c r="B28" i="49"/>
  <c r="B29" i="37" s="1"/>
  <c r="B29" i="49"/>
  <c r="B30" i="37" s="1"/>
  <c r="B30" i="49"/>
  <c r="B31" i="37" s="1"/>
  <c r="B31" i="49"/>
  <c r="B32" i="37" s="1"/>
  <c r="B32" i="49"/>
  <c r="B33" i="37" s="1"/>
  <c r="B33" i="49"/>
  <c r="B34" i="37" s="1"/>
  <c r="B34" i="49"/>
  <c r="B35" i="37" s="1"/>
  <c r="B35" i="49"/>
  <c r="B36" i="37" s="1"/>
  <c r="B36" i="49"/>
  <c r="B37" i="37" s="1"/>
  <c r="B37" i="49"/>
  <c r="B38" i="37" s="1"/>
  <c r="B38" i="49"/>
  <c r="B39" i="37" s="1"/>
  <c r="B39" i="49"/>
  <c r="B40" i="37" s="1"/>
  <c r="B40" i="49"/>
  <c r="B41" i="37" s="1"/>
  <c r="B41" i="49"/>
  <c r="B42" i="37" s="1"/>
  <c r="B42" i="49"/>
  <c r="B43" i="37" s="1"/>
  <c r="B43" i="49"/>
  <c r="B44" i="37" s="1"/>
  <c r="B44" i="49"/>
  <c r="B45" i="37" s="1"/>
  <c r="B45" i="49"/>
  <c r="B46" i="37" s="1"/>
  <c r="B46" i="49"/>
  <c r="B47" i="37" s="1"/>
  <c r="B47" i="49"/>
  <c r="B48" i="37" s="1"/>
  <c r="B48" i="49"/>
  <c r="B49" i="37" s="1"/>
  <c r="B49" i="49"/>
  <c r="B50" i="37" s="1"/>
  <c r="B50" i="49"/>
  <c r="B51" i="37" s="1"/>
  <c r="B51" i="49"/>
  <c r="B52" i="37" s="1"/>
  <c r="B52" i="49"/>
  <c r="B53" i="37" s="1"/>
  <c r="B53" i="49"/>
  <c r="B54" i="37" s="1"/>
  <c r="B54" i="49"/>
  <c r="B55" i="37" s="1"/>
  <c r="B55" i="49"/>
  <c r="B56" i="37" s="1"/>
  <c r="B56" i="49"/>
  <c r="B57" i="37" s="1"/>
  <c r="B57" i="49"/>
  <c r="B58" i="37" s="1"/>
  <c r="B58" i="49"/>
  <c r="B59" i="37" s="1"/>
  <c r="B59" i="49"/>
  <c r="B60" i="37" s="1"/>
  <c r="B60" i="49"/>
  <c r="B61" i="37" s="1"/>
  <c r="B61" i="49"/>
  <c r="B62" i="37" s="1"/>
  <c r="B62" i="49"/>
  <c r="B63" i="37" s="1"/>
  <c r="B63" i="49"/>
  <c r="B64" i="37" s="1"/>
  <c r="B64" i="49"/>
  <c r="B65" i="37" s="1"/>
  <c r="B65" i="49"/>
  <c r="B66" i="37" s="1"/>
  <c r="B66" i="49"/>
  <c r="B67" i="37" s="1"/>
  <c r="B67" i="49"/>
  <c r="B68" i="37" s="1"/>
  <c r="B68" i="49"/>
  <c r="B69" i="37" s="1"/>
  <c r="B69" i="49"/>
  <c r="B70" i="37" s="1"/>
  <c r="B70" i="49"/>
  <c r="B71" i="37" s="1"/>
  <c r="B71" i="49"/>
  <c r="B72" i="37" s="1"/>
  <c r="B72" i="49"/>
  <c r="B73" i="37" s="1"/>
  <c r="B15" i="49"/>
  <c r="B16" i="37" s="1"/>
  <c r="B16" i="48"/>
  <c r="B17" i="36" s="1"/>
  <c r="B17" i="48"/>
  <c r="B18" i="36" s="1"/>
  <c r="B18" i="48"/>
  <c r="B19" i="36" s="1"/>
  <c r="B19" i="48"/>
  <c r="B20" i="36" s="1"/>
  <c r="B20" i="48"/>
  <c r="B21" i="36" s="1"/>
  <c r="B21" i="48"/>
  <c r="B22" i="36" s="1"/>
  <c r="B22" i="48"/>
  <c r="B23" i="36" s="1"/>
  <c r="B23" i="48"/>
  <c r="B24" i="36" s="1"/>
  <c r="B24" i="48"/>
  <c r="B25" i="36" s="1"/>
  <c r="B25" i="48"/>
  <c r="B26" i="36" s="1"/>
  <c r="B26" i="48"/>
  <c r="B27" i="36" s="1"/>
  <c r="B27" i="48"/>
  <c r="B28" i="36" s="1"/>
  <c r="B28" i="48"/>
  <c r="B29" i="36" s="1"/>
  <c r="B29" i="48"/>
  <c r="B30" i="36" s="1"/>
  <c r="B30" i="48"/>
  <c r="B31" i="36" s="1"/>
  <c r="B31" i="48"/>
  <c r="B32" i="36" s="1"/>
  <c r="B32" i="48"/>
  <c r="B33" i="36" s="1"/>
  <c r="B33" i="48"/>
  <c r="B34" i="36" s="1"/>
  <c r="B34" i="48"/>
  <c r="B35" i="36" s="1"/>
  <c r="B35" i="48"/>
  <c r="B36" i="36" s="1"/>
  <c r="B36" i="48"/>
  <c r="B37" i="36" s="1"/>
  <c r="B37" i="48"/>
  <c r="B38" i="36" s="1"/>
  <c r="B38" i="48"/>
  <c r="B39" i="36" s="1"/>
  <c r="B39" i="48"/>
  <c r="B40" i="36" s="1"/>
  <c r="B40" i="48"/>
  <c r="B41" i="36" s="1"/>
  <c r="B41" i="48"/>
  <c r="B42" i="36" s="1"/>
  <c r="B42" i="48"/>
  <c r="B43" i="36" s="1"/>
  <c r="B43" i="48"/>
  <c r="B44" i="36" s="1"/>
  <c r="B44" i="48"/>
  <c r="B45" i="36" s="1"/>
  <c r="B45" i="48"/>
  <c r="B46" i="36" s="1"/>
  <c r="B46" i="48"/>
  <c r="B47" i="36" s="1"/>
  <c r="B47" i="48"/>
  <c r="B48" i="36" s="1"/>
  <c r="B48" i="48"/>
  <c r="B49" i="36" s="1"/>
  <c r="B49" i="48"/>
  <c r="B50" i="36" s="1"/>
  <c r="B50" i="48"/>
  <c r="B51" i="36" s="1"/>
  <c r="B51" i="48"/>
  <c r="B52" i="36" s="1"/>
  <c r="B52" i="48"/>
  <c r="B53" i="36" s="1"/>
  <c r="B53" i="48"/>
  <c r="B54" i="36" s="1"/>
  <c r="B54" i="48"/>
  <c r="B55" i="36" s="1"/>
  <c r="B55" i="48"/>
  <c r="B56" i="36" s="1"/>
  <c r="B56" i="48"/>
  <c r="B57" i="36" s="1"/>
  <c r="B57" i="48"/>
  <c r="B58" i="36" s="1"/>
  <c r="B58" i="48"/>
  <c r="B59" i="36" s="1"/>
  <c r="B59" i="48"/>
  <c r="B60" i="36" s="1"/>
  <c r="B60" i="48"/>
  <c r="B61" i="36" s="1"/>
  <c r="B61" i="48"/>
  <c r="B62" i="36" s="1"/>
  <c r="B62" i="48"/>
  <c r="B63" i="36" s="1"/>
  <c r="B63" i="48"/>
  <c r="B64" i="36" s="1"/>
  <c r="B64" i="48"/>
  <c r="B65" i="36" s="1"/>
  <c r="B65" i="48"/>
  <c r="B66" i="36" s="1"/>
  <c r="B66" i="48"/>
  <c r="B67" i="36" s="1"/>
  <c r="B67" i="48"/>
  <c r="B68" i="36" s="1"/>
  <c r="B68" i="48"/>
  <c r="B69" i="36" s="1"/>
  <c r="B69" i="48"/>
  <c r="B70" i="36" s="1"/>
  <c r="B70" i="48"/>
  <c r="B71" i="36" s="1"/>
  <c r="B71" i="48"/>
  <c r="B72" i="36" s="1"/>
  <c r="B72" i="48"/>
  <c r="B73" i="36" s="1"/>
  <c r="B15" i="48"/>
  <c r="B16" i="36" s="1"/>
  <c r="Z16" i="48"/>
  <c r="Z17" i="48"/>
  <c r="Z18" i="48"/>
  <c r="Z19" i="48"/>
  <c r="Z20" i="48"/>
  <c r="Z21" i="48"/>
  <c r="Z22" i="48"/>
  <c r="Z23" i="48"/>
  <c r="Z24" i="48"/>
  <c r="Z25" i="48"/>
  <c r="Z26" i="48"/>
  <c r="Z27" i="48"/>
  <c r="Z28" i="48"/>
  <c r="Z29" i="48"/>
  <c r="Z30" i="48"/>
  <c r="Z31" i="48"/>
  <c r="Z32" i="48"/>
  <c r="Z33" i="48"/>
  <c r="Z34" i="48"/>
  <c r="Z35" i="48"/>
  <c r="Z36" i="48"/>
  <c r="Z37" i="48"/>
  <c r="Z38" i="48"/>
  <c r="Z39" i="48"/>
  <c r="Z40" i="48"/>
  <c r="Z41" i="48"/>
  <c r="Z42" i="48"/>
  <c r="Z43" i="48"/>
  <c r="Z44" i="48"/>
  <c r="Z45" i="48"/>
  <c r="Z46" i="48"/>
  <c r="Z47" i="48"/>
  <c r="Z48" i="48"/>
  <c r="Z49" i="48"/>
  <c r="Z50" i="48"/>
  <c r="Z51" i="48"/>
  <c r="Z52" i="48"/>
  <c r="Z53" i="48"/>
  <c r="Z54" i="48"/>
  <c r="Z55" i="48"/>
  <c r="Z56" i="48"/>
  <c r="Z57" i="48"/>
  <c r="Z58" i="48"/>
  <c r="Z59" i="48"/>
  <c r="Z60" i="48"/>
  <c r="Z61" i="48"/>
  <c r="Z62" i="48"/>
  <c r="Z63" i="48"/>
  <c r="Z64" i="48"/>
  <c r="Z65" i="48"/>
  <c r="Z66" i="48"/>
  <c r="Z67" i="48"/>
  <c r="Z68" i="48"/>
  <c r="Z69" i="48"/>
  <c r="Z70" i="48"/>
  <c r="Z71" i="48"/>
  <c r="Z72" i="48"/>
  <c r="Z15" i="48"/>
  <c r="W16" i="48"/>
  <c r="W17" i="48"/>
  <c r="W18" i="48"/>
  <c r="W19" i="48"/>
  <c r="W20" i="48"/>
  <c r="W21" i="48"/>
  <c r="W22" i="48"/>
  <c r="W23" i="48"/>
  <c r="W24" i="48"/>
  <c r="W25" i="48"/>
  <c r="W26" i="48"/>
  <c r="W27" i="48"/>
  <c r="W28" i="48"/>
  <c r="W29" i="48"/>
  <c r="W30" i="48"/>
  <c r="W31" i="48"/>
  <c r="W32" i="48"/>
  <c r="W33" i="48"/>
  <c r="W34" i="48"/>
  <c r="W35" i="48"/>
  <c r="W36" i="48"/>
  <c r="W37" i="48"/>
  <c r="W38" i="48"/>
  <c r="W39" i="48"/>
  <c r="W40" i="48"/>
  <c r="W41" i="48"/>
  <c r="W42" i="48"/>
  <c r="W43" i="48"/>
  <c r="W44" i="48"/>
  <c r="W45" i="48"/>
  <c r="W46" i="48"/>
  <c r="W47" i="48"/>
  <c r="W48" i="48"/>
  <c r="W49" i="48"/>
  <c r="W50" i="48"/>
  <c r="W51" i="48"/>
  <c r="W52" i="48"/>
  <c r="W53" i="48"/>
  <c r="W54" i="48"/>
  <c r="W55" i="48"/>
  <c r="W56" i="48"/>
  <c r="W57" i="48"/>
  <c r="W58" i="48"/>
  <c r="W59" i="48"/>
  <c r="W60" i="48"/>
  <c r="W61" i="48"/>
  <c r="W62" i="48"/>
  <c r="W63" i="48"/>
  <c r="W64" i="48"/>
  <c r="W65" i="48"/>
  <c r="W66" i="48"/>
  <c r="W67" i="48"/>
  <c r="W68" i="48"/>
  <c r="W69" i="48"/>
  <c r="W70" i="48"/>
  <c r="W71" i="48"/>
  <c r="W72" i="48"/>
  <c r="W15" i="48"/>
  <c r="Y16" i="48"/>
  <c r="Y17" i="48"/>
  <c r="Y18" i="48"/>
  <c r="Y19" i="48"/>
  <c r="Y20" i="48"/>
  <c r="Y21" i="48"/>
  <c r="Y22" i="48"/>
  <c r="Y23" i="48"/>
  <c r="Y24" i="48"/>
  <c r="Y25" i="48"/>
  <c r="Y26" i="48"/>
  <c r="Y27" i="48"/>
  <c r="Y28" i="48"/>
  <c r="Y29" i="48"/>
  <c r="Y30" i="48"/>
  <c r="Y31" i="48"/>
  <c r="Y32" i="48"/>
  <c r="Y33" i="48"/>
  <c r="Y34" i="48"/>
  <c r="Y35" i="48"/>
  <c r="Y36" i="48"/>
  <c r="Y37" i="48"/>
  <c r="Y38" i="48"/>
  <c r="Y39" i="48"/>
  <c r="Y40" i="48"/>
  <c r="Y41" i="48"/>
  <c r="Y42" i="48"/>
  <c r="Y43" i="48"/>
  <c r="Y44" i="48"/>
  <c r="Y45" i="48"/>
  <c r="Y46" i="48"/>
  <c r="Y47" i="48"/>
  <c r="Y48" i="48"/>
  <c r="Y49" i="48"/>
  <c r="Y50" i="48"/>
  <c r="Y51" i="48"/>
  <c r="Y52" i="48"/>
  <c r="Y53" i="48"/>
  <c r="Y54" i="48"/>
  <c r="Y55" i="48"/>
  <c r="Y56" i="48"/>
  <c r="Y57" i="48"/>
  <c r="Y58" i="48"/>
  <c r="Y59" i="48"/>
  <c r="Y60" i="48"/>
  <c r="Y61" i="48"/>
  <c r="Y62" i="48"/>
  <c r="Y63" i="48"/>
  <c r="Y64" i="48"/>
  <c r="Y65" i="48"/>
  <c r="Y66" i="48"/>
  <c r="Y67" i="48"/>
  <c r="Y68" i="48"/>
  <c r="Y69" i="48"/>
  <c r="Y70" i="48"/>
  <c r="Y71" i="48"/>
  <c r="Y72" i="48"/>
  <c r="V16" i="48"/>
  <c r="V17" i="48"/>
  <c r="V18" i="48"/>
  <c r="V19" i="48"/>
  <c r="V20" i="48"/>
  <c r="V21" i="48"/>
  <c r="V22" i="48"/>
  <c r="V23" i="48"/>
  <c r="V24" i="48"/>
  <c r="V25" i="48"/>
  <c r="V26" i="48"/>
  <c r="V27" i="48"/>
  <c r="V28" i="48"/>
  <c r="V29" i="48"/>
  <c r="V30" i="48"/>
  <c r="V31" i="48"/>
  <c r="V32" i="48"/>
  <c r="V33" i="48"/>
  <c r="V34" i="48"/>
  <c r="V35" i="48"/>
  <c r="V36" i="48"/>
  <c r="V37" i="48"/>
  <c r="V38" i="48"/>
  <c r="V39" i="48"/>
  <c r="V40" i="48"/>
  <c r="V41" i="48"/>
  <c r="V42" i="48"/>
  <c r="V43" i="48"/>
  <c r="V44" i="48"/>
  <c r="V45" i="48"/>
  <c r="V46" i="48"/>
  <c r="V47" i="48"/>
  <c r="V48" i="48"/>
  <c r="V49" i="48"/>
  <c r="V50" i="48"/>
  <c r="V51" i="48"/>
  <c r="V52" i="48"/>
  <c r="V53" i="48"/>
  <c r="V54" i="48"/>
  <c r="V55" i="48"/>
  <c r="V56" i="48"/>
  <c r="V57" i="48"/>
  <c r="V58" i="48"/>
  <c r="V59" i="48"/>
  <c r="V60" i="48"/>
  <c r="V61" i="48"/>
  <c r="V62" i="48"/>
  <c r="V63" i="48"/>
  <c r="V64" i="48"/>
  <c r="V65" i="48"/>
  <c r="V66" i="48"/>
  <c r="V67" i="48"/>
  <c r="V68" i="48"/>
  <c r="V69" i="48"/>
  <c r="V70" i="48"/>
  <c r="V71" i="48"/>
  <c r="V72" i="48"/>
  <c r="Y15" i="48"/>
  <c r="V15" i="48"/>
  <c r="O16" i="48"/>
  <c r="O17" i="48"/>
  <c r="O18" i="48"/>
  <c r="O19" i="48"/>
  <c r="O20" i="48"/>
  <c r="O21" i="48"/>
  <c r="O22" i="48"/>
  <c r="O23" i="48"/>
  <c r="O24" i="48"/>
  <c r="O25" i="48"/>
  <c r="O26" i="48"/>
  <c r="O27" i="48"/>
  <c r="O28" i="48"/>
  <c r="O29" i="48"/>
  <c r="O30" i="48"/>
  <c r="O31" i="48"/>
  <c r="O32" i="48"/>
  <c r="O33" i="48"/>
  <c r="O34" i="48"/>
  <c r="O35" i="48"/>
  <c r="O36" i="48"/>
  <c r="O37" i="48"/>
  <c r="O38" i="48"/>
  <c r="O39" i="48"/>
  <c r="O40" i="48"/>
  <c r="O41" i="48"/>
  <c r="O42" i="48"/>
  <c r="O43" i="48"/>
  <c r="O44" i="48"/>
  <c r="O45" i="48"/>
  <c r="O46" i="48"/>
  <c r="O47" i="48"/>
  <c r="O48" i="48"/>
  <c r="O49" i="48"/>
  <c r="O50" i="48"/>
  <c r="O51" i="48"/>
  <c r="O52" i="48"/>
  <c r="O53" i="48"/>
  <c r="O54" i="48"/>
  <c r="O55" i="48"/>
  <c r="O56" i="48"/>
  <c r="O57" i="48"/>
  <c r="O58" i="48"/>
  <c r="O59" i="48"/>
  <c r="O60" i="48"/>
  <c r="O61" i="48"/>
  <c r="O62" i="48"/>
  <c r="O63" i="48"/>
  <c r="O64" i="48"/>
  <c r="O65" i="48"/>
  <c r="O66" i="48"/>
  <c r="O67" i="48"/>
  <c r="O68" i="48"/>
  <c r="O69" i="48"/>
  <c r="O70" i="48"/>
  <c r="O71" i="48"/>
  <c r="O72" i="48"/>
  <c r="N16" i="48"/>
  <c r="N17" i="48"/>
  <c r="N18" i="48"/>
  <c r="N19" i="48"/>
  <c r="N20" i="48"/>
  <c r="N21" i="48"/>
  <c r="N22" i="48"/>
  <c r="N23" i="48"/>
  <c r="N24" i="48"/>
  <c r="N25" i="48"/>
  <c r="N26" i="48"/>
  <c r="N27" i="48"/>
  <c r="N28" i="48"/>
  <c r="N29" i="48"/>
  <c r="N30" i="48"/>
  <c r="N31" i="48"/>
  <c r="N32" i="48"/>
  <c r="N33" i="48"/>
  <c r="N34" i="48"/>
  <c r="N35" i="48"/>
  <c r="N36" i="48"/>
  <c r="N37" i="48"/>
  <c r="N38" i="48"/>
  <c r="N39" i="48"/>
  <c r="N40" i="48"/>
  <c r="N41" i="48"/>
  <c r="N42" i="48"/>
  <c r="N43" i="48"/>
  <c r="N44" i="48"/>
  <c r="N45" i="48"/>
  <c r="N46" i="48"/>
  <c r="N47" i="48"/>
  <c r="N48" i="48"/>
  <c r="N49" i="48"/>
  <c r="N50" i="48"/>
  <c r="N51" i="48"/>
  <c r="N52" i="48"/>
  <c r="N53" i="48"/>
  <c r="N54" i="48"/>
  <c r="N55" i="48"/>
  <c r="N56" i="48"/>
  <c r="N57" i="48"/>
  <c r="N58" i="48"/>
  <c r="N59" i="48"/>
  <c r="N60" i="48"/>
  <c r="N61" i="48"/>
  <c r="N62" i="48"/>
  <c r="N63" i="48"/>
  <c r="N64" i="48"/>
  <c r="N65" i="48"/>
  <c r="N66" i="48"/>
  <c r="N67" i="48"/>
  <c r="N68" i="48"/>
  <c r="N69" i="48"/>
  <c r="N70" i="48"/>
  <c r="N71" i="48"/>
  <c r="N72" i="48"/>
  <c r="N15" i="48"/>
  <c r="G21" i="48"/>
  <c r="G16" i="48"/>
  <c r="G17" i="48"/>
  <c r="G18" i="48"/>
  <c r="G19" i="48"/>
  <c r="G20"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G68" i="48"/>
  <c r="G69" i="48"/>
  <c r="G70" i="48"/>
  <c r="G71" i="48"/>
  <c r="G72" i="48"/>
  <c r="F16" i="48"/>
  <c r="F17" i="48"/>
  <c r="F18" i="48"/>
  <c r="F19" i="48"/>
  <c r="F20" i="48"/>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1" i="48"/>
  <c r="F52" i="48"/>
  <c r="F53" i="48"/>
  <c r="F54" i="48"/>
  <c r="F55" i="48"/>
  <c r="F56" i="48"/>
  <c r="F57" i="48"/>
  <c r="F58" i="48"/>
  <c r="F59" i="48"/>
  <c r="F60" i="48"/>
  <c r="F61" i="48"/>
  <c r="F62" i="48"/>
  <c r="F63" i="48"/>
  <c r="F64" i="48"/>
  <c r="F65" i="48"/>
  <c r="F66" i="48"/>
  <c r="F67" i="48"/>
  <c r="F68" i="48"/>
  <c r="F69" i="48"/>
  <c r="F70" i="48"/>
  <c r="F71" i="48"/>
  <c r="F72" i="48"/>
  <c r="F15" i="48"/>
  <c r="H67" i="48" l="1"/>
  <c r="F68" i="36" s="1"/>
  <c r="H64" i="48"/>
  <c r="F65" i="36" s="1"/>
  <c r="H69" i="48"/>
  <c r="F70" i="36" s="1"/>
  <c r="P71" i="48"/>
  <c r="J72" i="36" s="1"/>
  <c r="H70" i="48"/>
  <c r="F71" i="36" s="1"/>
  <c r="P66" i="48"/>
  <c r="J67" i="36" s="1"/>
  <c r="X72" i="48"/>
  <c r="N73" i="36" s="1"/>
  <c r="H53" i="48"/>
  <c r="F54" i="36" s="1"/>
  <c r="X71" i="48"/>
  <c r="N72" i="36" s="1"/>
  <c r="P64" i="48"/>
  <c r="J65" i="36" s="1"/>
  <c r="H51" i="48"/>
  <c r="F52" i="36" s="1"/>
  <c r="P63" i="48"/>
  <c r="J64" i="36" s="1"/>
  <c r="P47" i="48"/>
  <c r="J48" i="36" s="1"/>
  <c r="X69" i="48"/>
  <c r="N70" i="36" s="1"/>
  <c r="X45" i="48"/>
  <c r="N46" i="36" s="1"/>
  <c r="P72" i="48"/>
  <c r="J73" i="36" s="1"/>
  <c r="X53" i="48"/>
  <c r="N54" i="36" s="1"/>
  <c r="H61" i="48"/>
  <c r="F62" i="36" s="1"/>
  <c r="P57" i="48"/>
  <c r="J58" i="36" s="1"/>
  <c r="X63" i="48"/>
  <c r="N64" i="36" s="1"/>
  <c r="H72" i="48"/>
  <c r="F73" i="36" s="1"/>
  <c r="P56" i="48"/>
  <c r="J57" i="36" s="1"/>
  <c r="X62" i="48"/>
  <c r="N63" i="36" s="1"/>
  <c r="H59" i="48"/>
  <c r="F60" i="36" s="1"/>
  <c r="P55" i="48"/>
  <c r="J56" i="36" s="1"/>
  <c r="X61" i="48"/>
  <c r="N62" i="36" s="1"/>
  <c r="X37" i="48"/>
  <c r="N38" i="36" s="1"/>
  <c r="P65" i="48"/>
  <c r="J66" i="36" s="1"/>
  <c r="X70" i="48"/>
  <c r="N71" i="36" s="1"/>
  <c r="X72" i="49"/>
  <c r="N73" i="37" s="1"/>
  <c r="X71" i="49"/>
  <c r="N72" i="37" s="1"/>
  <c r="P31" i="48"/>
  <c r="J32" i="36" s="1"/>
  <c r="P39" i="48"/>
  <c r="J40" i="36" s="1"/>
  <c r="P23" i="48"/>
  <c r="J24" i="36" s="1"/>
  <c r="X29" i="48"/>
  <c r="N30" i="36" s="1"/>
  <c r="H43" i="48"/>
  <c r="F44" i="36" s="1"/>
  <c r="H15" i="48"/>
  <c r="F16" i="36" s="1"/>
  <c r="X21" i="48"/>
  <c r="N22" i="36" s="1"/>
  <c r="H27" i="48"/>
  <c r="F28" i="36" s="1"/>
  <c r="H35" i="48"/>
  <c r="F36" i="36" s="1"/>
  <c r="AA34" i="49"/>
  <c r="O35" i="37" s="1"/>
  <c r="H18" i="48"/>
  <c r="H66" i="48"/>
  <c r="F67" i="36" s="1"/>
  <c r="H58" i="48"/>
  <c r="F59" i="36" s="1"/>
  <c r="H50" i="48"/>
  <c r="F51" i="36" s="1"/>
  <c r="H42" i="48"/>
  <c r="F43" i="36" s="1"/>
  <c r="H34" i="48"/>
  <c r="F35" i="36" s="1"/>
  <c r="H26" i="48"/>
  <c r="F27" i="36" s="1"/>
  <c r="H17" i="48"/>
  <c r="F18" i="36" s="1"/>
  <c r="P70" i="48"/>
  <c r="J71" i="36" s="1"/>
  <c r="P62" i="48"/>
  <c r="J63" i="36" s="1"/>
  <c r="P54" i="48"/>
  <c r="J55" i="36" s="1"/>
  <c r="P46" i="48"/>
  <c r="J47" i="36" s="1"/>
  <c r="P38" i="48"/>
  <c r="J39" i="36" s="1"/>
  <c r="P30" i="48"/>
  <c r="J31" i="36" s="1"/>
  <c r="P22" i="48"/>
  <c r="J23" i="36" s="1"/>
  <c r="X68" i="48"/>
  <c r="N69" i="36" s="1"/>
  <c r="X60" i="48"/>
  <c r="N61" i="36" s="1"/>
  <c r="X52" i="48"/>
  <c r="N53" i="36" s="1"/>
  <c r="X44" i="48"/>
  <c r="N45" i="36" s="1"/>
  <c r="X36" i="48"/>
  <c r="N37" i="36" s="1"/>
  <c r="X28" i="48"/>
  <c r="N29" i="36" s="1"/>
  <c r="X20" i="48"/>
  <c r="N21" i="36" s="1"/>
  <c r="P62" i="49"/>
  <c r="J63" i="37" s="1"/>
  <c r="X69" i="49"/>
  <c r="N70" i="37" s="1"/>
  <c r="H65" i="48"/>
  <c r="F66" i="36" s="1"/>
  <c r="H57" i="48"/>
  <c r="F58" i="36" s="1"/>
  <c r="H49" i="48"/>
  <c r="F50" i="36" s="1"/>
  <c r="H41" i="48"/>
  <c r="F42" i="36" s="1"/>
  <c r="H33" i="48"/>
  <c r="F34" i="36" s="1"/>
  <c r="H25" i="48"/>
  <c r="F26" i="36" s="1"/>
  <c r="H16" i="48"/>
  <c r="F17" i="36" s="1"/>
  <c r="P69" i="48"/>
  <c r="J70" i="36" s="1"/>
  <c r="P61" i="48"/>
  <c r="J62" i="36" s="1"/>
  <c r="P53" i="48"/>
  <c r="J54" i="36" s="1"/>
  <c r="P45" i="48"/>
  <c r="J46" i="36" s="1"/>
  <c r="P37" i="48"/>
  <c r="J38" i="36" s="1"/>
  <c r="P29" i="48"/>
  <c r="J30" i="36" s="1"/>
  <c r="P21" i="48"/>
  <c r="J22" i="36" s="1"/>
  <c r="X67" i="48"/>
  <c r="N68" i="36" s="1"/>
  <c r="X59" i="48"/>
  <c r="N60" i="36" s="1"/>
  <c r="X51" i="48"/>
  <c r="N52" i="36" s="1"/>
  <c r="X43" i="48"/>
  <c r="N44" i="36" s="1"/>
  <c r="X35" i="48"/>
  <c r="N36" i="36" s="1"/>
  <c r="X27" i="48"/>
  <c r="N28" i="36" s="1"/>
  <c r="X19" i="48"/>
  <c r="N20" i="36" s="1"/>
  <c r="F73" i="48"/>
  <c r="H56" i="48"/>
  <c r="F57" i="36" s="1"/>
  <c r="H48" i="48"/>
  <c r="F49" i="36" s="1"/>
  <c r="H40" i="48"/>
  <c r="F41" i="36" s="1"/>
  <c r="H32" i="48"/>
  <c r="F33" i="36" s="1"/>
  <c r="H24" i="48"/>
  <c r="F25" i="36" s="1"/>
  <c r="H21" i="48"/>
  <c r="P68" i="48"/>
  <c r="J69" i="36" s="1"/>
  <c r="P60" i="48"/>
  <c r="J61" i="36" s="1"/>
  <c r="P52" i="48"/>
  <c r="J53" i="36" s="1"/>
  <c r="P44" i="48"/>
  <c r="J45" i="36" s="1"/>
  <c r="P36" i="48"/>
  <c r="J37" i="36" s="1"/>
  <c r="P28" i="48"/>
  <c r="J29" i="36" s="1"/>
  <c r="P20" i="48"/>
  <c r="J21" i="36" s="1"/>
  <c r="X66" i="48"/>
  <c r="N67" i="36" s="1"/>
  <c r="X58" i="48"/>
  <c r="N59" i="36" s="1"/>
  <c r="X50" i="48"/>
  <c r="N51" i="36" s="1"/>
  <c r="X42" i="48"/>
  <c r="N43" i="36" s="1"/>
  <c r="X34" i="48"/>
  <c r="N35" i="36" s="1"/>
  <c r="X26" i="48"/>
  <c r="N27" i="36" s="1"/>
  <c r="X18" i="48"/>
  <c r="N19" i="36" s="1"/>
  <c r="P28" i="49"/>
  <c r="J29" i="37" s="1"/>
  <c r="H71" i="48"/>
  <c r="F72" i="36" s="1"/>
  <c r="H63" i="48"/>
  <c r="F64" i="36" s="1"/>
  <c r="H55" i="48"/>
  <c r="F56" i="36" s="1"/>
  <c r="H47" i="48"/>
  <c r="F48" i="36" s="1"/>
  <c r="H39" i="48"/>
  <c r="F40" i="36" s="1"/>
  <c r="H31" i="48"/>
  <c r="F32" i="36" s="1"/>
  <c r="H23" i="48"/>
  <c r="F24" i="36" s="1"/>
  <c r="P67" i="48"/>
  <c r="J68" i="36" s="1"/>
  <c r="P59" i="48"/>
  <c r="J60" i="36" s="1"/>
  <c r="P51" i="48"/>
  <c r="J52" i="36" s="1"/>
  <c r="P43" i="48"/>
  <c r="J44" i="36" s="1"/>
  <c r="P35" i="48"/>
  <c r="J36" i="36" s="1"/>
  <c r="P27" i="48"/>
  <c r="J28" i="36" s="1"/>
  <c r="P19" i="48"/>
  <c r="X15" i="48"/>
  <c r="N16" i="36" s="1"/>
  <c r="X65" i="48"/>
  <c r="N66" i="36" s="1"/>
  <c r="X57" i="48"/>
  <c r="N58" i="36" s="1"/>
  <c r="X49" i="48"/>
  <c r="N50" i="36" s="1"/>
  <c r="X41" i="48"/>
  <c r="N42" i="36" s="1"/>
  <c r="X33" i="48"/>
  <c r="N34" i="36" s="1"/>
  <c r="X25" i="48"/>
  <c r="N26" i="36" s="1"/>
  <c r="X17" i="48"/>
  <c r="N18" i="36" s="1"/>
  <c r="H62" i="48"/>
  <c r="F63" i="36" s="1"/>
  <c r="H54" i="48"/>
  <c r="F55" i="36" s="1"/>
  <c r="H46" i="48"/>
  <c r="F47" i="36" s="1"/>
  <c r="H38" i="48"/>
  <c r="F39" i="36" s="1"/>
  <c r="H30" i="48"/>
  <c r="F31" i="36" s="1"/>
  <c r="H22" i="48"/>
  <c r="F23" i="36" s="1"/>
  <c r="P58" i="48"/>
  <c r="J59" i="36" s="1"/>
  <c r="P50" i="48"/>
  <c r="J51" i="36" s="1"/>
  <c r="P42" i="48"/>
  <c r="J43" i="36" s="1"/>
  <c r="P34" i="48"/>
  <c r="J35" i="36" s="1"/>
  <c r="P26" i="48"/>
  <c r="J27" i="36" s="1"/>
  <c r="P18" i="48"/>
  <c r="J19" i="36" s="1"/>
  <c r="X64" i="48"/>
  <c r="N65" i="36" s="1"/>
  <c r="X56" i="48"/>
  <c r="N57" i="36" s="1"/>
  <c r="X48" i="48"/>
  <c r="N49" i="36" s="1"/>
  <c r="X40" i="48"/>
  <c r="N41" i="36" s="1"/>
  <c r="X32" i="48"/>
  <c r="N33" i="36" s="1"/>
  <c r="X24" i="48"/>
  <c r="N25" i="36" s="1"/>
  <c r="X16" i="48"/>
  <c r="N17" i="36" s="1"/>
  <c r="H45" i="48"/>
  <c r="F46" i="36" s="1"/>
  <c r="H37" i="48"/>
  <c r="F38" i="36" s="1"/>
  <c r="H29" i="48"/>
  <c r="F30" i="36" s="1"/>
  <c r="H20" i="48"/>
  <c r="F21" i="36" s="1"/>
  <c r="P49" i="48"/>
  <c r="J50" i="36" s="1"/>
  <c r="P41" i="48"/>
  <c r="J42" i="36" s="1"/>
  <c r="P33" i="48"/>
  <c r="J34" i="36" s="1"/>
  <c r="P25" i="48"/>
  <c r="J26" i="36" s="1"/>
  <c r="P17" i="48"/>
  <c r="J18" i="36" s="1"/>
  <c r="X55" i="48"/>
  <c r="N56" i="36" s="1"/>
  <c r="X47" i="48"/>
  <c r="N48" i="36" s="1"/>
  <c r="X39" i="48"/>
  <c r="N40" i="36" s="1"/>
  <c r="X31" i="48"/>
  <c r="N32" i="36" s="1"/>
  <c r="X23" i="48"/>
  <c r="N24" i="36" s="1"/>
  <c r="X56" i="49"/>
  <c r="N57" i="37" s="1"/>
  <c r="H68" i="48"/>
  <c r="F69" i="36" s="1"/>
  <c r="H60" i="48"/>
  <c r="F61" i="36" s="1"/>
  <c r="H52" i="48"/>
  <c r="F53" i="36" s="1"/>
  <c r="H44" i="48"/>
  <c r="F45" i="36" s="1"/>
  <c r="H36" i="48"/>
  <c r="F37" i="36" s="1"/>
  <c r="H28" i="48"/>
  <c r="F29" i="36" s="1"/>
  <c r="H19" i="48"/>
  <c r="F20" i="36" s="1"/>
  <c r="P48" i="48"/>
  <c r="J49" i="36" s="1"/>
  <c r="P40" i="48"/>
  <c r="J41" i="36" s="1"/>
  <c r="P32" i="48"/>
  <c r="J33" i="36" s="1"/>
  <c r="P24" i="48"/>
  <c r="J25" i="36" s="1"/>
  <c r="P16" i="48"/>
  <c r="J17" i="36" s="1"/>
  <c r="X54" i="48"/>
  <c r="N55" i="36" s="1"/>
  <c r="X46" i="48"/>
  <c r="N47" i="36" s="1"/>
  <c r="X38" i="48"/>
  <c r="N39" i="36" s="1"/>
  <c r="X30" i="48"/>
  <c r="N31" i="36" s="1"/>
  <c r="X22" i="48"/>
  <c r="N23" i="36" s="1"/>
  <c r="O167" i="38"/>
  <c r="Y167" i="38"/>
  <c r="AA67" i="48"/>
  <c r="O68" i="36" s="1"/>
  <c r="AA59" i="48"/>
  <c r="O60" i="36" s="1"/>
  <c r="AA51" i="48"/>
  <c r="O52" i="36" s="1"/>
  <c r="AA43" i="48"/>
  <c r="O44" i="36" s="1"/>
  <c r="AA35" i="48"/>
  <c r="O36" i="36" s="1"/>
  <c r="AA27" i="48"/>
  <c r="O28" i="36" s="1"/>
  <c r="AA19" i="48"/>
  <c r="O20" i="36" s="1"/>
  <c r="AA66" i="48"/>
  <c r="O67" i="36" s="1"/>
  <c r="AA58" i="48"/>
  <c r="O59" i="36" s="1"/>
  <c r="AA50" i="48"/>
  <c r="O51" i="36" s="1"/>
  <c r="AA42" i="48"/>
  <c r="O43" i="36" s="1"/>
  <c r="AA34" i="48"/>
  <c r="O35" i="36" s="1"/>
  <c r="AA26" i="48"/>
  <c r="O27" i="36" s="1"/>
  <c r="AA18" i="48"/>
  <c r="O19" i="36" s="1"/>
  <c r="AA15" i="48"/>
  <c r="O16" i="36" s="1"/>
  <c r="AA65" i="48"/>
  <c r="O66" i="36" s="1"/>
  <c r="AA57" i="48"/>
  <c r="O58" i="36" s="1"/>
  <c r="AA49" i="48"/>
  <c r="O50" i="36" s="1"/>
  <c r="AA41" i="48"/>
  <c r="O42" i="36" s="1"/>
  <c r="AA33" i="48"/>
  <c r="O34" i="36" s="1"/>
  <c r="AA25" i="48"/>
  <c r="O26" i="36" s="1"/>
  <c r="AA17" i="48"/>
  <c r="O18" i="36" s="1"/>
  <c r="AA72" i="48"/>
  <c r="O73" i="36" s="1"/>
  <c r="AA64" i="48"/>
  <c r="O65" i="36" s="1"/>
  <c r="AA56" i="48"/>
  <c r="O57" i="36" s="1"/>
  <c r="AA48" i="48"/>
  <c r="O49" i="36" s="1"/>
  <c r="AA40" i="48"/>
  <c r="O41" i="36" s="1"/>
  <c r="AA32" i="48"/>
  <c r="O33" i="36" s="1"/>
  <c r="AA24" i="48"/>
  <c r="O25" i="36" s="1"/>
  <c r="AA16" i="48"/>
  <c r="O17" i="36" s="1"/>
  <c r="AA71" i="48"/>
  <c r="O72" i="36" s="1"/>
  <c r="AA63" i="48"/>
  <c r="O64" i="36" s="1"/>
  <c r="AA55" i="48"/>
  <c r="O56" i="36" s="1"/>
  <c r="AA47" i="48"/>
  <c r="O48" i="36" s="1"/>
  <c r="AA39" i="48"/>
  <c r="O40" i="36" s="1"/>
  <c r="AA31" i="48"/>
  <c r="O32" i="36" s="1"/>
  <c r="AA23" i="48"/>
  <c r="O24" i="36" s="1"/>
  <c r="AA70" i="48"/>
  <c r="O71" i="36" s="1"/>
  <c r="AA62" i="48"/>
  <c r="O63" i="36" s="1"/>
  <c r="AA54" i="48"/>
  <c r="O55" i="36" s="1"/>
  <c r="AA46" i="48"/>
  <c r="O47" i="36" s="1"/>
  <c r="AA38" i="48"/>
  <c r="O39" i="36" s="1"/>
  <c r="AA30" i="48"/>
  <c r="O31" i="36" s="1"/>
  <c r="AA22" i="48"/>
  <c r="O23" i="36" s="1"/>
  <c r="AA69" i="48"/>
  <c r="O70" i="36" s="1"/>
  <c r="AA61" i="48"/>
  <c r="O62" i="36" s="1"/>
  <c r="AA53" i="48"/>
  <c r="O54" i="36" s="1"/>
  <c r="AA45" i="48"/>
  <c r="O46" i="36" s="1"/>
  <c r="AA37" i="48"/>
  <c r="O38" i="36" s="1"/>
  <c r="AA29" i="48"/>
  <c r="O30" i="36" s="1"/>
  <c r="AA21" i="48"/>
  <c r="O22" i="36" s="1"/>
  <c r="AA68" i="48"/>
  <c r="O69" i="36" s="1"/>
  <c r="AA60" i="48"/>
  <c r="O61" i="36" s="1"/>
  <c r="AA52" i="48"/>
  <c r="O53" i="36" s="1"/>
  <c r="AA44" i="48"/>
  <c r="O45" i="36" s="1"/>
  <c r="AA36" i="48"/>
  <c r="O37" i="36" s="1"/>
  <c r="AA28" i="48"/>
  <c r="O29" i="36" s="1"/>
  <c r="AA20" i="48"/>
  <c r="O21" i="36" s="1"/>
  <c r="AA51" i="49"/>
  <c r="O52" i="37" s="1"/>
  <c r="AA57" i="49"/>
  <c r="O58" i="37" s="1"/>
  <c r="AA33" i="49"/>
  <c r="O34" i="37" s="1"/>
  <c r="H24" i="49"/>
  <c r="H16" i="49"/>
  <c r="X27" i="49"/>
  <c r="N28" i="37" s="1"/>
  <c r="AA52" i="49"/>
  <c r="O53" i="37" s="1"/>
  <c r="AA28" i="49"/>
  <c r="O29" i="37" s="1"/>
  <c r="X45" i="49"/>
  <c r="N46" i="37" s="1"/>
  <c r="X21" i="49"/>
  <c r="N22" i="37" s="1"/>
  <c r="AA46" i="49"/>
  <c r="O47" i="37" s="1"/>
  <c r="AA22" i="49"/>
  <c r="O23" i="37" s="1"/>
  <c r="H42" i="49"/>
  <c r="H18" i="49"/>
  <c r="P30" i="49"/>
  <c r="J31" i="37" s="1"/>
  <c r="X33" i="49"/>
  <c r="N34" i="37" s="1"/>
  <c r="H30" i="49"/>
  <c r="H21" i="49"/>
  <c r="P33" i="49"/>
  <c r="J34" i="37" s="1"/>
  <c r="H66" i="49"/>
  <c r="H45" i="49"/>
  <c r="P49" i="49"/>
  <c r="J50" i="37" s="1"/>
  <c r="AA63" i="49"/>
  <c r="O64" i="37" s="1"/>
  <c r="AA39" i="49"/>
  <c r="O40" i="37" s="1"/>
  <c r="H59" i="49"/>
  <c r="H51" i="49"/>
  <c r="H43" i="49"/>
  <c r="H35" i="49"/>
  <c r="H27" i="49"/>
  <c r="H19" i="49"/>
  <c r="P63" i="49"/>
  <c r="J64" i="37" s="1"/>
  <c r="P39" i="49"/>
  <c r="J40" i="37" s="1"/>
  <c r="X51" i="49"/>
  <c r="N52" i="37" s="1"/>
  <c r="H48" i="49"/>
  <c r="H40" i="49"/>
  <c r="X57" i="49"/>
  <c r="N58" i="37" s="1"/>
  <c r="H54" i="49"/>
  <c r="P42" i="49"/>
  <c r="J43" i="37" s="1"/>
  <c r="T167" i="38"/>
  <c r="AC167" i="38"/>
  <c r="H64" i="49"/>
  <c r="H69" i="49"/>
  <c r="P15" i="49"/>
  <c r="P65" i="49"/>
  <c r="J66" i="37" s="1"/>
  <c r="P57" i="49"/>
  <c r="J58" i="37" s="1"/>
  <c r="AA69" i="49"/>
  <c r="O70" i="37" s="1"/>
  <c r="AA45" i="49"/>
  <c r="O46" i="37" s="1"/>
  <c r="AA21" i="49"/>
  <c r="O22" i="37" s="1"/>
  <c r="H57" i="49"/>
  <c r="H33" i="49"/>
  <c r="P53" i="49"/>
  <c r="J54" i="37" s="1"/>
  <c r="P45" i="49"/>
  <c r="J46" i="37" s="1"/>
  <c r="P21" i="49"/>
  <c r="G73" i="48"/>
  <c r="O73" i="48"/>
  <c r="P15" i="48"/>
  <c r="P69" i="49"/>
  <c r="J70" i="37" s="1"/>
  <c r="H72" i="49"/>
  <c r="AA15" i="49"/>
  <c r="O16" i="37" s="1"/>
  <c r="H71" i="49"/>
  <c r="H63" i="49"/>
  <c r="H47" i="49"/>
  <c r="H39" i="49"/>
  <c r="H31" i="49"/>
  <c r="H23" i="49"/>
  <c r="P51" i="49"/>
  <c r="J52" i="37" s="1"/>
  <c r="P43" i="49"/>
  <c r="J44" i="37" s="1"/>
  <c r="P19" i="49"/>
  <c r="J20" i="37" s="1"/>
  <c r="P66" i="49"/>
  <c r="J67" i="37" s="1"/>
  <c r="X63" i="49"/>
  <c r="N64" i="37" s="1"/>
  <c r="X39" i="49"/>
  <c r="N40" i="37" s="1"/>
  <c r="AA40" i="49"/>
  <c r="O41" i="37" s="1"/>
  <c r="AA16" i="49"/>
  <c r="O17" i="37" s="1"/>
  <c r="H60" i="49"/>
  <c r="H52" i="49"/>
  <c r="H36" i="49"/>
  <c r="H28" i="49"/>
  <c r="H62" i="49"/>
  <c r="H50" i="49"/>
  <c r="H38" i="49"/>
  <c r="X15" i="49"/>
  <c r="N16" i="37" s="1"/>
  <c r="X70" i="49"/>
  <c r="N71" i="37" s="1"/>
  <c r="AA71" i="49"/>
  <c r="O72" i="37" s="1"/>
  <c r="H26" i="49"/>
  <c r="H15" i="49"/>
  <c r="H61" i="49"/>
  <c r="H49" i="49"/>
  <c r="H37" i="49"/>
  <c r="H25" i="49"/>
  <c r="X25" i="49"/>
  <c r="N26" i="37" s="1"/>
  <c r="AA24" i="49"/>
  <c r="O25" i="37" s="1"/>
  <c r="P68" i="49"/>
  <c r="J69" i="37" s="1"/>
  <c r="X35" i="49"/>
  <c r="N36" i="37" s="1"/>
  <c r="H70" i="49"/>
  <c r="P67" i="49"/>
  <c r="J68" i="37" s="1"/>
  <c r="H34" i="49"/>
  <c r="P55" i="49"/>
  <c r="J56" i="37" s="1"/>
  <c r="X66" i="49"/>
  <c r="N67" i="37" s="1"/>
  <c r="AA61" i="49"/>
  <c r="O62" i="37" s="1"/>
  <c r="H68" i="49"/>
  <c r="H56" i="49"/>
  <c r="H44" i="49"/>
  <c r="H32" i="49"/>
  <c r="H20" i="49"/>
  <c r="P29" i="49"/>
  <c r="J30" i="37" s="1"/>
  <c r="P17" i="49"/>
  <c r="J18" i="37" s="1"/>
  <c r="X65" i="49"/>
  <c r="N66" i="37" s="1"/>
  <c r="AA42" i="49"/>
  <c r="O43" i="37" s="1"/>
  <c r="H58" i="49"/>
  <c r="H46" i="49"/>
  <c r="H22" i="49"/>
  <c r="H67" i="49"/>
  <c r="H55" i="49"/>
  <c r="P64" i="49"/>
  <c r="J65" i="37" s="1"/>
  <c r="X53" i="49"/>
  <c r="N54" i="37" s="1"/>
  <c r="O73" i="49"/>
  <c r="P31" i="49"/>
  <c r="J32" i="37" s="1"/>
  <c r="AA27" i="49"/>
  <c r="O28" i="37" s="1"/>
  <c r="G73" i="49"/>
  <c r="H65" i="49"/>
  <c r="H41" i="49"/>
  <c r="H17" i="49"/>
  <c r="P71" i="49"/>
  <c r="J72" i="37" s="1"/>
  <c r="P56" i="49"/>
  <c r="J57" i="37" s="1"/>
  <c r="P27" i="49"/>
  <c r="J28" i="37" s="1"/>
  <c r="P20" i="49"/>
  <c r="J21" i="37" s="1"/>
  <c r="X55" i="49"/>
  <c r="N56" i="37" s="1"/>
  <c r="X34" i="49"/>
  <c r="N35" i="37" s="1"/>
  <c r="X24" i="49"/>
  <c r="N25" i="37" s="1"/>
  <c r="AA70" i="49"/>
  <c r="O71" i="37" s="1"/>
  <c r="AA60" i="49"/>
  <c r="O61" i="37" s="1"/>
  <c r="AA41" i="49"/>
  <c r="O42" i="37" s="1"/>
  <c r="AA23" i="49"/>
  <c r="O24" i="37" s="1"/>
  <c r="P70" i="49"/>
  <c r="J71" i="37" s="1"/>
  <c r="P48" i="49"/>
  <c r="J49" i="37" s="1"/>
  <c r="P41" i="49"/>
  <c r="J42" i="37" s="1"/>
  <c r="P34" i="49"/>
  <c r="J35" i="37" s="1"/>
  <c r="X64" i="49"/>
  <c r="N65" i="37" s="1"/>
  <c r="X54" i="49"/>
  <c r="N55" i="37" s="1"/>
  <c r="X44" i="49"/>
  <c r="N45" i="37" s="1"/>
  <c r="X23" i="49"/>
  <c r="N24" i="37" s="1"/>
  <c r="AA59" i="49"/>
  <c r="O60" i="37" s="1"/>
  <c r="AA50" i="49"/>
  <c r="O51" i="37" s="1"/>
  <c r="AA32" i="49"/>
  <c r="O33" i="37" s="1"/>
  <c r="P35" i="49"/>
  <c r="J36" i="37" s="1"/>
  <c r="P26" i="49"/>
  <c r="J27" i="37" s="1"/>
  <c r="X43" i="49"/>
  <c r="N44" i="37" s="1"/>
  <c r="X22" i="49"/>
  <c r="N23" i="37" s="1"/>
  <c r="AA58" i="49"/>
  <c r="O59" i="37" s="1"/>
  <c r="AA49" i="49"/>
  <c r="O50" i="37" s="1"/>
  <c r="AA31" i="49"/>
  <c r="O32" i="37" s="1"/>
  <c r="P61" i="49"/>
  <c r="J62" i="37" s="1"/>
  <c r="P54" i="49"/>
  <c r="J55" i="37" s="1"/>
  <c r="P47" i="49"/>
  <c r="J48" i="37" s="1"/>
  <c r="P40" i="49"/>
  <c r="J41" i="37" s="1"/>
  <c r="P25" i="49"/>
  <c r="J26" i="37" s="1"/>
  <c r="P18" i="49"/>
  <c r="J19" i="37" s="1"/>
  <c r="X52" i="49"/>
  <c r="N53" i="37" s="1"/>
  <c r="X42" i="49"/>
  <c r="N43" i="37" s="1"/>
  <c r="X32" i="49"/>
  <c r="N33" i="37" s="1"/>
  <c r="AA68" i="49"/>
  <c r="O69" i="37" s="1"/>
  <c r="AA48" i="49"/>
  <c r="O49" i="37" s="1"/>
  <c r="AA30" i="49"/>
  <c r="O31" i="37" s="1"/>
  <c r="H53" i="49"/>
  <c r="H29" i="49"/>
  <c r="P32" i="49"/>
  <c r="J33" i="37" s="1"/>
  <c r="X62" i="49"/>
  <c r="N63" i="37" s="1"/>
  <c r="X41" i="49"/>
  <c r="N42" i="37" s="1"/>
  <c r="X31" i="49"/>
  <c r="N32" i="37" s="1"/>
  <c r="AA67" i="49"/>
  <c r="O68" i="37" s="1"/>
  <c r="AA47" i="49"/>
  <c r="O48" i="37" s="1"/>
  <c r="AA29" i="49"/>
  <c r="O30" i="37" s="1"/>
  <c r="P60" i="49"/>
  <c r="J61" i="37" s="1"/>
  <c r="P46" i="49"/>
  <c r="J47" i="37" s="1"/>
  <c r="P24" i="49"/>
  <c r="J25" i="37" s="1"/>
  <c r="X61" i="49"/>
  <c r="N62" i="37" s="1"/>
  <c r="X40" i="49"/>
  <c r="N41" i="37" s="1"/>
  <c r="X30" i="49"/>
  <c r="N31" i="37" s="1"/>
  <c r="X20" i="49"/>
  <c r="N21" i="37" s="1"/>
  <c r="AA66" i="49"/>
  <c r="O67" i="37" s="1"/>
  <c r="AA56" i="49"/>
  <c r="O57" i="37" s="1"/>
  <c r="AA38" i="49"/>
  <c r="O39" i="37" s="1"/>
  <c r="AA20" i="49"/>
  <c r="O21" i="37" s="1"/>
  <c r="P38" i="49"/>
  <c r="J39" i="37" s="1"/>
  <c r="X60" i="49"/>
  <c r="N61" i="37" s="1"/>
  <c r="X50" i="49"/>
  <c r="N51" i="37" s="1"/>
  <c r="X29" i="49"/>
  <c r="N30" i="37" s="1"/>
  <c r="X19" i="49"/>
  <c r="N20" i="37" s="1"/>
  <c r="AA65" i="49"/>
  <c r="O66" i="37" s="1"/>
  <c r="AA55" i="49"/>
  <c r="O56" i="37" s="1"/>
  <c r="AA37" i="49"/>
  <c r="O38" i="37" s="1"/>
  <c r="AA19" i="49"/>
  <c r="O20" i="37" s="1"/>
  <c r="P59" i="49"/>
  <c r="J60" i="37" s="1"/>
  <c r="P52" i="49"/>
  <c r="J53" i="37" s="1"/>
  <c r="P37" i="49"/>
  <c r="J38" i="37" s="1"/>
  <c r="P23" i="49"/>
  <c r="J24" i="37" s="1"/>
  <c r="P16" i="49"/>
  <c r="J17" i="37" s="1"/>
  <c r="X59" i="49"/>
  <c r="N60" i="37" s="1"/>
  <c r="X49" i="49"/>
  <c r="N50" i="37" s="1"/>
  <c r="X28" i="49"/>
  <c r="N29" i="37" s="1"/>
  <c r="X18" i="49"/>
  <c r="N19" i="37" s="1"/>
  <c r="AA64" i="49"/>
  <c r="O65" i="37" s="1"/>
  <c r="AA54" i="49"/>
  <c r="O55" i="37" s="1"/>
  <c r="AA36" i="49"/>
  <c r="O37" i="37" s="1"/>
  <c r="AA18" i="49"/>
  <c r="O19" i="37" s="1"/>
  <c r="P44" i="49"/>
  <c r="J45" i="37" s="1"/>
  <c r="X58" i="49"/>
  <c r="N59" i="37" s="1"/>
  <c r="X48" i="49"/>
  <c r="N49" i="37" s="1"/>
  <c r="X38" i="49"/>
  <c r="N39" i="37" s="1"/>
  <c r="X17" i="49"/>
  <c r="N18" i="37" s="1"/>
  <c r="AA53" i="49"/>
  <c r="O54" i="37" s="1"/>
  <c r="AA35" i="49"/>
  <c r="O36" i="37" s="1"/>
  <c r="AA17" i="49"/>
  <c r="O18" i="37" s="1"/>
  <c r="P72" i="49"/>
  <c r="J73" i="37" s="1"/>
  <c r="P58" i="49"/>
  <c r="J59" i="37" s="1"/>
  <c r="P36" i="49"/>
  <c r="J37" i="37" s="1"/>
  <c r="P22" i="49"/>
  <c r="J23" i="37" s="1"/>
  <c r="X68" i="49"/>
  <c r="N69" i="37" s="1"/>
  <c r="X47" i="49"/>
  <c r="N48" i="37" s="1"/>
  <c r="X37" i="49"/>
  <c r="N38" i="37" s="1"/>
  <c r="X16" i="49"/>
  <c r="N17" i="37" s="1"/>
  <c r="AA44" i="49"/>
  <c r="O45" i="37" s="1"/>
  <c r="AA26" i="49"/>
  <c r="O27" i="37" s="1"/>
  <c r="P50" i="49"/>
  <c r="J51" i="37" s="1"/>
  <c r="X67" i="49"/>
  <c r="N68" i="37" s="1"/>
  <c r="X46" i="49"/>
  <c r="N47" i="37" s="1"/>
  <c r="X36" i="49"/>
  <c r="N37" i="37" s="1"/>
  <c r="X26" i="49"/>
  <c r="N27" i="37" s="1"/>
  <c r="AA72" i="49"/>
  <c r="O73" i="37" s="1"/>
  <c r="AA62" i="49"/>
  <c r="O63" i="37" s="1"/>
  <c r="AA43" i="49"/>
  <c r="O44" i="37" s="1"/>
  <c r="AA25" i="49"/>
  <c r="O26" i="37" s="1"/>
  <c r="Z16" i="47"/>
  <c r="Z17" i="47"/>
  <c r="Z18" i="47"/>
  <c r="Z19" i="47"/>
  <c r="Z20" i="47"/>
  <c r="Z21" i="47"/>
  <c r="Z22" i="47"/>
  <c r="Z23" i="47"/>
  <c r="Z24" i="47"/>
  <c r="Z25" i="47"/>
  <c r="Z26" i="47"/>
  <c r="Z27" i="47"/>
  <c r="Z28" i="47"/>
  <c r="Z29" i="47"/>
  <c r="Z30" i="47"/>
  <c r="Z31" i="47"/>
  <c r="Z32" i="47"/>
  <c r="Z33" i="47"/>
  <c r="Z34" i="47"/>
  <c r="Z35" i="47"/>
  <c r="Z36" i="47"/>
  <c r="Z37" i="47"/>
  <c r="Z38" i="47"/>
  <c r="Z39" i="47"/>
  <c r="Z40" i="47"/>
  <c r="Z41" i="47"/>
  <c r="Z42" i="47"/>
  <c r="Z43" i="47"/>
  <c r="Z44" i="47"/>
  <c r="Z45" i="47"/>
  <c r="Z46" i="47"/>
  <c r="Z47" i="47"/>
  <c r="Z48" i="47"/>
  <c r="Z49" i="47"/>
  <c r="Z50" i="47"/>
  <c r="Z51" i="47"/>
  <c r="Z52" i="47"/>
  <c r="Z53" i="47"/>
  <c r="Z54" i="47"/>
  <c r="Z55" i="47"/>
  <c r="Z56" i="47"/>
  <c r="Z57" i="47"/>
  <c r="Z58" i="47"/>
  <c r="Z59" i="47"/>
  <c r="Z60" i="47"/>
  <c r="Z61" i="47"/>
  <c r="Z62" i="47"/>
  <c r="Z63" i="47"/>
  <c r="Z64" i="47"/>
  <c r="Z65" i="47"/>
  <c r="Z66" i="47"/>
  <c r="Z67" i="47"/>
  <c r="Z68" i="47"/>
  <c r="Z69" i="47"/>
  <c r="Z70" i="47"/>
  <c r="Z71" i="47"/>
  <c r="Z72" i="47"/>
  <c r="Z15" i="47"/>
  <c r="W16" i="47"/>
  <c r="W17" i="47"/>
  <c r="W18" i="47"/>
  <c r="W19" i="47"/>
  <c r="W20" i="47"/>
  <c r="W21" i="47"/>
  <c r="W22" i="47"/>
  <c r="W23" i="47"/>
  <c r="W24" i="47"/>
  <c r="W25" i="47"/>
  <c r="W26" i="47"/>
  <c r="W27" i="47"/>
  <c r="W28" i="47"/>
  <c r="W29" i="47"/>
  <c r="W30" i="47"/>
  <c r="W31" i="47"/>
  <c r="W32" i="47"/>
  <c r="W33" i="47"/>
  <c r="W34" i="47"/>
  <c r="W35" i="47"/>
  <c r="W36" i="47"/>
  <c r="W37" i="47"/>
  <c r="W38" i="47"/>
  <c r="W39" i="47"/>
  <c r="W40" i="47"/>
  <c r="W41" i="47"/>
  <c r="W42" i="47"/>
  <c r="W43" i="47"/>
  <c r="W44" i="47"/>
  <c r="W45" i="47"/>
  <c r="W46" i="47"/>
  <c r="W47" i="47"/>
  <c r="W48" i="47"/>
  <c r="W49" i="47"/>
  <c r="W50" i="47"/>
  <c r="W51" i="47"/>
  <c r="W52" i="47"/>
  <c r="W53" i="47"/>
  <c r="W54" i="47"/>
  <c r="W55" i="47"/>
  <c r="W56" i="47"/>
  <c r="W57" i="47"/>
  <c r="W58" i="47"/>
  <c r="W59" i="47"/>
  <c r="W60" i="47"/>
  <c r="W61" i="47"/>
  <c r="W62" i="47"/>
  <c r="W63" i="47"/>
  <c r="W64" i="47"/>
  <c r="W65" i="47"/>
  <c r="W66" i="47"/>
  <c r="W67" i="47"/>
  <c r="W68" i="47"/>
  <c r="W69" i="47"/>
  <c r="W70" i="47"/>
  <c r="W71" i="47"/>
  <c r="W72" i="47"/>
  <c r="W15" i="47"/>
  <c r="Y16" i="47"/>
  <c r="Y17" i="47"/>
  <c r="Y18" i="47"/>
  <c r="Y19" i="47"/>
  <c r="Y20" i="47"/>
  <c r="Y21" i="47"/>
  <c r="Y22" i="47"/>
  <c r="Y23" i="47"/>
  <c r="Y24" i="47"/>
  <c r="Y25" i="47"/>
  <c r="Y26" i="47"/>
  <c r="Y27" i="47"/>
  <c r="Y28" i="47"/>
  <c r="Y29" i="47"/>
  <c r="Y30" i="47"/>
  <c r="Y31" i="47"/>
  <c r="Y32" i="47"/>
  <c r="Y33" i="47"/>
  <c r="Y34" i="47"/>
  <c r="Y35" i="47"/>
  <c r="Y36" i="47"/>
  <c r="Y37" i="47"/>
  <c r="Y38" i="47"/>
  <c r="Y39" i="47"/>
  <c r="Y40" i="47"/>
  <c r="Y41" i="47"/>
  <c r="Y42" i="47"/>
  <c r="Y43" i="47"/>
  <c r="Y44" i="47"/>
  <c r="Y45" i="47"/>
  <c r="Y46" i="47"/>
  <c r="Y47" i="47"/>
  <c r="Y48" i="47"/>
  <c r="Y49" i="47"/>
  <c r="Y50" i="47"/>
  <c r="Y51" i="47"/>
  <c r="Y52" i="47"/>
  <c r="Y53" i="47"/>
  <c r="Y54" i="47"/>
  <c r="Y55" i="47"/>
  <c r="Y56" i="47"/>
  <c r="Y57" i="47"/>
  <c r="Y58" i="47"/>
  <c r="Y59" i="47"/>
  <c r="Y60" i="47"/>
  <c r="Y61" i="47"/>
  <c r="Y62" i="47"/>
  <c r="Y63" i="47"/>
  <c r="Y64" i="47"/>
  <c r="Y65" i="47"/>
  <c r="Y66" i="47"/>
  <c r="Y67" i="47"/>
  <c r="Y68" i="47"/>
  <c r="Y69" i="47"/>
  <c r="Y70" i="47"/>
  <c r="Y71" i="47"/>
  <c r="Y72" i="47"/>
  <c r="Y15" i="47"/>
  <c r="V16" i="47"/>
  <c r="V17" i="47"/>
  <c r="V18" i="47"/>
  <c r="V19" i="47"/>
  <c r="V20" i="47"/>
  <c r="V21" i="47"/>
  <c r="V22" i="47"/>
  <c r="V23" i="47"/>
  <c r="V24" i="47"/>
  <c r="V25" i="47"/>
  <c r="V26" i="47"/>
  <c r="V27" i="47"/>
  <c r="V28" i="47"/>
  <c r="V29" i="47"/>
  <c r="V30" i="47"/>
  <c r="V31" i="47"/>
  <c r="V32" i="47"/>
  <c r="V33" i="47"/>
  <c r="V34" i="47"/>
  <c r="V35" i="47"/>
  <c r="V36" i="47"/>
  <c r="V37" i="47"/>
  <c r="V38" i="47"/>
  <c r="V39" i="47"/>
  <c r="V40" i="47"/>
  <c r="V41" i="47"/>
  <c r="V42" i="47"/>
  <c r="V43" i="47"/>
  <c r="V44" i="47"/>
  <c r="V45" i="47"/>
  <c r="V46" i="47"/>
  <c r="V47" i="47"/>
  <c r="V48" i="47"/>
  <c r="V49" i="47"/>
  <c r="V50" i="47"/>
  <c r="V51" i="47"/>
  <c r="V52" i="47"/>
  <c r="V53" i="47"/>
  <c r="V54" i="47"/>
  <c r="V55" i="47"/>
  <c r="V56" i="47"/>
  <c r="V57" i="47"/>
  <c r="V58" i="47"/>
  <c r="V59" i="47"/>
  <c r="V60" i="47"/>
  <c r="V61" i="47"/>
  <c r="V62" i="47"/>
  <c r="V63" i="47"/>
  <c r="V64" i="47"/>
  <c r="V65" i="47"/>
  <c r="V66" i="47"/>
  <c r="V67" i="47"/>
  <c r="V68" i="47"/>
  <c r="V69" i="47"/>
  <c r="V70" i="47"/>
  <c r="V71" i="47"/>
  <c r="V72" i="47"/>
  <c r="V15" i="47"/>
  <c r="O16" i="47"/>
  <c r="O17" i="47"/>
  <c r="O18" i="47"/>
  <c r="O19" i="47"/>
  <c r="O20" i="47"/>
  <c r="O21" i="47"/>
  <c r="O22" i="47"/>
  <c r="O23" i="47"/>
  <c r="O24" i="47"/>
  <c r="O25" i="47"/>
  <c r="O26" i="47"/>
  <c r="O27" i="47"/>
  <c r="O28" i="47"/>
  <c r="O29" i="47"/>
  <c r="O30" i="47"/>
  <c r="O31" i="47"/>
  <c r="O32" i="47"/>
  <c r="O33" i="47"/>
  <c r="O34" i="47"/>
  <c r="O35" i="47"/>
  <c r="O36" i="47"/>
  <c r="O37" i="47"/>
  <c r="O38" i="47"/>
  <c r="O39" i="47"/>
  <c r="O40" i="47"/>
  <c r="O41" i="47"/>
  <c r="O42" i="47"/>
  <c r="O43" i="47"/>
  <c r="O44" i="47"/>
  <c r="O45" i="47"/>
  <c r="O46" i="47"/>
  <c r="O47" i="47"/>
  <c r="O48" i="47"/>
  <c r="O49" i="47"/>
  <c r="O50" i="47"/>
  <c r="O51" i="47"/>
  <c r="O52" i="47"/>
  <c r="O53" i="47"/>
  <c r="O54" i="47"/>
  <c r="O55" i="47"/>
  <c r="O56" i="47"/>
  <c r="O57" i="47"/>
  <c r="O58" i="47"/>
  <c r="O59" i="47"/>
  <c r="O60" i="47"/>
  <c r="O61" i="47"/>
  <c r="O62" i="47"/>
  <c r="O63" i="47"/>
  <c r="O64" i="47"/>
  <c r="O65" i="47"/>
  <c r="O66" i="47"/>
  <c r="O67" i="47"/>
  <c r="O68" i="47"/>
  <c r="O69" i="47"/>
  <c r="O70" i="47"/>
  <c r="O71" i="47"/>
  <c r="O72" i="47"/>
  <c r="N16" i="47"/>
  <c r="N17" i="47"/>
  <c r="N18" i="47"/>
  <c r="N19" i="47"/>
  <c r="N20" i="47"/>
  <c r="N21" i="47"/>
  <c r="N22" i="47"/>
  <c r="N23" i="47"/>
  <c r="N24" i="47"/>
  <c r="N25" i="47"/>
  <c r="N26" i="47"/>
  <c r="N27" i="47"/>
  <c r="N28" i="47"/>
  <c r="N29" i="47"/>
  <c r="N30" i="47"/>
  <c r="N31" i="47"/>
  <c r="N32" i="47"/>
  <c r="N33" i="47"/>
  <c r="N34" i="47"/>
  <c r="N35" i="47"/>
  <c r="N36" i="47"/>
  <c r="N37" i="47"/>
  <c r="N38" i="47"/>
  <c r="N39" i="47"/>
  <c r="N40" i="47"/>
  <c r="N41" i="47"/>
  <c r="N42" i="47"/>
  <c r="N43" i="47"/>
  <c r="N44" i="47"/>
  <c r="N45" i="47"/>
  <c r="N46" i="47"/>
  <c r="N47" i="47"/>
  <c r="N48" i="47"/>
  <c r="N49" i="47"/>
  <c r="N50" i="47"/>
  <c r="N51" i="47"/>
  <c r="N52" i="47"/>
  <c r="N53" i="47"/>
  <c r="N54" i="47"/>
  <c r="N55" i="47"/>
  <c r="N56" i="47"/>
  <c r="N57" i="47"/>
  <c r="N58" i="47"/>
  <c r="N59" i="47"/>
  <c r="N60" i="47"/>
  <c r="N61" i="47"/>
  <c r="N62" i="47"/>
  <c r="N63" i="47"/>
  <c r="N64" i="47"/>
  <c r="N65" i="47"/>
  <c r="N66" i="47"/>
  <c r="N67" i="47"/>
  <c r="N68" i="47"/>
  <c r="N69" i="47"/>
  <c r="N70" i="47"/>
  <c r="N71" i="47"/>
  <c r="N72" i="47"/>
  <c r="N15" i="47"/>
  <c r="G16" i="47"/>
  <c r="G17" i="47"/>
  <c r="G18" i="47"/>
  <c r="G19" i="47"/>
  <c r="G20" i="47"/>
  <c r="G21" i="47"/>
  <c r="G22" i="47"/>
  <c r="G23" i="47"/>
  <c r="G24" i="47"/>
  <c r="G25" i="47"/>
  <c r="G26" i="47"/>
  <c r="G27" i="47"/>
  <c r="G28" i="47"/>
  <c r="G29" i="47"/>
  <c r="G30" i="47"/>
  <c r="G31" i="47"/>
  <c r="G32" i="47"/>
  <c r="G33" i="47"/>
  <c r="G34" i="47"/>
  <c r="G35" i="47"/>
  <c r="G36" i="47"/>
  <c r="G37" i="47"/>
  <c r="G38" i="47"/>
  <c r="G39" i="47"/>
  <c r="G40" i="47"/>
  <c r="G41" i="47"/>
  <c r="G42" i="47"/>
  <c r="G43" i="47"/>
  <c r="G44" i="47"/>
  <c r="G45" i="47"/>
  <c r="G46" i="47"/>
  <c r="G47" i="47"/>
  <c r="G48" i="47"/>
  <c r="G49" i="47"/>
  <c r="G50" i="47"/>
  <c r="G51" i="47"/>
  <c r="G52" i="47"/>
  <c r="G53" i="47"/>
  <c r="G54" i="47"/>
  <c r="G55" i="47"/>
  <c r="G56" i="47"/>
  <c r="G57" i="47"/>
  <c r="G58" i="47"/>
  <c r="G59" i="47"/>
  <c r="G60" i="47"/>
  <c r="G61" i="47"/>
  <c r="G62" i="47"/>
  <c r="G63" i="47"/>
  <c r="G64" i="47"/>
  <c r="G65" i="47"/>
  <c r="G66" i="47"/>
  <c r="G67" i="47"/>
  <c r="G68" i="47"/>
  <c r="G69" i="47"/>
  <c r="G70" i="47"/>
  <c r="G71" i="47"/>
  <c r="G72" i="47"/>
  <c r="F16" i="47"/>
  <c r="F17" i="47"/>
  <c r="F18" i="47"/>
  <c r="F19"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1" i="47"/>
  <c r="F52" i="47"/>
  <c r="F53" i="47"/>
  <c r="F54" i="47"/>
  <c r="F55" i="47"/>
  <c r="F56" i="47"/>
  <c r="F57" i="47"/>
  <c r="F58" i="47"/>
  <c r="F59" i="47"/>
  <c r="F60" i="47"/>
  <c r="F61" i="47"/>
  <c r="F62" i="47"/>
  <c r="F63" i="47"/>
  <c r="F64" i="47"/>
  <c r="F65" i="47"/>
  <c r="F66" i="47"/>
  <c r="F67" i="47"/>
  <c r="F68" i="47"/>
  <c r="F69" i="47"/>
  <c r="F70" i="47"/>
  <c r="F71" i="47"/>
  <c r="F72" i="47"/>
  <c r="F15" i="47"/>
  <c r="B16" i="47"/>
  <c r="B17" i="35" s="1"/>
  <c r="B17" i="47"/>
  <c r="B18" i="35" s="1"/>
  <c r="B18" i="47"/>
  <c r="B19" i="35" s="1"/>
  <c r="B19" i="47"/>
  <c r="B20" i="35" s="1"/>
  <c r="B20" i="47"/>
  <c r="B21" i="35" s="1"/>
  <c r="B21" i="47"/>
  <c r="B22" i="35" s="1"/>
  <c r="B22" i="47"/>
  <c r="B23" i="35" s="1"/>
  <c r="B23" i="47"/>
  <c r="B24" i="35" s="1"/>
  <c r="B24" i="47"/>
  <c r="B25" i="35" s="1"/>
  <c r="B25" i="47"/>
  <c r="B26" i="35" s="1"/>
  <c r="B26" i="47"/>
  <c r="B27" i="35" s="1"/>
  <c r="B27" i="47"/>
  <c r="B28" i="35" s="1"/>
  <c r="B28" i="47"/>
  <c r="B29" i="35" s="1"/>
  <c r="B29" i="47"/>
  <c r="B30" i="35" s="1"/>
  <c r="B30" i="47"/>
  <c r="B31" i="35" s="1"/>
  <c r="B31" i="47"/>
  <c r="B32" i="35" s="1"/>
  <c r="B32" i="47"/>
  <c r="B33" i="35" s="1"/>
  <c r="B33" i="47"/>
  <c r="B34" i="35" s="1"/>
  <c r="B34" i="47"/>
  <c r="B35" i="35" s="1"/>
  <c r="B35" i="47"/>
  <c r="B36" i="35" s="1"/>
  <c r="B36" i="47"/>
  <c r="B37" i="35" s="1"/>
  <c r="B37" i="47"/>
  <c r="B38" i="35" s="1"/>
  <c r="B38" i="47"/>
  <c r="B39" i="35" s="1"/>
  <c r="B39" i="47"/>
  <c r="B40" i="35" s="1"/>
  <c r="B40" i="47"/>
  <c r="B41" i="35" s="1"/>
  <c r="B41" i="47"/>
  <c r="B42" i="35" s="1"/>
  <c r="B42" i="47"/>
  <c r="B43" i="35" s="1"/>
  <c r="B43" i="47"/>
  <c r="B44" i="35" s="1"/>
  <c r="B44" i="47"/>
  <c r="B45" i="35" s="1"/>
  <c r="B45" i="47"/>
  <c r="B46" i="35" s="1"/>
  <c r="B46" i="47"/>
  <c r="B47" i="35" s="1"/>
  <c r="B47" i="47"/>
  <c r="B48" i="35" s="1"/>
  <c r="B48" i="47"/>
  <c r="B49" i="35" s="1"/>
  <c r="B49" i="47"/>
  <c r="B50" i="35" s="1"/>
  <c r="B50" i="47"/>
  <c r="B51" i="35" s="1"/>
  <c r="B51" i="47"/>
  <c r="B52" i="35" s="1"/>
  <c r="B52" i="47"/>
  <c r="B53" i="35" s="1"/>
  <c r="B53" i="47"/>
  <c r="B54" i="35" s="1"/>
  <c r="B54" i="47"/>
  <c r="B55" i="35" s="1"/>
  <c r="B55" i="47"/>
  <c r="B56" i="35" s="1"/>
  <c r="B56" i="47"/>
  <c r="B57" i="35" s="1"/>
  <c r="B57" i="47"/>
  <c r="B58" i="35" s="1"/>
  <c r="B58" i="47"/>
  <c r="B59" i="35" s="1"/>
  <c r="B59" i="47"/>
  <c r="B60" i="35" s="1"/>
  <c r="B60" i="47"/>
  <c r="B61" i="35" s="1"/>
  <c r="B61" i="47"/>
  <c r="B62" i="35" s="1"/>
  <c r="B62" i="47"/>
  <c r="B63" i="35" s="1"/>
  <c r="B63" i="47"/>
  <c r="B64" i="35" s="1"/>
  <c r="B64" i="47"/>
  <c r="B65" i="35" s="1"/>
  <c r="B65" i="47"/>
  <c r="B66" i="35" s="1"/>
  <c r="B66" i="47"/>
  <c r="B67" i="35" s="1"/>
  <c r="B67" i="47"/>
  <c r="B68" i="35" s="1"/>
  <c r="B68" i="47"/>
  <c r="B69" i="35" s="1"/>
  <c r="B69" i="47"/>
  <c r="B70" i="35" s="1"/>
  <c r="B70" i="47"/>
  <c r="B71" i="35" s="1"/>
  <c r="B71" i="47"/>
  <c r="B72" i="35" s="1"/>
  <c r="B72" i="47"/>
  <c r="B73" i="35" s="1"/>
  <c r="B15" i="47"/>
  <c r="B16" i="35" s="1"/>
  <c r="Z16" i="46"/>
  <c r="Z17" i="46"/>
  <c r="Z18" i="46"/>
  <c r="Z19" i="46"/>
  <c r="Z20" i="46"/>
  <c r="Z21" i="46"/>
  <c r="Z22" i="46"/>
  <c r="Z23" i="46"/>
  <c r="Z24" i="46"/>
  <c r="Z25" i="46"/>
  <c r="Z26" i="46"/>
  <c r="Z27" i="46"/>
  <c r="Z28" i="46"/>
  <c r="Z29" i="46"/>
  <c r="Z30" i="46"/>
  <c r="Z31" i="46"/>
  <c r="Z32" i="46"/>
  <c r="Z33" i="46"/>
  <c r="Z34" i="46"/>
  <c r="Z35" i="46"/>
  <c r="Z36" i="46"/>
  <c r="Z37" i="46"/>
  <c r="Z38" i="46"/>
  <c r="Z39" i="46"/>
  <c r="Z40" i="46"/>
  <c r="Z41" i="46"/>
  <c r="Z42" i="46"/>
  <c r="Z43" i="46"/>
  <c r="Z44" i="46"/>
  <c r="Z45" i="46"/>
  <c r="Z46" i="46"/>
  <c r="Z47" i="46"/>
  <c r="Z48" i="46"/>
  <c r="Z49" i="46"/>
  <c r="Z50" i="46"/>
  <c r="Z51" i="46"/>
  <c r="Z52" i="46"/>
  <c r="Z53" i="46"/>
  <c r="Z54" i="46"/>
  <c r="Z55" i="46"/>
  <c r="Z56" i="46"/>
  <c r="Z57" i="46"/>
  <c r="Z58" i="46"/>
  <c r="Z59" i="46"/>
  <c r="Z60" i="46"/>
  <c r="Z61" i="46"/>
  <c r="Z62" i="46"/>
  <c r="Z63" i="46"/>
  <c r="Z64" i="46"/>
  <c r="Z65" i="46"/>
  <c r="Z66" i="46"/>
  <c r="Z67" i="46"/>
  <c r="Z68" i="46"/>
  <c r="Z69" i="46"/>
  <c r="Z70" i="46"/>
  <c r="Z71" i="46"/>
  <c r="Z72" i="46"/>
  <c r="Z15" i="46"/>
  <c r="W16" i="46"/>
  <c r="W17" i="46"/>
  <c r="W18" i="46"/>
  <c r="W19" i="46"/>
  <c r="W20" i="46"/>
  <c r="W21" i="46"/>
  <c r="W22" i="46"/>
  <c r="W23" i="46"/>
  <c r="W24" i="46"/>
  <c r="W25" i="46"/>
  <c r="W26" i="46"/>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15" i="46"/>
  <c r="O16" i="46"/>
  <c r="O17" i="46"/>
  <c r="O18" i="46"/>
  <c r="O19" i="46"/>
  <c r="O20" i="46"/>
  <c r="O21" i="46"/>
  <c r="O22" i="46"/>
  <c r="O23" i="46"/>
  <c r="O24" i="46"/>
  <c r="O25" i="46"/>
  <c r="O26" i="46"/>
  <c r="O27" i="46"/>
  <c r="O28" i="46"/>
  <c r="O29" i="46"/>
  <c r="O30" i="46"/>
  <c r="O31" i="46"/>
  <c r="O32" i="46"/>
  <c r="O33" i="46"/>
  <c r="O34" i="46"/>
  <c r="O35" i="46"/>
  <c r="O36" i="46"/>
  <c r="O37" i="46"/>
  <c r="O38" i="46"/>
  <c r="O39" i="46"/>
  <c r="O40" i="46"/>
  <c r="O41" i="46"/>
  <c r="O42" i="46"/>
  <c r="O43" i="46"/>
  <c r="O44" i="46"/>
  <c r="O45" i="46"/>
  <c r="O46" i="46"/>
  <c r="O47" i="46"/>
  <c r="O48" i="46"/>
  <c r="O49" i="46"/>
  <c r="O50" i="46"/>
  <c r="O51" i="46"/>
  <c r="O52" i="46"/>
  <c r="O53" i="46"/>
  <c r="O54" i="46"/>
  <c r="O55" i="46"/>
  <c r="O56" i="46"/>
  <c r="O57" i="46"/>
  <c r="O58" i="46"/>
  <c r="O59" i="46"/>
  <c r="O60" i="46"/>
  <c r="O61" i="46"/>
  <c r="O62" i="46"/>
  <c r="O63" i="46"/>
  <c r="O64" i="46"/>
  <c r="O65" i="46"/>
  <c r="O66" i="46"/>
  <c r="O67" i="46"/>
  <c r="O68" i="46"/>
  <c r="O69" i="46"/>
  <c r="P69" i="46" s="1"/>
  <c r="J70" i="34" s="1"/>
  <c r="O70" i="46"/>
  <c r="O71" i="46"/>
  <c r="O15" i="46"/>
  <c r="N16" i="46"/>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4" i="46"/>
  <c r="N45" i="46"/>
  <c r="N46" i="46"/>
  <c r="N47" i="46"/>
  <c r="N48" i="46"/>
  <c r="N49" i="46"/>
  <c r="N50" i="46"/>
  <c r="N51" i="46"/>
  <c r="N52" i="46"/>
  <c r="N53" i="46"/>
  <c r="N54" i="46"/>
  <c r="N55" i="46"/>
  <c r="N56" i="46"/>
  <c r="N57" i="46"/>
  <c r="N58" i="46"/>
  <c r="N59" i="46"/>
  <c r="N60" i="46"/>
  <c r="N61" i="46"/>
  <c r="N62" i="46"/>
  <c r="N63" i="46"/>
  <c r="N64" i="46"/>
  <c r="N65" i="46"/>
  <c r="N66" i="46"/>
  <c r="N67" i="46"/>
  <c r="N68" i="46"/>
  <c r="N69" i="46"/>
  <c r="N70" i="46"/>
  <c r="N71" i="46"/>
  <c r="N72" i="46"/>
  <c r="N15" i="46"/>
  <c r="G16" i="46"/>
  <c r="G17" i="46"/>
  <c r="G18" i="46"/>
  <c r="G19" i="46"/>
  <c r="G20" i="46"/>
  <c r="G21" i="46"/>
  <c r="G22" i="46"/>
  <c r="G23" i="46"/>
  <c r="G24" i="46"/>
  <c r="G25" i="46"/>
  <c r="G26" i="46"/>
  <c r="G27" i="46"/>
  <c r="G28" i="46"/>
  <c r="G29" i="46"/>
  <c r="G30" i="46"/>
  <c r="G31" i="46"/>
  <c r="G32" i="46"/>
  <c r="G33" i="46"/>
  <c r="G34" i="46"/>
  <c r="G35" i="46"/>
  <c r="G36" i="46"/>
  <c r="G37" i="46"/>
  <c r="G38" i="46"/>
  <c r="G39" i="46"/>
  <c r="G40" i="46"/>
  <c r="G41" i="46"/>
  <c r="G42" i="46"/>
  <c r="G43" i="46"/>
  <c r="G44" i="46"/>
  <c r="G45" i="46"/>
  <c r="G46" i="46"/>
  <c r="G47" i="46"/>
  <c r="G48" i="46"/>
  <c r="G49" i="46"/>
  <c r="G50" i="46"/>
  <c r="G51" i="46"/>
  <c r="G52" i="46"/>
  <c r="G53" i="46"/>
  <c r="G54" i="46"/>
  <c r="G55" i="46"/>
  <c r="G56" i="46"/>
  <c r="G57" i="46"/>
  <c r="G58" i="46"/>
  <c r="G59" i="46"/>
  <c r="G60" i="46"/>
  <c r="G61" i="46"/>
  <c r="G62" i="46"/>
  <c r="G63" i="46"/>
  <c r="G64" i="46"/>
  <c r="G65" i="46"/>
  <c r="G66" i="46"/>
  <c r="G67" i="46"/>
  <c r="G68" i="46"/>
  <c r="G69" i="46"/>
  <c r="G70" i="46"/>
  <c r="G71" i="46"/>
  <c r="G72" i="46"/>
  <c r="G15" i="46"/>
  <c r="Y16" i="46"/>
  <c r="Y17" i="46"/>
  <c r="Y18" i="46"/>
  <c r="Y19" i="46"/>
  <c r="Y20" i="46"/>
  <c r="Y21" i="46"/>
  <c r="Y22" i="46"/>
  <c r="Y23" i="46"/>
  <c r="Y24" i="46"/>
  <c r="Y25" i="46"/>
  <c r="Y26" i="46"/>
  <c r="Y27" i="46"/>
  <c r="Y28" i="46"/>
  <c r="Y29" i="46"/>
  <c r="Y30" i="46"/>
  <c r="Y31" i="46"/>
  <c r="Y32" i="46"/>
  <c r="Y33" i="46"/>
  <c r="Y34" i="46"/>
  <c r="Y35" i="46"/>
  <c r="Y36" i="46"/>
  <c r="Y37" i="46"/>
  <c r="Y38" i="46"/>
  <c r="Y39" i="46"/>
  <c r="Y40" i="46"/>
  <c r="Y41" i="46"/>
  <c r="Y42" i="46"/>
  <c r="Y43" i="46"/>
  <c r="Y44" i="46"/>
  <c r="Y45" i="46"/>
  <c r="Y46" i="46"/>
  <c r="Y47" i="46"/>
  <c r="Y48" i="46"/>
  <c r="Y49" i="46"/>
  <c r="Y50" i="46"/>
  <c r="Y51" i="46"/>
  <c r="Y52" i="46"/>
  <c r="Y53" i="46"/>
  <c r="Y54" i="46"/>
  <c r="Y55" i="46"/>
  <c r="Y56" i="46"/>
  <c r="Y57" i="46"/>
  <c r="Y58" i="46"/>
  <c r="Y59" i="46"/>
  <c r="Y60" i="46"/>
  <c r="Y61" i="46"/>
  <c r="Y62" i="46"/>
  <c r="Y63" i="46"/>
  <c r="Y64" i="46"/>
  <c r="Y65" i="46"/>
  <c r="Y66" i="46"/>
  <c r="Y67" i="46"/>
  <c r="Y68" i="46"/>
  <c r="Y69" i="46"/>
  <c r="Y70" i="46"/>
  <c r="Y71" i="46"/>
  <c r="Y72" i="46"/>
  <c r="V16" i="46"/>
  <c r="V17" i="46"/>
  <c r="V18" i="46"/>
  <c r="V19" i="46"/>
  <c r="V20" i="46"/>
  <c r="V21" i="46"/>
  <c r="V22" i="46"/>
  <c r="V23" i="46"/>
  <c r="V24" i="46"/>
  <c r="V25" i="46"/>
  <c r="V26" i="46"/>
  <c r="V27" i="46"/>
  <c r="V28" i="46"/>
  <c r="V29" i="46"/>
  <c r="V30" i="46"/>
  <c r="V31" i="46"/>
  <c r="V32" i="46"/>
  <c r="V33" i="46"/>
  <c r="V34" i="46"/>
  <c r="V35" i="46"/>
  <c r="V36" i="46"/>
  <c r="V37" i="46"/>
  <c r="V38" i="46"/>
  <c r="V39" i="46"/>
  <c r="V40" i="46"/>
  <c r="V41" i="46"/>
  <c r="V42" i="46"/>
  <c r="V43" i="46"/>
  <c r="V44" i="46"/>
  <c r="V45" i="46"/>
  <c r="V46" i="46"/>
  <c r="V47" i="46"/>
  <c r="V48" i="46"/>
  <c r="V49" i="46"/>
  <c r="V50" i="46"/>
  <c r="V51" i="46"/>
  <c r="V52" i="46"/>
  <c r="V53" i="46"/>
  <c r="V54" i="46"/>
  <c r="V55" i="46"/>
  <c r="V56" i="46"/>
  <c r="V57" i="46"/>
  <c r="V58" i="46"/>
  <c r="V59" i="46"/>
  <c r="V60" i="46"/>
  <c r="V61" i="46"/>
  <c r="V62" i="46"/>
  <c r="V63" i="46"/>
  <c r="V64" i="46"/>
  <c r="V65" i="46"/>
  <c r="V66" i="46"/>
  <c r="V67" i="46"/>
  <c r="V68" i="46"/>
  <c r="V69" i="46"/>
  <c r="V70" i="46"/>
  <c r="V71" i="46"/>
  <c r="V72" i="46"/>
  <c r="Y15" i="46"/>
  <c r="V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15" i="46"/>
  <c r="B16" i="46"/>
  <c r="B17" i="34" s="1"/>
  <c r="B17" i="46"/>
  <c r="B18" i="34" s="1"/>
  <c r="B18" i="46"/>
  <c r="B19" i="34" s="1"/>
  <c r="B19" i="46"/>
  <c r="B20" i="34" s="1"/>
  <c r="B20" i="46"/>
  <c r="B21" i="34" s="1"/>
  <c r="B21" i="46"/>
  <c r="B22" i="34" s="1"/>
  <c r="B22" i="46"/>
  <c r="B23" i="34" s="1"/>
  <c r="B23" i="46"/>
  <c r="B24" i="34" s="1"/>
  <c r="B24" i="46"/>
  <c r="B25" i="34" s="1"/>
  <c r="B25" i="46"/>
  <c r="B26" i="34" s="1"/>
  <c r="B26" i="46"/>
  <c r="B27" i="34" s="1"/>
  <c r="B27" i="46"/>
  <c r="B28" i="34" s="1"/>
  <c r="B28" i="46"/>
  <c r="B29" i="34" s="1"/>
  <c r="B29" i="46"/>
  <c r="B30" i="34" s="1"/>
  <c r="B30" i="46"/>
  <c r="B31" i="34" s="1"/>
  <c r="B31" i="46"/>
  <c r="B32" i="34" s="1"/>
  <c r="B32" i="46"/>
  <c r="B33" i="34" s="1"/>
  <c r="B33" i="46"/>
  <c r="B34" i="34" s="1"/>
  <c r="B34" i="46"/>
  <c r="B35" i="34" s="1"/>
  <c r="B35" i="46"/>
  <c r="B36" i="34" s="1"/>
  <c r="B36" i="46"/>
  <c r="B37" i="34" s="1"/>
  <c r="B37" i="46"/>
  <c r="B38" i="34" s="1"/>
  <c r="B38" i="46"/>
  <c r="B39" i="34" s="1"/>
  <c r="B39" i="46"/>
  <c r="B40" i="34" s="1"/>
  <c r="B40" i="46"/>
  <c r="B41" i="34" s="1"/>
  <c r="B41" i="46"/>
  <c r="B42" i="34" s="1"/>
  <c r="B42" i="46"/>
  <c r="B43" i="34" s="1"/>
  <c r="B43" i="46"/>
  <c r="B44" i="34" s="1"/>
  <c r="B44" i="46"/>
  <c r="B45" i="34" s="1"/>
  <c r="B45" i="46"/>
  <c r="B46" i="34" s="1"/>
  <c r="B46" i="46"/>
  <c r="B47" i="34" s="1"/>
  <c r="B47" i="46"/>
  <c r="B48" i="34" s="1"/>
  <c r="B48" i="46"/>
  <c r="B49" i="34" s="1"/>
  <c r="B49" i="46"/>
  <c r="B50" i="34" s="1"/>
  <c r="B50" i="46"/>
  <c r="B51" i="34" s="1"/>
  <c r="B51" i="46"/>
  <c r="B52" i="34" s="1"/>
  <c r="B52" i="46"/>
  <c r="B53" i="34" s="1"/>
  <c r="B53" i="46"/>
  <c r="B54" i="34" s="1"/>
  <c r="B54" i="46"/>
  <c r="B55" i="34" s="1"/>
  <c r="B55" i="46"/>
  <c r="B56" i="34" s="1"/>
  <c r="B56" i="46"/>
  <c r="B57" i="34" s="1"/>
  <c r="B57" i="46"/>
  <c r="B58" i="34" s="1"/>
  <c r="B58" i="46"/>
  <c r="B59" i="34" s="1"/>
  <c r="B59" i="46"/>
  <c r="B60" i="34" s="1"/>
  <c r="B60" i="46"/>
  <c r="B61" i="34" s="1"/>
  <c r="B61" i="46"/>
  <c r="B62" i="34" s="1"/>
  <c r="B62" i="46"/>
  <c r="B63" i="34" s="1"/>
  <c r="B63" i="46"/>
  <c r="B64" i="34" s="1"/>
  <c r="B64" i="46"/>
  <c r="B65" i="34" s="1"/>
  <c r="B65" i="46"/>
  <c r="B66" i="34" s="1"/>
  <c r="B66" i="46"/>
  <c r="B67" i="34" s="1"/>
  <c r="B67" i="46"/>
  <c r="B68" i="34" s="1"/>
  <c r="B68" i="46"/>
  <c r="B69" i="34" s="1"/>
  <c r="B69" i="46"/>
  <c r="B70" i="34" s="1"/>
  <c r="B70" i="46"/>
  <c r="B71" i="34" s="1"/>
  <c r="B71" i="46"/>
  <c r="B72" i="34" s="1"/>
  <c r="B72" i="46"/>
  <c r="B73" i="34" s="1"/>
  <c r="B15" i="46"/>
  <c r="B16" i="34" s="1"/>
  <c r="H15" i="43"/>
  <c r="N16" i="43"/>
  <c r="I17" i="32" s="1"/>
  <c r="N17" i="43"/>
  <c r="I18" i="32" s="1"/>
  <c r="N18" i="43"/>
  <c r="I19" i="32" s="1"/>
  <c r="N19" i="43"/>
  <c r="I20" i="32" s="1"/>
  <c r="N20" i="43"/>
  <c r="I21" i="32" s="1"/>
  <c r="N21" i="43"/>
  <c r="I22" i="32" s="1"/>
  <c r="N22" i="43"/>
  <c r="I23" i="32" s="1"/>
  <c r="N23" i="43"/>
  <c r="I24" i="32" s="1"/>
  <c r="N24" i="43"/>
  <c r="I25" i="32" s="1"/>
  <c r="N15" i="43"/>
  <c r="I16" i="32" s="1"/>
  <c r="M16" i="43"/>
  <c r="H17" i="32" s="1"/>
  <c r="M17" i="43"/>
  <c r="H18" i="32" s="1"/>
  <c r="M18" i="43"/>
  <c r="H19" i="32" s="1"/>
  <c r="M19" i="43"/>
  <c r="H20" i="32" s="1"/>
  <c r="M20" i="43"/>
  <c r="H21" i="32" s="1"/>
  <c r="M21" i="43"/>
  <c r="H22" i="32" s="1"/>
  <c r="M22" i="43"/>
  <c r="H23" i="32" s="1"/>
  <c r="M23" i="43"/>
  <c r="H24" i="32" s="1"/>
  <c r="M24" i="43"/>
  <c r="H25" i="32" s="1"/>
  <c r="M15" i="43"/>
  <c r="H16" i="32" s="1"/>
  <c r="L16" i="43"/>
  <c r="G17" i="32" s="1"/>
  <c r="L17" i="43"/>
  <c r="G18" i="32" s="1"/>
  <c r="L18" i="43"/>
  <c r="G19" i="32" s="1"/>
  <c r="L19" i="43"/>
  <c r="G20" i="32" s="1"/>
  <c r="L20" i="43"/>
  <c r="G21" i="32" s="1"/>
  <c r="L21" i="43"/>
  <c r="G22" i="32" s="1"/>
  <c r="L22" i="43"/>
  <c r="G23" i="32" s="1"/>
  <c r="L23" i="43"/>
  <c r="G24" i="32" s="1"/>
  <c r="L24" i="43"/>
  <c r="G25" i="32" s="1"/>
  <c r="L15" i="43"/>
  <c r="G16" i="32" s="1"/>
  <c r="G16" i="43"/>
  <c r="G17" i="43"/>
  <c r="G18" i="43"/>
  <c r="G19" i="43"/>
  <c r="G20" i="43"/>
  <c r="G21" i="43"/>
  <c r="G22" i="43"/>
  <c r="G23" i="43"/>
  <c r="G24" i="43"/>
  <c r="G15" i="43"/>
  <c r="B16" i="43"/>
  <c r="B17" i="32" s="1"/>
  <c r="B17" i="43"/>
  <c r="B18" i="32" s="1"/>
  <c r="B18" i="43"/>
  <c r="B19" i="32" s="1"/>
  <c r="B19" i="43"/>
  <c r="B20" i="32" s="1"/>
  <c r="B20" i="43"/>
  <c r="B21" i="32" s="1"/>
  <c r="B21" i="43"/>
  <c r="B22" i="32" s="1"/>
  <c r="B22" i="43"/>
  <c r="B23" i="32" s="1"/>
  <c r="B23" i="43"/>
  <c r="B24" i="32" s="1"/>
  <c r="B24" i="43"/>
  <c r="B25" i="32" s="1"/>
  <c r="B15" i="43"/>
  <c r="B16" i="32" s="1"/>
  <c r="D16" i="43"/>
  <c r="D17" i="43"/>
  <c r="D18" i="43"/>
  <c r="D19" i="43"/>
  <c r="D20" i="43"/>
  <c r="D21" i="43"/>
  <c r="D22" i="43"/>
  <c r="D23" i="43"/>
  <c r="D24" i="43"/>
  <c r="D15" i="43"/>
  <c r="E15" i="43"/>
  <c r="H66" i="46" l="1"/>
  <c r="F67" i="34" s="1"/>
  <c r="P67" i="47"/>
  <c r="H49" i="46"/>
  <c r="F50" i="34" s="1"/>
  <c r="X54" i="47"/>
  <c r="N55" i="35" s="1"/>
  <c r="X30" i="47"/>
  <c r="N31" i="35" s="1"/>
  <c r="H52" i="47"/>
  <c r="F53" i="35" s="1"/>
  <c r="H28" i="47"/>
  <c r="F29" i="35" s="1"/>
  <c r="H64" i="46"/>
  <c r="F65" i="34" s="1"/>
  <c r="X71" i="47"/>
  <c r="N72" i="35" s="1"/>
  <c r="X47" i="47"/>
  <c r="N48" i="35" s="1"/>
  <c r="X23" i="47"/>
  <c r="N24" i="35" s="1"/>
  <c r="H61" i="46"/>
  <c r="F62" i="34" s="1"/>
  <c r="H37" i="46"/>
  <c r="F38" i="34" s="1"/>
  <c r="P57" i="46"/>
  <c r="J58" i="34" s="1"/>
  <c r="P33" i="46"/>
  <c r="J34" i="34" s="1"/>
  <c r="H52" i="46"/>
  <c r="F53" i="34" s="1"/>
  <c r="H28" i="46"/>
  <c r="F29" i="34" s="1"/>
  <c r="X68" i="47"/>
  <c r="N69" i="35" s="1"/>
  <c r="X67" i="46"/>
  <c r="N68" i="34" s="1"/>
  <c r="X43" i="46"/>
  <c r="N44" i="34" s="1"/>
  <c r="H72" i="46"/>
  <c r="F73" i="34" s="1"/>
  <c r="H60" i="46"/>
  <c r="F61" i="34" s="1"/>
  <c r="H36" i="46"/>
  <c r="F37" i="34" s="1"/>
  <c r="P56" i="46"/>
  <c r="J57" i="34" s="1"/>
  <c r="P32" i="46"/>
  <c r="J33" i="34" s="1"/>
  <c r="H53" i="47"/>
  <c r="F54" i="35" s="1"/>
  <c r="H29" i="47"/>
  <c r="F30" i="35" s="1"/>
  <c r="P49" i="47"/>
  <c r="J50" i="35" s="1"/>
  <c r="P25" i="47"/>
  <c r="J26" i="35" s="1"/>
  <c r="X55" i="47"/>
  <c r="N56" i="35" s="1"/>
  <c r="X31" i="47"/>
  <c r="N32" i="35" s="1"/>
  <c r="H69" i="46"/>
  <c r="F70" i="34" s="1"/>
  <c r="H57" i="46"/>
  <c r="F58" i="34" s="1"/>
  <c r="H45" i="46"/>
  <c r="F46" i="34" s="1"/>
  <c r="H21" i="46"/>
  <c r="F22" i="34" s="1"/>
  <c r="P65" i="46"/>
  <c r="J66" i="34" s="1"/>
  <c r="P41" i="46"/>
  <c r="J42" i="34" s="1"/>
  <c r="X51" i="46"/>
  <c r="N52" i="34" s="1"/>
  <c r="X27" i="46"/>
  <c r="N28" i="34" s="1"/>
  <c r="H68" i="46"/>
  <c r="F69" i="34" s="1"/>
  <c r="H44" i="46"/>
  <c r="F45" i="34" s="1"/>
  <c r="P64" i="46"/>
  <c r="J65" i="34" s="1"/>
  <c r="P40" i="46"/>
  <c r="J41" i="34" s="1"/>
  <c r="H61" i="47"/>
  <c r="F62" i="35" s="1"/>
  <c r="H37" i="47"/>
  <c r="F38" i="35" s="1"/>
  <c r="P57" i="47"/>
  <c r="J58" i="35" s="1"/>
  <c r="P33" i="47"/>
  <c r="J34" i="35" s="1"/>
  <c r="X63" i="47"/>
  <c r="N64" i="35" s="1"/>
  <c r="X39" i="47"/>
  <c r="N40" i="35" s="1"/>
  <c r="H60" i="47"/>
  <c r="F61" i="35" s="1"/>
  <c r="H36" i="47"/>
  <c r="F37" i="35" s="1"/>
  <c r="P56" i="47"/>
  <c r="J57" i="35" s="1"/>
  <c r="P32" i="47"/>
  <c r="J33" i="35" s="1"/>
  <c r="X62" i="47"/>
  <c r="N63" i="35" s="1"/>
  <c r="X38" i="47"/>
  <c r="N39" i="35" s="1"/>
  <c r="H65" i="46"/>
  <c r="F66" i="34" s="1"/>
  <c r="H53" i="46"/>
  <c r="F54" i="34" s="1"/>
  <c r="H41" i="46"/>
  <c r="F42" i="34" s="1"/>
  <c r="H29" i="46"/>
  <c r="F30" i="34" s="1"/>
  <c r="P49" i="46"/>
  <c r="J50" i="34" s="1"/>
  <c r="P25" i="46"/>
  <c r="J26" i="34" s="1"/>
  <c r="X59" i="46"/>
  <c r="N60" i="34" s="1"/>
  <c r="X35" i="46"/>
  <c r="N36" i="34" s="1"/>
  <c r="X60" i="47"/>
  <c r="N61" i="35" s="1"/>
  <c r="P72" i="46"/>
  <c r="J73" i="34" s="1"/>
  <c r="P48" i="46"/>
  <c r="J49" i="34" s="1"/>
  <c r="P24" i="46"/>
  <c r="J25" i="34" s="1"/>
  <c r="H69" i="47"/>
  <c r="F70" i="35" s="1"/>
  <c r="H45" i="47"/>
  <c r="F46" i="35" s="1"/>
  <c r="H21" i="47"/>
  <c r="F22" i="35" s="1"/>
  <c r="P65" i="47"/>
  <c r="J66" i="35" s="1"/>
  <c r="P41" i="47"/>
  <c r="J42" i="35" s="1"/>
  <c r="H68" i="47"/>
  <c r="F69" i="35" s="1"/>
  <c r="H44" i="47"/>
  <c r="F45" i="35" s="1"/>
  <c r="H20" i="47"/>
  <c r="F21" i="35" s="1"/>
  <c r="P64" i="47"/>
  <c r="J65" i="35" s="1"/>
  <c r="P40" i="47"/>
  <c r="J41" i="35" s="1"/>
  <c r="X70" i="47"/>
  <c r="N71" i="35" s="1"/>
  <c r="X46" i="47"/>
  <c r="N47" i="35" s="1"/>
  <c r="P15" i="46"/>
  <c r="J16" i="34" s="1"/>
  <c r="P17" i="47"/>
  <c r="J18" i="35" s="1"/>
  <c r="H15" i="47"/>
  <c r="F16" i="35" s="1"/>
  <c r="X19" i="46"/>
  <c r="N20" i="34" s="1"/>
  <c r="P17" i="46"/>
  <c r="J18" i="34" s="1"/>
  <c r="P16" i="46"/>
  <c r="J17" i="34" s="1"/>
  <c r="J15" i="43"/>
  <c r="P16" i="47"/>
  <c r="J17" i="35" s="1"/>
  <c r="F15" i="43"/>
  <c r="D16" i="32" s="1"/>
  <c r="F20" i="37"/>
  <c r="F19" i="37"/>
  <c r="F30" i="37"/>
  <c r="F59" i="37"/>
  <c r="F57" i="37"/>
  <c r="F16" i="37"/>
  <c r="F29" i="37"/>
  <c r="F64" i="37"/>
  <c r="F22" i="36"/>
  <c r="H73" i="48"/>
  <c r="J20" i="36"/>
  <c r="H20" i="46"/>
  <c r="F21" i="34" s="1"/>
  <c r="X66" i="46"/>
  <c r="N67" i="34" s="1"/>
  <c r="X58" i="46"/>
  <c r="N59" i="34" s="1"/>
  <c r="X50" i="46"/>
  <c r="N51" i="34" s="1"/>
  <c r="X42" i="46"/>
  <c r="N43" i="34" s="1"/>
  <c r="X34" i="46"/>
  <c r="N35" i="34" s="1"/>
  <c r="X26" i="46"/>
  <c r="N27" i="34" s="1"/>
  <c r="X18" i="46"/>
  <c r="N19" i="34" s="1"/>
  <c r="X22" i="47"/>
  <c r="N23" i="35" s="1"/>
  <c r="F54" i="37"/>
  <c r="F69" i="37"/>
  <c r="F27" i="37"/>
  <c r="F37" i="37"/>
  <c r="F72" i="37"/>
  <c r="J22" i="37"/>
  <c r="F55" i="37"/>
  <c r="F28" i="37"/>
  <c r="F46" i="37"/>
  <c r="F43" i="37"/>
  <c r="F17" i="37"/>
  <c r="K29" i="43"/>
  <c r="K30" i="43"/>
  <c r="H67" i="46"/>
  <c r="F68" i="34" s="1"/>
  <c r="H59" i="46"/>
  <c r="F60" i="34" s="1"/>
  <c r="H51" i="46"/>
  <c r="F52" i="34" s="1"/>
  <c r="H43" i="46"/>
  <c r="F44" i="34" s="1"/>
  <c r="H35" i="46"/>
  <c r="F36" i="34" s="1"/>
  <c r="H27" i="46"/>
  <c r="F28" i="34" s="1"/>
  <c r="H19" i="46"/>
  <c r="F20" i="34" s="1"/>
  <c r="P71" i="46"/>
  <c r="J72" i="34" s="1"/>
  <c r="P63" i="46"/>
  <c r="J64" i="34" s="1"/>
  <c r="P55" i="46"/>
  <c r="J56" i="34" s="1"/>
  <c r="P47" i="46"/>
  <c r="J48" i="34" s="1"/>
  <c r="P39" i="46"/>
  <c r="J40" i="34" s="1"/>
  <c r="P31" i="46"/>
  <c r="J32" i="34" s="1"/>
  <c r="P23" i="46"/>
  <c r="J24" i="34" s="1"/>
  <c r="X15" i="46"/>
  <c r="N16" i="34" s="1"/>
  <c r="X65" i="46"/>
  <c r="N66" i="34" s="1"/>
  <c r="X57" i="46"/>
  <c r="N58" i="34" s="1"/>
  <c r="X49" i="46"/>
  <c r="N50" i="34" s="1"/>
  <c r="X41" i="46"/>
  <c r="N42" i="34" s="1"/>
  <c r="X33" i="46"/>
  <c r="N34" i="34" s="1"/>
  <c r="X25" i="46"/>
  <c r="N26" i="34" s="1"/>
  <c r="X17" i="46"/>
  <c r="N18" i="34" s="1"/>
  <c r="H67" i="47"/>
  <c r="F68" i="35" s="1"/>
  <c r="H59" i="47"/>
  <c r="F60" i="35" s="1"/>
  <c r="H51" i="47"/>
  <c r="F52" i="35" s="1"/>
  <c r="H43" i="47"/>
  <c r="F44" i="35" s="1"/>
  <c r="H35" i="47"/>
  <c r="F36" i="35" s="1"/>
  <c r="H27" i="47"/>
  <c r="F28" i="35" s="1"/>
  <c r="H19" i="47"/>
  <c r="F20" i="35" s="1"/>
  <c r="P71" i="47"/>
  <c r="J72" i="35" s="1"/>
  <c r="P63" i="47"/>
  <c r="J64" i="35" s="1"/>
  <c r="P55" i="47"/>
  <c r="J56" i="35" s="1"/>
  <c r="P47" i="47"/>
  <c r="J48" i="35" s="1"/>
  <c r="P39" i="47"/>
  <c r="J40" i="35" s="1"/>
  <c r="P31" i="47"/>
  <c r="J32" i="35" s="1"/>
  <c r="P23" i="47"/>
  <c r="J24" i="35" s="1"/>
  <c r="X15" i="47"/>
  <c r="N16" i="35" s="1"/>
  <c r="X69" i="47"/>
  <c r="N70" i="35" s="1"/>
  <c r="X61" i="47"/>
  <c r="N62" i="35" s="1"/>
  <c r="X53" i="47"/>
  <c r="N54" i="35" s="1"/>
  <c r="X45" i="47"/>
  <c r="N46" i="35" s="1"/>
  <c r="X37" i="47"/>
  <c r="N38" i="35" s="1"/>
  <c r="X29" i="47"/>
  <c r="N30" i="35" s="1"/>
  <c r="X21" i="47"/>
  <c r="N22" i="35" s="1"/>
  <c r="F53" i="37"/>
  <c r="F36" i="37"/>
  <c r="F67" i="37"/>
  <c r="F25" i="37"/>
  <c r="H58" i="46"/>
  <c r="F59" i="34" s="1"/>
  <c r="H50" i="46"/>
  <c r="F51" i="34" s="1"/>
  <c r="H42" i="46"/>
  <c r="F43" i="34" s="1"/>
  <c r="H34" i="46"/>
  <c r="F35" i="34" s="1"/>
  <c r="H26" i="46"/>
  <c r="F27" i="34" s="1"/>
  <c r="H18" i="46"/>
  <c r="F19" i="34" s="1"/>
  <c r="P70" i="46"/>
  <c r="J71" i="34" s="1"/>
  <c r="P62" i="46"/>
  <c r="J63" i="34" s="1"/>
  <c r="P54" i="46"/>
  <c r="J55" i="34" s="1"/>
  <c r="P46" i="46"/>
  <c r="J47" i="34" s="1"/>
  <c r="P38" i="46"/>
  <c r="J39" i="34" s="1"/>
  <c r="P30" i="46"/>
  <c r="J31" i="34" s="1"/>
  <c r="P22" i="46"/>
  <c r="X72" i="46"/>
  <c r="N73" i="34" s="1"/>
  <c r="X64" i="46"/>
  <c r="N65" i="34" s="1"/>
  <c r="X56" i="46"/>
  <c r="N57" i="34" s="1"/>
  <c r="X48" i="46"/>
  <c r="N49" i="34" s="1"/>
  <c r="X40" i="46"/>
  <c r="N41" i="34" s="1"/>
  <c r="X32" i="46"/>
  <c r="N33" i="34" s="1"/>
  <c r="X24" i="46"/>
  <c r="N25" i="34" s="1"/>
  <c r="X16" i="46"/>
  <c r="N17" i="34" s="1"/>
  <c r="H66" i="47"/>
  <c r="F67" i="35" s="1"/>
  <c r="H58" i="47"/>
  <c r="F59" i="35" s="1"/>
  <c r="H50" i="47"/>
  <c r="F51" i="35" s="1"/>
  <c r="H42" i="47"/>
  <c r="F43" i="35" s="1"/>
  <c r="H34" i="47"/>
  <c r="F35" i="35" s="1"/>
  <c r="H26" i="47"/>
  <c r="F27" i="35" s="1"/>
  <c r="H18" i="47"/>
  <c r="F19" i="35" s="1"/>
  <c r="P70" i="47"/>
  <c r="J71" i="35" s="1"/>
  <c r="P54" i="47"/>
  <c r="J55" i="35" s="1"/>
  <c r="P46" i="47"/>
  <c r="J47" i="35" s="1"/>
  <c r="P30" i="47"/>
  <c r="J31" i="35" s="1"/>
  <c r="P22" i="47"/>
  <c r="J23" i="35" s="1"/>
  <c r="X52" i="47"/>
  <c r="N53" i="35" s="1"/>
  <c r="X44" i="47"/>
  <c r="N45" i="35" s="1"/>
  <c r="X36" i="47"/>
  <c r="N37" i="35" s="1"/>
  <c r="X28" i="47"/>
  <c r="N29" i="35" s="1"/>
  <c r="X20" i="47"/>
  <c r="N21" i="35" s="1"/>
  <c r="F18" i="37"/>
  <c r="F61" i="37"/>
  <c r="F73" i="37"/>
  <c r="J16" i="37"/>
  <c r="F41" i="37"/>
  <c r="F44" i="37"/>
  <c r="H33" i="46"/>
  <c r="F34" i="34" s="1"/>
  <c r="H25" i="46"/>
  <c r="F26" i="34" s="1"/>
  <c r="H17" i="46"/>
  <c r="F18" i="34" s="1"/>
  <c r="P61" i="46"/>
  <c r="J62" i="34" s="1"/>
  <c r="P53" i="46"/>
  <c r="J54" i="34" s="1"/>
  <c r="P45" i="46"/>
  <c r="J46" i="34" s="1"/>
  <c r="P37" i="46"/>
  <c r="J38" i="34" s="1"/>
  <c r="P29" i="46"/>
  <c r="J30" i="34" s="1"/>
  <c r="P21" i="46"/>
  <c r="J22" i="34" s="1"/>
  <c r="X71" i="46"/>
  <c r="N72" i="34" s="1"/>
  <c r="X63" i="46"/>
  <c r="N64" i="34" s="1"/>
  <c r="X55" i="46"/>
  <c r="N56" i="34" s="1"/>
  <c r="X47" i="46"/>
  <c r="N48" i="34" s="1"/>
  <c r="X39" i="46"/>
  <c r="N40" i="34" s="1"/>
  <c r="X31" i="46"/>
  <c r="N32" i="34" s="1"/>
  <c r="X23" i="46"/>
  <c r="N24" i="34" s="1"/>
  <c r="H65" i="47"/>
  <c r="F66" i="35" s="1"/>
  <c r="H57" i="47"/>
  <c r="F58" i="35" s="1"/>
  <c r="H49" i="47"/>
  <c r="F50" i="35" s="1"/>
  <c r="H41" i="47"/>
  <c r="F42" i="35" s="1"/>
  <c r="H33" i="47"/>
  <c r="F34" i="35" s="1"/>
  <c r="H25" i="47"/>
  <c r="F26" i="35" s="1"/>
  <c r="H17" i="47"/>
  <c r="F18" i="35" s="1"/>
  <c r="P69" i="47"/>
  <c r="J70" i="35" s="1"/>
  <c r="P61" i="47"/>
  <c r="J62" i="35" s="1"/>
  <c r="P53" i="47"/>
  <c r="J54" i="35" s="1"/>
  <c r="P45" i="47"/>
  <c r="J46" i="35" s="1"/>
  <c r="P37" i="47"/>
  <c r="J38" i="35" s="1"/>
  <c r="P29" i="47"/>
  <c r="J30" i="35" s="1"/>
  <c r="P21" i="47"/>
  <c r="J22" i="35" s="1"/>
  <c r="AA15" i="47"/>
  <c r="O16" i="35" s="1"/>
  <c r="X67" i="47"/>
  <c r="N68" i="35" s="1"/>
  <c r="X59" i="47"/>
  <c r="N60" i="35" s="1"/>
  <c r="X51" i="47"/>
  <c r="N52" i="35" s="1"/>
  <c r="X43" i="47"/>
  <c r="N44" i="35" s="1"/>
  <c r="X35" i="47"/>
  <c r="N36" i="35" s="1"/>
  <c r="X27" i="47"/>
  <c r="N28" i="35" s="1"/>
  <c r="X19" i="47"/>
  <c r="N20" i="35" s="1"/>
  <c r="F42" i="37"/>
  <c r="F56" i="37"/>
  <c r="F26" i="37"/>
  <c r="F24" i="37"/>
  <c r="F34" i="37"/>
  <c r="F70" i="37"/>
  <c r="F49" i="37"/>
  <c r="F52" i="37"/>
  <c r="F22" i="37"/>
  <c r="H56" i="46"/>
  <c r="F57" i="34" s="1"/>
  <c r="H48" i="46"/>
  <c r="F49" i="34" s="1"/>
  <c r="H40" i="46"/>
  <c r="F41" i="34" s="1"/>
  <c r="H32" i="46"/>
  <c r="F33" i="34" s="1"/>
  <c r="H24" i="46"/>
  <c r="F25" i="34" s="1"/>
  <c r="H16" i="46"/>
  <c r="F17" i="34" s="1"/>
  <c r="P68" i="46"/>
  <c r="J69" i="34" s="1"/>
  <c r="P60" i="46"/>
  <c r="J61" i="34" s="1"/>
  <c r="P52" i="46"/>
  <c r="J53" i="34" s="1"/>
  <c r="P44" i="46"/>
  <c r="J45" i="34" s="1"/>
  <c r="P36" i="46"/>
  <c r="J37" i="34" s="1"/>
  <c r="P28" i="46"/>
  <c r="J29" i="34" s="1"/>
  <c r="P20" i="46"/>
  <c r="J21" i="34" s="1"/>
  <c r="X70" i="46"/>
  <c r="N71" i="34" s="1"/>
  <c r="X62" i="46"/>
  <c r="N63" i="34" s="1"/>
  <c r="X54" i="46"/>
  <c r="N55" i="34" s="1"/>
  <c r="X46" i="46"/>
  <c r="N47" i="34" s="1"/>
  <c r="X38" i="46"/>
  <c r="N39" i="34" s="1"/>
  <c r="X30" i="46"/>
  <c r="N31" i="34" s="1"/>
  <c r="X22" i="46"/>
  <c r="N23" i="34" s="1"/>
  <c r="H72" i="47"/>
  <c r="F73" i="35" s="1"/>
  <c r="H64" i="47"/>
  <c r="F65" i="35" s="1"/>
  <c r="H56" i="47"/>
  <c r="F57" i="35" s="1"/>
  <c r="H48" i="47"/>
  <c r="F49" i="35" s="1"/>
  <c r="H40" i="47"/>
  <c r="F41" i="35" s="1"/>
  <c r="H32" i="47"/>
  <c r="F33" i="35" s="1"/>
  <c r="H24" i="47"/>
  <c r="F25" i="35" s="1"/>
  <c r="H16" i="47"/>
  <c r="F17" i="35" s="1"/>
  <c r="P68" i="47"/>
  <c r="P52" i="47"/>
  <c r="P44" i="47"/>
  <c r="J45" i="35" s="1"/>
  <c r="P28" i="47"/>
  <c r="P20" i="47"/>
  <c r="X66" i="47"/>
  <c r="N67" i="35" s="1"/>
  <c r="X58" i="47"/>
  <c r="N59" i="35" s="1"/>
  <c r="X50" i="47"/>
  <c r="N51" i="35" s="1"/>
  <c r="X42" i="47"/>
  <c r="N43" i="35" s="1"/>
  <c r="X34" i="47"/>
  <c r="N35" i="35" s="1"/>
  <c r="X26" i="47"/>
  <c r="N27" i="35" s="1"/>
  <c r="X18" i="47"/>
  <c r="N19" i="35" s="1"/>
  <c r="F66" i="37"/>
  <c r="F68" i="37"/>
  <c r="F21" i="37"/>
  <c r="F35" i="37"/>
  <c r="F38" i="37"/>
  <c r="F39" i="37"/>
  <c r="F32" i="37"/>
  <c r="F58" i="37"/>
  <c r="F65" i="37"/>
  <c r="F60" i="37"/>
  <c r="F31" i="37"/>
  <c r="F19" i="36"/>
  <c r="H71" i="46"/>
  <c r="F72" i="34" s="1"/>
  <c r="H63" i="46"/>
  <c r="F64" i="34" s="1"/>
  <c r="H55" i="46"/>
  <c r="F56" i="34" s="1"/>
  <c r="H47" i="46"/>
  <c r="F48" i="34" s="1"/>
  <c r="H39" i="46"/>
  <c r="F40" i="34" s="1"/>
  <c r="H31" i="46"/>
  <c r="F32" i="34" s="1"/>
  <c r="H23" i="46"/>
  <c r="F24" i="34" s="1"/>
  <c r="P67" i="46"/>
  <c r="J68" i="34" s="1"/>
  <c r="P59" i="46"/>
  <c r="J60" i="34" s="1"/>
  <c r="P51" i="46"/>
  <c r="J52" i="34" s="1"/>
  <c r="P43" i="46"/>
  <c r="J44" i="34" s="1"/>
  <c r="P35" i="46"/>
  <c r="J36" i="34" s="1"/>
  <c r="P27" i="46"/>
  <c r="J28" i="34" s="1"/>
  <c r="P19" i="46"/>
  <c r="J20" i="34" s="1"/>
  <c r="X69" i="46"/>
  <c r="N70" i="34" s="1"/>
  <c r="X61" i="46"/>
  <c r="N62" i="34" s="1"/>
  <c r="X53" i="46"/>
  <c r="N54" i="34" s="1"/>
  <c r="X45" i="46"/>
  <c r="N46" i="34" s="1"/>
  <c r="X37" i="46"/>
  <c r="N38" i="34" s="1"/>
  <c r="X29" i="46"/>
  <c r="N30" i="34" s="1"/>
  <c r="X21" i="46"/>
  <c r="N22" i="34" s="1"/>
  <c r="H71" i="47"/>
  <c r="F72" i="35" s="1"/>
  <c r="H63" i="47"/>
  <c r="F64" i="35" s="1"/>
  <c r="H55" i="47"/>
  <c r="F56" i="35" s="1"/>
  <c r="H47" i="47"/>
  <c r="F48" i="35" s="1"/>
  <c r="H39" i="47"/>
  <c r="F40" i="35" s="1"/>
  <c r="H31" i="47"/>
  <c r="F32" i="35" s="1"/>
  <c r="H23" i="47"/>
  <c r="F24" i="35" s="1"/>
  <c r="P59" i="47"/>
  <c r="P51" i="47"/>
  <c r="J52" i="35" s="1"/>
  <c r="P43" i="47"/>
  <c r="J44" i="35" s="1"/>
  <c r="P35" i="47"/>
  <c r="J36" i="35" s="1"/>
  <c r="P27" i="47"/>
  <c r="P19" i="47"/>
  <c r="X65" i="47"/>
  <c r="N66" i="35" s="1"/>
  <c r="X57" i="47"/>
  <c r="N58" i="35" s="1"/>
  <c r="X49" i="47"/>
  <c r="N50" i="35" s="1"/>
  <c r="X41" i="47"/>
  <c r="N42" i="35" s="1"/>
  <c r="X33" i="47"/>
  <c r="N34" i="35" s="1"/>
  <c r="X25" i="47"/>
  <c r="N26" i="35" s="1"/>
  <c r="X17" i="47"/>
  <c r="N18" i="35" s="1"/>
  <c r="F23" i="37"/>
  <c r="F33" i="37"/>
  <c r="F50" i="37"/>
  <c r="F51" i="37"/>
  <c r="F40" i="37"/>
  <c r="H70" i="46"/>
  <c r="F71" i="34" s="1"/>
  <c r="H62" i="46"/>
  <c r="F63" i="34" s="1"/>
  <c r="H54" i="46"/>
  <c r="F55" i="34" s="1"/>
  <c r="H46" i="46"/>
  <c r="F47" i="34" s="1"/>
  <c r="H38" i="46"/>
  <c r="F39" i="34" s="1"/>
  <c r="H30" i="46"/>
  <c r="F31" i="34" s="1"/>
  <c r="H22" i="46"/>
  <c r="F23" i="34" s="1"/>
  <c r="P66" i="46"/>
  <c r="J67" i="34" s="1"/>
  <c r="P58" i="46"/>
  <c r="J59" i="34" s="1"/>
  <c r="P50" i="46"/>
  <c r="J51" i="34" s="1"/>
  <c r="P42" i="46"/>
  <c r="J43" i="34" s="1"/>
  <c r="P34" i="46"/>
  <c r="J35" i="34" s="1"/>
  <c r="P26" i="46"/>
  <c r="J27" i="34" s="1"/>
  <c r="P18" i="46"/>
  <c r="J19" i="34" s="1"/>
  <c r="X68" i="46"/>
  <c r="N69" i="34" s="1"/>
  <c r="X60" i="46"/>
  <c r="N61" i="34" s="1"/>
  <c r="X52" i="46"/>
  <c r="N53" i="34" s="1"/>
  <c r="X44" i="46"/>
  <c r="N45" i="34" s="1"/>
  <c r="X36" i="46"/>
  <c r="N37" i="34" s="1"/>
  <c r="X28" i="46"/>
  <c r="N29" i="34" s="1"/>
  <c r="X20" i="46"/>
  <c r="N21" i="34" s="1"/>
  <c r="H70" i="47"/>
  <c r="F71" i="35" s="1"/>
  <c r="H62" i="47"/>
  <c r="F63" i="35" s="1"/>
  <c r="H54" i="47"/>
  <c r="F55" i="35" s="1"/>
  <c r="H46" i="47"/>
  <c r="F47" i="35" s="1"/>
  <c r="H38" i="47"/>
  <c r="F39" i="35" s="1"/>
  <c r="H30" i="47"/>
  <c r="F31" i="35" s="1"/>
  <c r="H22" i="47"/>
  <c r="F23" i="35" s="1"/>
  <c r="P66" i="47"/>
  <c r="J67" i="35" s="1"/>
  <c r="P58" i="47"/>
  <c r="P50" i="47"/>
  <c r="J51" i="35" s="1"/>
  <c r="P42" i="47"/>
  <c r="J43" i="35" s="1"/>
  <c r="P34" i="47"/>
  <c r="J35" i="35" s="1"/>
  <c r="P18" i="47"/>
  <c r="J19" i="35" s="1"/>
  <c r="X72" i="47"/>
  <c r="N73" i="35" s="1"/>
  <c r="X64" i="47"/>
  <c r="N65" i="35" s="1"/>
  <c r="X56" i="47"/>
  <c r="N57" i="35" s="1"/>
  <c r="X48" i="47"/>
  <c r="N49" i="35" s="1"/>
  <c r="X40" i="47"/>
  <c r="N41" i="35" s="1"/>
  <c r="X32" i="47"/>
  <c r="N33" i="35" s="1"/>
  <c r="X24" i="47"/>
  <c r="N25" i="35" s="1"/>
  <c r="X16" i="47"/>
  <c r="N17" i="35" s="1"/>
  <c r="F47" i="37"/>
  <c r="F45" i="37"/>
  <c r="F71" i="37"/>
  <c r="F62" i="37"/>
  <c r="F63" i="37"/>
  <c r="F48" i="37"/>
  <c r="AA70" i="47"/>
  <c r="O71" i="35" s="1"/>
  <c r="AA62" i="47"/>
  <c r="O63" i="35" s="1"/>
  <c r="AA54" i="47"/>
  <c r="O55" i="35" s="1"/>
  <c r="AA46" i="47"/>
  <c r="O47" i="35" s="1"/>
  <c r="AA38" i="47"/>
  <c r="O39" i="35" s="1"/>
  <c r="AA30" i="47"/>
  <c r="O31" i="35" s="1"/>
  <c r="AA22" i="47"/>
  <c r="O23" i="35" s="1"/>
  <c r="AA28" i="46"/>
  <c r="O29" i="34" s="1"/>
  <c r="AA69" i="46"/>
  <c r="O70" i="34" s="1"/>
  <c r="AA61" i="46"/>
  <c r="O62" i="34" s="1"/>
  <c r="AA53" i="46"/>
  <c r="O54" i="34" s="1"/>
  <c r="AA45" i="46"/>
  <c r="O46" i="34" s="1"/>
  <c r="AA37" i="46"/>
  <c r="O38" i="34" s="1"/>
  <c r="AA29" i="46"/>
  <c r="O30" i="34" s="1"/>
  <c r="AA21" i="46"/>
  <c r="O22" i="34" s="1"/>
  <c r="AA71" i="47"/>
  <c r="O72" i="35" s="1"/>
  <c r="AA63" i="47"/>
  <c r="O64" i="35" s="1"/>
  <c r="AA55" i="47"/>
  <c r="O56" i="35" s="1"/>
  <c r="AA47" i="47"/>
  <c r="O48" i="35" s="1"/>
  <c r="AA39" i="47"/>
  <c r="O40" i="35" s="1"/>
  <c r="AA31" i="47"/>
  <c r="O32" i="35" s="1"/>
  <c r="AA23" i="47"/>
  <c r="O24" i="35" s="1"/>
  <c r="AA44" i="46"/>
  <c r="O45" i="34" s="1"/>
  <c r="AA67" i="46"/>
  <c r="O68" i="34" s="1"/>
  <c r="AA59" i="46"/>
  <c r="O60" i="34" s="1"/>
  <c r="AA51" i="46"/>
  <c r="O52" i="34" s="1"/>
  <c r="AA43" i="46"/>
  <c r="O44" i="34" s="1"/>
  <c r="AA35" i="46"/>
  <c r="O36" i="34" s="1"/>
  <c r="AA27" i="46"/>
  <c r="O28" i="34" s="1"/>
  <c r="AA19" i="46"/>
  <c r="O20" i="34" s="1"/>
  <c r="AA69" i="47"/>
  <c r="O70" i="35" s="1"/>
  <c r="AA61" i="47"/>
  <c r="O62" i="35" s="1"/>
  <c r="AA53" i="47"/>
  <c r="O54" i="35" s="1"/>
  <c r="AA45" i="47"/>
  <c r="O46" i="35" s="1"/>
  <c r="AA37" i="47"/>
  <c r="O38" i="35" s="1"/>
  <c r="AA29" i="47"/>
  <c r="O30" i="35" s="1"/>
  <c r="AA21" i="47"/>
  <c r="O22" i="35" s="1"/>
  <c r="AA36" i="46"/>
  <c r="O37" i="34" s="1"/>
  <c r="AA66" i="46"/>
  <c r="O67" i="34" s="1"/>
  <c r="AA58" i="46"/>
  <c r="O59" i="34" s="1"/>
  <c r="AA50" i="46"/>
  <c r="O51" i="34" s="1"/>
  <c r="AA42" i="46"/>
  <c r="O43" i="34" s="1"/>
  <c r="AA34" i="46"/>
  <c r="O35" i="34" s="1"/>
  <c r="AA26" i="46"/>
  <c r="O27" i="34" s="1"/>
  <c r="AA18" i="46"/>
  <c r="O19" i="34" s="1"/>
  <c r="AA68" i="47"/>
  <c r="O69" i="35" s="1"/>
  <c r="AA60" i="47"/>
  <c r="O61" i="35" s="1"/>
  <c r="AA52" i="47"/>
  <c r="O53" i="35" s="1"/>
  <c r="AA44" i="47"/>
  <c r="O45" i="35" s="1"/>
  <c r="AA36" i="47"/>
  <c r="O37" i="35" s="1"/>
  <c r="AA28" i="47"/>
  <c r="O29" i="35" s="1"/>
  <c r="AA20" i="47"/>
  <c r="O21" i="35" s="1"/>
  <c r="AA68" i="46"/>
  <c r="O69" i="34" s="1"/>
  <c r="AA15" i="46"/>
  <c r="O16" i="34" s="1"/>
  <c r="AA65" i="46"/>
  <c r="O66" i="34" s="1"/>
  <c r="AA57" i="46"/>
  <c r="O58" i="34" s="1"/>
  <c r="AA49" i="46"/>
  <c r="O50" i="34" s="1"/>
  <c r="AA41" i="46"/>
  <c r="O42" i="34" s="1"/>
  <c r="AA33" i="46"/>
  <c r="O34" i="34" s="1"/>
  <c r="AA25" i="46"/>
  <c r="O26" i="34" s="1"/>
  <c r="AA17" i="46"/>
  <c r="O18" i="34" s="1"/>
  <c r="AA67" i="47"/>
  <c r="O68" i="35" s="1"/>
  <c r="AA59" i="47"/>
  <c r="O60" i="35" s="1"/>
  <c r="AA51" i="47"/>
  <c r="O52" i="35" s="1"/>
  <c r="AA43" i="47"/>
  <c r="O44" i="35" s="1"/>
  <c r="AA35" i="47"/>
  <c r="O36" i="35" s="1"/>
  <c r="AA27" i="47"/>
  <c r="O28" i="35" s="1"/>
  <c r="AA19" i="47"/>
  <c r="O20" i="35" s="1"/>
  <c r="AA20" i="46"/>
  <c r="O21" i="34" s="1"/>
  <c r="I15" i="43"/>
  <c r="AA72" i="46"/>
  <c r="O73" i="34" s="1"/>
  <c r="AA64" i="46"/>
  <c r="O65" i="34" s="1"/>
  <c r="AA56" i="46"/>
  <c r="O57" i="34" s="1"/>
  <c r="AA48" i="46"/>
  <c r="O49" i="34" s="1"/>
  <c r="AA40" i="46"/>
  <c r="O41" i="34" s="1"/>
  <c r="AA32" i="46"/>
  <c r="O33" i="34" s="1"/>
  <c r="AA24" i="46"/>
  <c r="O25" i="34" s="1"/>
  <c r="AA16" i="46"/>
  <c r="O17" i="34" s="1"/>
  <c r="AA66" i="47"/>
  <c r="O67" i="35" s="1"/>
  <c r="AA58" i="47"/>
  <c r="O59" i="35" s="1"/>
  <c r="AA50" i="47"/>
  <c r="O51" i="35" s="1"/>
  <c r="AA42" i="47"/>
  <c r="O43" i="35" s="1"/>
  <c r="AA34" i="47"/>
  <c r="O35" i="35" s="1"/>
  <c r="AA26" i="47"/>
  <c r="O27" i="35" s="1"/>
  <c r="AA18" i="47"/>
  <c r="O19" i="35" s="1"/>
  <c r="AA60" i="46"/>
  <c r="O61" i="34" s="1"/>
  <c r="AA71" i="46"/>
  <c r="O72" i="34" s="1"/>
  <c r="AA63" i="46"/>
  <c r="O64" i="34" s="1"/>
  <c r="AA55" i="46"/>
  <c r="O56" i="34" s="1"/>
  <c r="AA47" i="46"/>
  <c r="O48" i="34" s="1"/>
  <c r="AA39" i="46"/>
  <c r="O40" i="34" s="1"/>
  <c r="AA31" i="46"/>
  <c r="O32" i="34" s="1"/>
  <c r="AA23" i="46"/>
  <c r="O24" i="34" s="1"/>
  <c r="AA65" i="47"/>
  <c r="O66" i="35" s="1"/>
  <c r="AA57" i="47"/>
  <c r="O58" i="35" s="1"/>
  <c r="AA49" i="47"/>
  <c r="O50" i="35" s="1"/>
  <c r="AA41" i="47"/>
  <c r="O42" i="35" s="1"/>
  <c r="AA33" i="47"/>
  <c r="O34" i="35" s="1"/>
  <c r="AA25" i="47"/>
  <c r="O26" i="35" s="1"/>
  <c r="AA17" i="47"/>
  <c r="O18" i="35" s="1"/>
  <c r="AA52" i="46"/>
  <c r="O53" i="34" s="1"/>
  <c r="AA70" i="46"/>
  <c r="O71" i="34" s="1"/>
  <c r="AA62" i="46"/>
  <c r="O63" i="34" s="1"/>
  <c r="AA54" i="46"/>
  <c r="O55" i="34" s="1"/>
  <c r="AA46" i="46"/>
  <c r="O47" i="34" s="1"/>
  <c r="AA38" i="46"/>
  <c r="O39" i="34" s="1"/>
  <c r="AA30" i="46"/>
  <c r="O31" i="34" s="1"/>
  <c r="AA22" i="46"/>
  <c r="O23" i="34" s="1"/>
  <c r="AA72" i="47"/>
  <c r="O73" i="35" s="1"/>
  <c r="AA64" i="47"/>
  <c r="O65" i="35" s="1"/>
  <c r="AA56" i="47"/>
  <c r="O57" i="35" s="1"/>
  <c r="AA48" i="47"/>
  <c r="O49" i="35" s="1"/>
  <c r="AA40" i="47"/>
  <c r="O41" i="35" s="1"/>
  <c r="AA32" i="47"/>
  <c r="O33" i="35" s="1"/>
  <c r="AA24" i="47"/>
  <c r="O25" i="35" s="1"/>
  <c r="AA16" i="47"/>
  <c r="O17" i="35" s="1"/>
  <c r="J68" i="35"/>
  <c r="G73" i="46"/>
  <c r="H15" i="46"/>
  <c r="O73" i="46"/>
  <c r="P73" i="48"/>
  <c r="J16" i="36"/>
  <c r="H73" i="49"/>
  <c r="P73" i="49"/>
  <c r="P72" i="47"/>
  <c r="P60" i="47"/>
  <c r="P48" i="47"/>
  <c r="P36" i="47"/>
  <c r="P24" i="47"/>
  <c r="O73" i="47"/>
  <c r="P62" i="47"/>
  <c r="P38" i="47"/>
  <c r="P26" i="47"/>
  <c r="P15" i="47"/>
  <c r="G73" i="47"/>
  <c r="F73" i="46"/>
  <c r="H20" i="20"/>
  <c r="F21" i="41"/>
  <c r="F22" i="30" s="1"/>
  <c r="F22" i="41"/>
  <c r="F23" i="30" s="1"/>
  <c r="F23" i="41"/>
  <c r="F24" i="30" s="1"/>
  <c r="F24" i="41"/>
  <c r="F25" i="30" s="1"/>
  <c r="F20" i="41"/>
  <c r="F21" i="30" s="1"/>
  <c r="E21" i="41"/>
  <c r="E22" i="30" s="1"/>
  <c r="E22" i="41"/>
  <c r="E23" i="30" s="1"/>
  <c r="E23" i="41"/>
  <c r="E24" i="30" s="1"/>
  <c r="E24" i="41"/>
  <c r="E25" i="30" s="1"/>
  <c r="E20" i="41"/>
  <c r="E21" i="30" s="1"/>
  <c r="D21" i="41"/>
  <c r="D22" i="30" s="1"/>
  <c r="D22" i="41"/>
  <c r="D23" i="30" s="1"/>
  <c r="D23" i="41"/>
  <c r="D24" i="30" s="1"/>
  <c r="D24" i="41"/>
  <c r="D25" i="30" s="1"/>
  <c r="D20" i="41"/>
  <c r="B21" i="41"/>
  <c r="B22" i="30" s="1"/>
  <c r="B22" i="41"/>
  <c r="B23" i="30" s="1"/>
  <c r="B23" i="41"/>
  <c r="B24" i="30" s="1"/>
  <c r="B24" i="41"/>
  <c r="B25" i="30" s="1"/>
  <c r="B20" i="41"/>
  <c r="B21" i="30" s="1"/>
  <c r="D9" i="30"/>
  <c r="H20" i="41"/>
  <c r="G21" i="41"/>
  <c r="G22" i="41"/>
  <c r="G23" i="41"/>
  <c r="G24" i="41"/>
  <c r="G20" i="41"/>
  <c r="J20" i="41" s="1"/>
  <c r="K15" i="43" l="1"/>
  <c r="K27" i="43" s="1"/>
  <c r="H73" i="47"/>
  <c r="J60" i="35"/>
  <c r="J20" i="35"/>
  <c r="J29" i="35"/>
  <c r="J23" i="34"/>
  <c r="J28" i="35"/>
  <c r="F16" i="34"/>
  <c r="I20" i="41"/>
  <c r="G21" i="30" s="1"/>
  <c r="H21" i="30" s="1"/>
  <c r="J59" i="35"/>
  <c r="J21" i="35"/>
  <c r="P73" i="46"/>
  <c r="J53" i="35"/>
  <c r="J69" i="35"/>
  <c r="E16" i="32"/>
  <c r="F16" i="32" s="1"/>
  <c r="J37" i="35"/>
  <c r="H73" i="46"/>
  <c r="P73" i="47"/>
  <c r="J25" i="35"/>
  <c r="J49" i="35"/>
  <c r="J16" i="35"/>
  <c r="J61" i="35"/>
  <c r="J27" i="35"/>
  <c r="J73" i="35"/>
  <c r="J39" i="35"/>
  <c r="J63" i="35"/>
  <c r="K29" i="41"/>
  <c r="K30" i="41"/>
  <c r="D21" i="30"/>
  <c r="K20" i="41" l="1"/>
  <c r="K98" i="40"/>
  <c r="J98" i="40"/>
  <c r="R24" i="40"/>
  <c r="O24" i="40"/>
  <c r="F28" i="32"/>
  <c r="I89" i="40" s="1"/>
  <c r="E89" i="29" s="1"/>
  <c r="L98" i="40" l="1"/>
  <c r="F98" i="29" s="1"/>
  <c r="H24" i="29"/>
  <c r="G24" i="29"/>
  <c r="N30" i="40"/>
  <c r="T94" i="40"/>
  <c r="T85" i="40"/>
  <c r="T84" i="40"/>
  <c r="T83" i="40"/>
  <c r="T82" i="40"/>
  <c r="T78" i="40"/>
  <c r="T77" i="40"/>
  <c r="T76" i="40"/>
  <c r="T75" i="40"/>
  <c r="T74" i="40"/>
  <c r="T73" i="40"/>
  <c r="T72" i="40"/>
  <c r="T71" i="40"/>
  <c r="T67" i="40"/>
  <c r="T66" i="40"/>
  <c r="T65" i="40"/>
  <c r="T64" i="40"/>
  <c r="T63" i="40"/>
  <c r="T62" i="40"/>
  <c r="T61" i="40"/>
  <c r="T57" i="40"/>
  <c r="T56" i="40"/>
  <c r="T55" i="40"/>
  <c r="T54" i="40"/>
  <c r="T50" i="40"/>
  <c r="T48" i="40"/>
  <c r="T47" i="40"/>
  <c r="T46" i="40"/>
  <c r="T45" i="40"/>
  <c r="T44" i="40"/>
  <c r="T38" i="40"/>
  <c r="T37" i="40"/>
  <c r="T36" i="40"/>
  <c r="T30" i="40"/>
  <c r="T29" i="40"/>
  <c r="T28" i="40"/>
  <c r="T20" i="40"/>
  <c r="T19" i="40"/>
  <c r="T14" i="40"/>
  <c r="T15" i="40"/>
  <c r="T13" i="40"/>
  <c r="Q13" i="40"/>
  <c r="E13" i="40"/>
  <c r="H13" i="40"/>
  <c r="Q94" i="40"/>
  <c r="Q78" i="40"/>
  <c r="Q77" i="40"/>
  <c r="Q76" i="40"/>
  <c r="Q75" i="40"/>
  <c r="Q74" i="40"/>
  <c r="Q73" i="40"/>
  <c r="Q72" i="40"/>
  <c r="Q71" i="40"/>
  <c r="Q67" i="40"/>
  <c r="Q66" i="40"/>
  <c r="Q65" i="40"/>
  <c r="Q64" i="40"/>
  <c r="Q63" i="40"/>
  <c r="Q62" i="40"/>
  <c r="Q61" i="40"/>
  <c r="Q57" i="40"/>
  <c r="Q56" i="40"/>
  <c r="Q55" i="40"/>
  <c r="Q54" i="40"/>
  <c r="Q50" i="40"/>
  <c r="Q48" i="40"/>
  <c r="Q47" i="40"/>
  <c r="Q46" i="40"/>
  <c r="Q45" i="40"/>
  <c r="Q44" i="40"/>
  <c r="Q38" i="40"/>
  <c r="Q37" i="40"/>
  <c r="Q36" i="40"/>
  <c r="Q30" i="40"/>
  <c r="Q29" i="40"/>
  <c r="Q28" i="40"/>
  <c r="Q20" i="40"/>
  <c r="Q19" i="40"/>
  <c r="Q15" i="40"/>
  <c r="Q14" i="40"/>
  <c r="N94" i="40"/>
  <c r="N78" i="40"/>
  <c r="N77" i="40"/>
  <c r="N76" i="40"/>
  <c r="N75" i="40"/>
  <c r="N74" i="40"/>
  <c r="N73" i="40"/>
  <c r="N72" i="40"/>
  <c r="N71" i="40"/>
  <c r="N67" i="40"/>
  <c r="N66" i="40"/>
  <c r="N65" i="40"/>
  <c r="N64" i="40"/>
  <c r="N63" i="40"/>
  <c r="N62" i="40"/>
  <c r="N61" i="40"/>
  <c r="N57" i="40"/>
  <c r="N56" i="40"/>
  <c r="N55" i="40"/>
  <c r="N54" i="40"/>
  <c r="N50" i="40"/>
  <c r="N48" i="40"/>
  <c r="N47" i="40"/>
  <c r="N46" i="40"/>
  <c r="N45" i="40"/>
  <c r="N44" i="40"/>
  <c r="N38" i="40"/>
  <c r="N37" i="40"/>
  <c r="N36" i="40"/>
  <c r="N20" i="40"/>
  <c r="N19" i="40"/>
  <c r="N15" i="40"/>
  <c r="N14" i="40"/>
  <c r="N13" i="40"/>
  <c r="K13" i="40"/>
  <c r="K94" i="40"/>
  <c r="K78" i="40"/>
  <c r="K77" i="40"/>
  <c r="K76" i="40"/>
  <c r="K75" i="40"/>
  <c r="K74" i="40"/>
  <c r="K73" i="40"/>
  <c r="K72" i="40"/>
  <c r="K71" i="40"/>
  <c r="K67" i="40"/>
  <c r="K66" i="40"/>
  <c r="K65" i="40"/>
  <c r="K64" i="40"/>
  <c r="K63" i="40"/>
  <c r="K62" i="40"/>
  <c r="K61" i="40"/>
  <c r="K57" i="40"/>
  <c r="K56" i="40"/>
  <c r="K55" i="40"/>
  <c r="K54" i="40"/>
  <c r="K50" i="40"/>
  <c r="K48" i="40"/>
  <c r="K47" i="40"/>
  <c r="K46" i="40"/>
  <c r="K45" i="40"/>
  <c r="K44" i="40"/>
  <c r="K38" i="40"/>
  <c r="K37" i="40"/>
  <c r="K36" i="40"/>
  <c r="K30" i="40"/>
  <c r="K29" i="40"/>
  <c r="K28" i="40"/>
  <c r="K20" i="40"/>
  <c r="K19" i="40"/>
  <c r="K15" i="40"/>
  <c r="K14" i="40"/>
  <c r="H78" i="40"/>
  <c r="H77" i="40"/>
  <c r="H76" i="40"/>
  <c r="H75" i="40"/>
  <c r="H74" i="40"/>
  <c r="H73" i="40"/>
  <c r="H72" i="40"/>
  <c r="H71" i="40"/>
  <c r="H67" i="40"/>
  <c r="H66" i="40"/>
  <c r="H65" i="40"/>
  <c r="H64" i="40"/>
  <c r="H63" i="40"/>
  <c r="H62" i="40"/>
  <c r="H61" i="40"/>
  <c r="H57" i="40"/>
  <c r="H56" i="40"/>
  <c r="H55" i="40"/>
  <c r="H54" i="40"/>
  <c r="H50" i="40"/>
  <c r="H48" i="40"/>
  <c r="H47" i="40"/>
  <c r="H46" i="40"/>
  <c r="H45" i="40"/>
  <c r="H44" i="40"/>
  <c r="H38" i="40"/>
  <c r="H37" i="40"/>
  <c r="H36" i="40"/>
  <c r="H30" i="40"/>
  <c r="H29" i="40"/>
  <c r="H28" i="40"/>
  <c r="H20" i="40"/>
  <c r="H19" i="40"/>
  <c r="H15" i="40"/>
  <c r="H14" i="40"/>
  <c r="E20" i="40"/>
  <c r="E19" i="40"/>
  <c r="E14" i="40"/>
  <c r="E15" i="40"/>
  <c r="T90" i="40"/>
  <c r="Q90" i="40"/>
  <c r="N90" i="40"/>
  <c r="K90" i="40"/>
  <c r="H90" i="40"/>
  <c r="I90" i="40"/>
  <c r="Q79" i="40" l="1"/>
  <c r="W48" i="40"/>
  <c r="N28" i="40"/>
  <c r="N29" i="40"/>
  <c r="T39" i="40"/>
  <c r="Q58" i="40"/>
  <c r="N51" i="40"/>
  <c r="Q51" i="40"/>
  <c r="Q68" i="40"/>
  <c r="T51" i="40"/>
  <c r="T86" i="40"/>
  <c r="N39" i="40"/>
  <c r="Q39" i="40"/>
  <c r="T31" i="40"/>
  <c r="W13" i="40"/>
  <c r="T79" i="40"/>
  <c r="T68" i="40"/>
  <c r="T58" i="40"/>
  <c r="Q31" i="40"/>
  <c r="N79" i="40"/>
  <c r="N68" i="40"/>
  <c r="N58" i="40"/>
  <c r="K58" i="40"/>
  <c r="K79" i="40"/>
  <c r="K68" i="40"/>
  <c r="K51" i="40"/>
  <c r="K39" i="40"/>
  <c r="K31" i="40"/>
  <c r="H58" i="40"/>
  <c r="H39" i="40"/>
  <c r="H31" i="40"/>
  <c r="H68" i="40"/>
  <c r="H51" i="40"/>
  <c r="H79" i="40"/>
  <c r="N31" i="40" l="1"/>
  <c r="W31" i="40" s="1"/>
  <c r="V101" i="40"/>
  <c r="X101" i="40" s="1"/>
  <c r="J101" i="29" s="1"/>
  <c r="S94" i="40"/>
  <c r="U94" i="40" s="1"/>
  <c r="I94" i="29" s="1"/>
  <c r="P94" i="40"/>
  <c r="R94" i="40" s="1"/>
  <c r="H94" i="29" s="1"/>
  <c r="M94" i="40"/>
  <c r="O94" i="40" s="1"/>
  <c r="J94" i="40"/>
  <c r="L94" i="40" s="1"/>
  <c r="F94" i="29" s="1"/>
  <c r="S83" i="40"/>
  <c r="U83" i="40" s="1"/>
  <c r="I83" i="29" s="1"/>
  <c r="J83" i="29" s="1"/>
  <c r="S84" i="40"/>
  <c r="V84" i="40" s="1"/>
  <c r="S85" i="40"/>
  <c r="U85" i="40" s="1"/>
  <c r="I85" i="29" s="1"/>
  <c r="J85" i="29" s="1"/>
  <c r="S82" i="40"/>
  <c r="V82" i="40" s="1"/>
  <c r="S72" i="40"/>
  <c r="U72" i="40" s="1"/>
  <c r="I72" i="29" s="1"/>
  <c r="S73" i="40"/>
  <c r="U73" i="40" s="1"/>
  <c r="I73" i="29" s="1"/>
  <c r="S74" i="40"/>
  <c r="U74" i="40" s="1"/>
  <c r="I74" i="29" s="1"/>
  <c r="S75" i="40"/>
  <c r="U75" i="40" s="1"/>
  <c r="I75" i="29" s="1"/>
  <c r="S76" i="40"/>
  <c r="U76" i="40" s="1"/>
  <c r="I76" i="29" s="1"/>
  <c r="S77" i="40"/>
  <c r="U77" i="40" s="1"/>
  <c r="I77" i="29" s="1"/>
  <c r="S78" i="40"/>
  <c r="U78" i="40" s="1"/>
  <c r="I78" i="29" s="1"/>
  <c r="P78" i="40"/>
  <c r="R78" i="40" s="1"/>
  <c r="H78" i="29" s="1"/>
  <c r="P72" i="40"/>
  <c r="R72" i="40" s="1"/>
  <c r="H72" i="29" s="1"/>
  <c r="P73" i="40"/>
  <c r="R73" i="40" s="1"/>
  <c r="H73" i="29" s="1"/>
  <c r="P74" i="40"/>
  <c r="R74" i="40" s="1"/>
  <c r="H74" i="29" s="1"/>
  <c r="P75" i="40"/>
  <c r="R75" i="40" s="1"/>
  <c r="H75" i="29" s="1"/>
  <c r="P76" i="40"/>
  <c r="R76" i="40" s="1"/>
  <c r="H76" i="29" s="1"/>
  <c r="P77" i="40"/>
  <c r="R77" i="40" s="1"/>
  <c r="H77" i="29" s="1"/>
  <c r="M72" i="40"/>
  <c r="O72" i="40" s="1"/>
  <c r="G72" i="29" s="1"/>
  <c r="M73" i="40"/>
  <c r="O73" i="40" s="1"/>
  <c r="G73" i="29" s="1"/>
  <c r="M74" i="40"/>
  <c r="O74" i="40" s="1"/>
  <c r="G74" i="29" s="1"/>
  <c r="M75" i="40"/>
  <c r="O75" i="40" s="1"/>
  <c r="G75" i="29" s="1"/>
  <c r="M76" i="40"/>
  <c r="O76" i="40" s="1"/>
  <c r="G76" i="29" s="1"/>
  <c r="M77" i="40"/>
  <c r="O77" i="40" s="1"/>
  <c r="G77" i="29" s="1"/>
  <c r="M78" i="40"/>
  <c r="O78" i="40" s="1"/>
  <c r="G78" i="29" s="1"/>
  <c r="J72" i="40"/>
  <c r="L72" i="40" s="1"/>
  <c r="F72" i="29" s="1"/>
  <c r="J73" i="40"/>
  <c r="L73" i="40" s="1"/>
  <c r="F73" i="29" s="1"/>
  <c r="J74" i="40"/>
  <c r="L74" i="40" s="1"/>
  <c r="F74" i="29" s="1"/>
  <c r="J75" i="40"/>
  <c r="L75" i="40" s="1"/>
  <c r="F75" i="29" s="1"/>
  <c r="J76" i="40"/>
  <c r="L76" i="40" s="1"/>
  <c r="F76" i="29" s="1"/>
  <c r="J77" i="40"/>
  <c r="L77" i="40" s="1"/>
  <c r="F77" i="29" s="1"/>
  <c r="J78" i="40"/>
  <c r="L78" i="40" s="1"/>
  <c r="F78" i="29" s="1"/>
  <c r="G72" i="40"/>
  <c r="I72" i="40" s="1"/>
  <c r="E72" i="29" s="1"/>
  <c r="G73" i="40"/>
  <c r="I73" i="40" s="1"/>
  <c r="E73" i="29" s="1"/>
  <c r="G74" i="40"/>
  <c r="I74" i="40" s="1"/>
  <c r="E74" i="29" s="1"/>
  <c r="G75" i="40"/>
  <c r="I75" i="40" s="1"/>
  <c r="E75" i="29" s="1"/>
  <c r="G76" i="40"/>
  <c r="I76" i="40" s="1"/>
  <c r="E76" i="29" s="1"/>
  <c r="G77" i="40"/>
  <c r="I77" i="40" s="1"/>
  <c r="E77" i="29" s="1"/>
  <c r="G78" i="40"/>
  <c r="I78" i="40" s="1"/>
  <c r="E78" i="29" s="1"/>
  <c r="S71" i="40"/>
  <c r="U71" i="40" s="1"/>
  <c r="P71" i="40"/>
  <c r="R71" i="40" s="1"/>
  <c r="M71" i="40"/>
  <c r="O71" i="40" s="1"/>
  <c r="J71" i="40"/>
  <c r="L71" i="40" s="1"/>
  <c r="G71" i="40"/>
  <c r="S62" i="40"/>
  <c r="U62" i="40" s="1"/>
  <c r="I62" i="29" s="1"/>
  <c r="S63" i="40"/>
  <c r="U63" i="40" s="1"/>
  <c r="I63" i="29" s="1"/>
  <c r="S64" i="40"/>
  <c r="U64" i="40" s="1"/>
  <c r="I64" i="29" s="1"/>
  <c r="S65" i="40"/>
  <c r="U65" i="40" s="1"/>
  <c r="I65" i="29" s="1"/>
  <c r="S66" i="40"/>
  <c r="U66" i="40" s="1"/>
  <c r="I66" i="29" s="1"/>
  <c r="S67" i="40"/>
  <c r="U67" i="40" s="1"/>
  <c r="I67" i="29" s="1"/>
  <c r="P62" i="40"/>
  <c r="R62" i="40" s="1"/>
  <c r="H62" i="29" s="1"/>
  <c r="P63" i="40"/>
  <c r="R63" i="40" s="1"/>
  <c r="H63" i="29" s="1"/>
  <c r="P64" i="40"/>
  <c r="P65" i="40"/>
  <c r="R65" i="40" s="1"/>
  <c r="H65" i="29" s="1"/>
  <c r="P66" i="40"/>
  <c r="R66" i="40" s="1"/>
  <c r="H66" i="29" s="1"/>
  <c r="P67" i="40"/>
  <c r="R67" i="40" s="1"/>
  <c r="H67" i="29" s="1"/>
  <c r="M62" i="40"/>
  <c r="O62" i="40" s="1"/>
  <c r="G62" i="29" s="1"/>
  <c r="M63" i="40"/>
  <c r="O63" i="40" s="1"/>
  <c r="G63" i="29" s="1"/>
  <c r="M64" i="40"/>
  <c r="M65" i="40"/>
  <c r="O65" i="40" s="1"/>
  <c r="G65" i="29" s="1"/>
  <c r="M66" i="40"/>
  <c r="O66" i="40" s="1"/>
  <c r="G66" i="29" s="1"/>
  <c r="M67" i="40"/>
  <c r="O67" i="40" s="1"/>
  <c r="G67" i="29" s="1"/>
  <c r="J62" i="40"/>
  <c r="L62" i="40" s="1"/>
  <c r="F62" i="29" s="1"/>
  <c r="J63" i="40"/>
  <c r="L63" i="40" s="1"/>
  <c r="F63" i="29" s="1"/>
  <c r="J64" i="40"/>
  <c r="L64" i="40" s="1"/>
  <c r="F64" i="29" s="1"/>
  <c r="J65" i="40"/>
  <c r="J66" i="40"/>
  <c r="L66" i="40" s="1"/>
  <c r="F66" i="29" s="1"/>
  <c r="J67" i="40"/>
  <c r="L67" i="40" s="1"/>
  <c r="F67" i="29" s="1"/>
  <c r="G62" i="40"/>
  <c r="I62" i="40" s="1"/>
  <c r="E62" i="29" s="1"/>
  <c r="G63" i="40"/>
  <c r="I63" i="40" s="1"/>
  <c r="E63" i="29" s="1"/>
  <c r="G64" i="40"/>
  <c r="I64" i="40" s="1"/>
  <c r="E64" i="29" s="1"/>
  <c r="G65" i="40"/>
  <c r="I65" i="40" s="1"/>
  <c r="E65" i="29" s="1"/>
  <c r="G66" i="40"/>
  <c r="I66" i="40" s="1"/>
  <c r="E66" i="29" s="1"/>
  <c r="G67" i="40"/>
  <c r="I67" i="40" s="1"/>
  <c r="E67" i="29" s="1"/>
  <c r="S61" i="40"/>
  <c r="U61" i="40" s="1"/>
  <c r="P61" i="40"/>
  <c r="R61" i="40" s="1"/>
  <c r="H61" i="29" s="1"/>
  <c r="M61" i="40"/>
  <c r="O61" i="40" s="1"/>
  <c r="J61" i="40"/>
  <c r="L61" i="40" s="1"/>
  <c r="G61" i="40"/>
  <c r="I61" i="40" s="1"/>
  <c r="S55" i="40"/>
  <c r="U55" i="40" s="1"/>
  <c r="I55" i="29" s="1"/>
  <c r="S56" i="40"/>
  <c r="U56" i="40" s="1"/>
  <c r="I56" i="29" s="1"/>
  <c r="S57" i="40"/>
  <c r="U57" i="40" s="1"/>
  <c r="I57" i="29" s="1"/>
  <c r="P55" i="40"/>
  <c r="R55" i="40" s="1"/>
  <c r="H55" i="29" s="1"/>
  <c r="P56" i="40"/>
  <c r="R56" i="40" s="1"/>
  <c r="H56" i="29" s="1"/>
  <c r="P57" i="40"/>
  <c r="R57" i="40" s="1"/>
  <c r="H57" i="29" s="1"/>
  <c r="M55" i="40"/>
  <c r="O55" i="40" s="1"/>
  <c r="G55" i="29" s="1"/>
  <c r="M56" i="40"/>
  <c r="O56" i="40" s="1"/>
  <c r="G56" i="29" s="1"/>
  <c r="M57" i="40"/>
  <c r="O57" i="40" s="1"/>
  <c r="G57" i="29" s="1"/>
  <c r="J55" i="40"/>
  <c r="L55" i="40" s="1"/>
  <c r="F55" i="29" s="1"/>
  <c r="J56" i="40"/>
  <c r="L56" i="40" s="1"/>
  <c r="F56" i="29" s="1"/>
  <c r="J57" i="40"/>
  <c r="L57" i="40" s="1"/>
  <c r="F57" i="29" s="1"/>
  <c r="G55" i="40"/>
  <c r="I55" i="40" s="1"/>
  <c r="E55" i="29" s="1"/>
  <c r="G56" i="40"/>
  <c r="I56" i="40" s="1"/>
  <c r="E56" i="29" s="1"/>
  <c r="G57" i="40"/>
  <c r="I57" i="40" s="1"/>
  <c r="E57" i="29" s="1"/>
  <c r="S54" i="40"/>
  <c r="U54" i="40" s="1"/>
  <c r="P54" i="40"/>
  <c r="R54" i="40" s="1"/>
  <c r="M54" i="40"/>
  <c r="O54" i="40" s="1"/>
  <c r="J54" i="40"/>
  <c r="L54" i="40" s="1"/>
  <c r="G54" i="40"/>
  <c r="S45" i="40"/>
  <c r="U45" i="40" s="1"/>
  <c r="I45" i="29" s="1"/>
  <c r="S46" i="40"/>
  <c r="U46" i="40" s="1"/>
  <c r="I46" i="29" s="1"/>
  <c r="S47" i="40"/>
  <c r="S48" i="40"/>
  <c r="U48" i="40" s="1"/>
  <c r="I48" i="29" s="1"/>
  <c r="S50" i="40"/>
  <c r="U50" i="40" s="1"/>
  <c r="I50" i="29" s="1"/>
  <c r="P50" i="40"/>
  <c r="R50" i="40" s="1"/>
  <c r="H50" i="29" s="1"/>
  <c r="P45" i="40"/>
  <c r="R45" i="40" s="1"/>
  <c r="H45" i="29" s="1"/>
  <c r="P46" i="40"/>
  <c r="R46" i="40" s="1"/>
  <c r="H46" i="29" s="1"/>
  <c r="P47" i="40"/>
  <c r="R47" i="40" s="1"/>
  <c r="H47" i="29" s="1"/>
  <c r="P48" i="40"/>
  <c r="R48" i="40" s="1"/>
  <c r="H48" i="29" s="1"/>
  <c r="M45" i="40"/>
  <c r="O45" i="40" s="1"/>
  <c r="G45" i="29" s="1"/>
  <c r="M46" i="40"/>
  <c r="O46" i="40" s="1"/>
  <c r="G46" i="29" s="1"/>
  <c r="M47" i="40"/>
  <c r="O47" i="40" s="1"/>
  <c r="G47" i="29" s="1"/>
  <c r="M48" i="40"/>
  <c r="O48" i="40" s="1"/>
  <c r="G48" i="29" s="1"/>
  <c r="M50" i="40"/>
  <c r="O50" i="40" s="1"/>
  <c r="G50" i="29" s="1"/>
  <c r="J45" i="40"/>
  <c r="L45" i="40" s="1"/>
  <c r="F45" i="29" s="1"/>
  <c r="J46" i="40"/>
  <c r="L46" i="40" s="1"/>
  <c r="F46" i="29" s="1"/>
  <c r="J47" i="40"/>
  <c r="L47" i="40" s="1"/>
  <c r="F47" i="29" s="1"/>
  <c r="J48" i="40"/>
  <c r="L48" i="40" s="1"/>
  <c r="F48" i="29" s="1"/>
  <c r="J50" i="40"/>
  <c r="L50" i="40" s="1"/>
  <c r="F50" i="29" s="1"/>
  <c r="G45" i="40"/>
  <c r="I45" i="40" s="1"/>
  <c r="E45" i="29" s="1"/>
  <c r="G46" i="40"/>
  <c r="I46" i="40" s="1"/>
  <c r="E46" i="29" s="1"/>
  <c r="G47" i="40"/>
  <c r="I47" i="40" s="1"/>
  <c r="E47" i="29" s="1"/>
  <c r="G48" i="40"/>
  <c r="I48" i="40" s="1"/>
  <c r="E48" i="29" s="1"/>
  <c r="G50" i="40"/>
  <c r="I50" i="40" s="1"/>
  <c r="E50" i="29" s="1"/>
  <c r="S44" i="40"/>
  <c r="P44" i="40"/>
  <c r="R44" i="40" s="1"/>
  <c r="M44" i="40"/>
  <c r="J44" i="40"/>
  <c r="L44" i="40" s="1"/>
  <c r="G44" i="40"/>
  <c r="S37" i="40"/>
  <c r="U37" i="40" s="1"/>
  <c r="I37" i="29" s="1"/>
  <c r="S38" i="40"/>
  <c r="U38" i="40" s="1"/>
  <c r="I38" i="29" s="1"/>
  <c r="P37" i="40"/>
  <c r="R37" i="40" s="1"/>
  <c r="H37" i="29" s="1"/>
  <c r="P38" i="40"/>
  <c r="R38" i="40" s="1"/>
  <c r="H38" i="29" s="1"/>
  <c r="M37" i="40"/>
  <c r="O37" i="40" s="1"/>
  <c r="G37" i="29" s="1"/>
  <c r="M38" i="40"/>
  <c r="O38" i="40" s="1"/>
  <c r="G38" i="29" s="1"/>
  <c r="J37" i="40"/>
  <c r="L37" i="40" s="1"/>
  <c r="F37" i="29" s="1"/>
  <c r="J38" i="40"/>
  <c r="L38" i="40" s="1"/>
  <c r="F38" i="29" s="1"/>
  <c r="G37" i="40"/>
  <c r="I37" i="40" s="1"/>
  <c r="E37" i="29" s="1"/>
  <c r="G38" i="40"/>
  <c r="I38" i="40" s="1"/>
  <c r="E38" i="29" s="1"/>
  <c r="S36" i="40"/>
  <c r="U36" i="40" s="1"/>
  <c r="P36" i="40"/>
  <c r="R36" i="40" s="1"/>
  <c r="M36" i="40"/>
  <c r="O36" i="40" s="1"/>
  <c r="G36" i="29" s="1"/>
  <c r="J36" i="40"/>
  <c r="G36" i="40"/>
  <c r="S29" i="40"/>
  <c r="U29" i="40" s="1"/>
  <c r="I29" i="29" s="1"/>
  <c r="S30" i="40"/>
  <c r="U30" i="40" s="1"/>
  <c r="I30" i="29" s="1"/>
  <c r="P29" i="40"/>
  <c r="R29" i="40" s="1"/>
  <c r="H29" i="29" s="1"/>
  <c r="P30" i="40"/>
  <c r="R30" i="40" s="1"/>
  <c r="H30" i="29" s="1"/>
  <c r="M29" i="40"/>
  <c r="O29" i="40" s="1"/>
  <c r="G29" i="29" s="1"/>
  <c r="M30" i="40"/>
  <c r="O30" i="40" s="1"/>
  <c r="G30" i="29" s="1"/>
  <c r="J29" i="40"/>
  <c r="L29" i="40" s="1"/>
  <c r="F29" i="29" s="1"/>
  <c r="J30" i="40"/>
  <c r="L30" i="40" s="1"/>
  <c r="F30" i="29" s="1"/>
  <c r="S28" i="40"/>
  <c r="P28" i="40"/>
  <c r="M28" i="40"/>
  <c r="O28" i="40" s="1"/>
  <c r="G28" i="29" s="1"/>
  <c r="J28" i="40"/>
  <c r="G29" i="40"/>
  <c r="I29" i="40" s="1"/>
  <c r="E29" i="29" s="1"/>
  <c r="G30" i="40"/>
  <c r="I30" i="40" s="1"/>
  <c r="E30" i="29" s="1"/>
  <c r="G28" i="40"/>
  <c r="S20" i="40"/>
  <c r="U20" i="40" s="1"/>
  <c r="I20" i="29" s="1"/>
  <c r="S19" i="40"/>
  <c r="U19" i="40" s="1"/>
  <c r="I19" i="29" s="1"/>
  <c r="P20" i="40"/>
  <c r="R20" i="40" s="1"/>
  <c r="H20" i="29" s="1"/>
  <c r="P19" i="40"/>
  <c r="R19" i="40" s="1"/>
  <c r="H19" i="29" s="1"/>
  <c r="M20" i="40"/>
  <c r="O20" i="40" s="1"/>
  <c r="G20" i="29" s="1"/>
  <c r="M19" i="40"/>
  <c r="O19" i="40" s="1"/>
  <c r="G19" i="29" s="1"/>
  <c r="J20" i="40"/>
  <c r="L20" i="40" s="1"/>
  <c r="F20" i="29" s="1"/>
  <c r="J19" i="40"/>
  <c r="L19" i="40" s="1"/>
  <c r="F19" i="29" s="1"/>
  <c r="G20" i="40"/>
  <c r="I20" i="40" s="1"/>
  <c r="E20" i="29" s="1"/>
  <c r="G19" i="40"/>
  <c r="I19" i="40" s="1"/>
  <c r="E19" i="29" s="1"/>
  <c r="D20" i="40"/>
  <c r="F20" i="40" s="1"/>
  <c r="D20" i="29" s="1"/>
  <c r="D19" i="40"/>
  <c r="F19" i="40" s="1"/>
  <c r="D19" i="29" s="1"/>
  <c r="S14" i="40"/>
  <c r="U14" i="40" s="1"/>
  <c r="I14" i="29" s="1"/>
  <c r="S15" i="40"/>
  <c r="U15" i="40" s="1"/>
  <c r="I15" i="29" s="1"/>
  <c r="S13" i="40"/>
  <c r="P14" i="40"/>
  <c r="P15" i="40"/>
  <c r="P13" i="40"/>
  <c r="R13" i="40" s="1"/>
  <c r="H13" i="29" s="1"/>
  <c r="M14" i="40"/>
  <c r="O14" i="40" s="1"/>
  <c r="G14" i="29" s="1"/>
  <c r="M15" i="40"/>
  <c r="O15" i="40" s="1"/>
  <c r="G15" i="29" s="1"/>
  <c r="M13" i="40"/>
  <c r="O13" i="40" s="1"/>
  <c r="G13" i="29" s="1"/>
  <c r="J14" i="40"/>
  <c r="L14" i="40" s="1"/>
  <c r="F14" i="29" s="1"/>
  <c r="J15" i="40"/>
  <c r="L15" i="40" s="1"/>
  <c r="F15" i="29" s="1"/>
  <c r="J13" i="40"/>
  <c r="L13" i="40" s="1"/>
  <c r="F13" i="29" s="1"/>
  <c r="G14" i="40"/>
  <c r="I14" i="40" s="1"/>
  <c r="E14" i="29" s="1"/>
  <c r="G15" i="40"/>
  <c r="I15" i="40" s="1"/>
  <c r="E15" i="29" s="1"/>
  <c r="G13" i="40"/>
  <c r="I13" i="40" s="1"/>
  <c r="E13" i="29" s="1"/>
  <c r="W90" i="40"/>
  <c r="W86" i="40"/>
  <c r="I85" i="2"/>
  <c r="J85" i="2" s="1"/>
  <c r="W79" i="40"/>
  <c r="W78" i="40"/>
  <c r="W77" i="40"/>
  <c r="W76" i="40"/>
  <c r="W75" i="40"/>
  <c r="W74" i="40"/>
  <c r="W73" i="40"/>
  <c r="W72" i="40"/>
  <c r="W71" i="40"/>
  <c r="W68" i="40"/>
  <c r="W67" i="40"/>
  <c r="W66" i="40"/>
  <c r="W65" i="40"/>
  <c r="W64" i="40"/>
  <c r="W63" i="40"/>
  <c r="W62" i="40"/>
  <c r="W61" i="40"/>
  <c r="W58" i="40"/>
  <c r="W57" i="40"/>
  <c r="W56" i="40"/>
  <c r="W55" i="40"/>
  <c r="W54" i="40"/>
  <c r="W51" i="40"/>
  <c r="W50" i="40"/>
  <c r="W47" i="40"/>
  <c r="W46" i="40"/>
  <c r="W45" i="40"/>
  <c r="W44" i="40"/>
  <c r="W39" i="40"/>
  <c r="W38" i="40"/>
  <c r="W37" i="40"/>
  <c r="W36" i="40"/>
  <c r="W30" i="40"/>
  <c r="W29" i="40"/>
  <c r="W28" i="40"/>
  <c r="W85" i="40"/>
  <c r="W84" i="40"/>
  <c r="W83" i="40"/>
  <c r="W82" i="40"/>
  <c r="J74" i="2"/>
  <c r="J81" i="2"/>
  <c r="J14" i="2"/>
  <c r="J13" i="2"/>
  <c r="J12" i="2"/>
  <c r="W20" i="40"/>
  <c r="W19" i="40"/>
  <c r="W15" i="40"/>
  <c r="W14" i="40"/>
  <c r="T25" i="40"/>
  <c r="Q25" i="40"/>
  <c r="R25" i="40"/>
  <c r="N25" i="40"/>
  <c r="O25" i="40"/>
  <c r="K25" i="40"/>
  <c r="H25" i="40"/>
  <c r="T21" i="40"/>
  <c r="Q21" i="40"/>
  <c r="N21" i="40"/>
  <c r="K21" i="40"/>
  <c r="H21" i="40"/>
  <c r="E21" i="40"/>
  <c r="T16" i="40"/>
  <c r="Q16" i="40"/>
  <c r="N16" i="40"/>
  <c r="K16" i="40"/>
  <c r="H16" i="40"/>
  <c r="E16" i="40"/>
  <c r="D14" i="40"/>
  <c r="F14" i="40" s="1"/>
  <c r="D14" i="29" s="1"/>
  <c r="D15" i="40"/>
  <c r="F15" i="40" s="1"/>
  <c r="D15" i="29" s="1"/>
  <c r="D13" i="40"/>
  <c r="F313" i="52"/>
  <c r="F312" i="52"/>
  <c r="F304" i="52"/>
  <c r="F303" i="52"/>
  <c r="F295" i="52"/>
  <c r="F294" i="52"/>
  <c r="F286" i="52"/>
  <c r="F285" i="52"/>
  <c r="F277" i="52"/>
  <c r="F276" i="52"/>
  <c r="F268" i="52"/>
  <c r="F267" i="52"/>
  <c r="F259" i="52"/>
  <c r="F258" i="52"/>
  <c r="F250" i="52"/>
  <c r="F249" i="52"/>
  <c r="F241" i="52"/>
  <c r="F240" i="52"/>
  <c r="F232" i="52"/>
  <c r="F231" i="52"/>
  <c r="F223" i="52"/>
  <c r="F222" i="52"/>
  <c r="F214" i="52"/>
  <c r="F213" i="52"/>
  <c r="F205" i="52"/>
  <c r="F204" i="52"/>
  <c r="F196" i="52"/>
  <c r="F195" i="52"/>
  <c r="F187" i="52"/>
  <c r="F186" i="52"/>
  <c r="F178" i="52"/>
  <c r="F177" i="52"/>
  <c r="F169" i="52"/>
  <c r="F168" i="52"/>
  <c r="F160" i="52"/>
  <c r="F159" i="52"/>
  <c r="F151" i="52"/>
  <c r="F150" i="52"/>
  <c r="F142" i="52"/>
  <c r="F141" i="52"/>
  <c r="F133" i="52"/>
  <c r="F132" i="52"/>
  <c r="F124" i="52"/>
  <c r="F123" i="52"/>
  <c r="F115" i="52"/>
  <c r="F114" i="52"/>
  <c r="F106" i="52"/>
  <c r="F105" i="52"/>
  <c r="F97" i="52"/>
  <c r="F96" i="52"/>
  <c r="F88" i="52"/>
  <c r="F87" i="52"/>
  <c r="F79" i="52"/>
  <c r="F78" i="52"/>
  <c r="F70" i="52"/>
  <c r="F69" i="52"/>
  <c r="F61" i="52"/>
  <c r="F60" i="52"/>
  <c r="F52" i="52"/>
  <c r="F51" i="52"/>
  <c r="B299" i="52"/>
  <c r="L197" i="51"/>
  <c r="D197" i="51"/>
  <c r="P196" i="51"/>
  <c r="H196" i="51"/>
  <c r="P195" i="51"/>
  <c r="H195" i="51"/>
  <c r="P194" i="51"/>
  <c r="H194" i="51"/>
  <c r="P193" i="51"/>
  <c r="H193" i="51"/>
  <c r="P192" i="51"/>
  <c r="H192" i="51"/>
  <c r="P191" i="51"/>
  <c r="H191" i="51"/>
  <c r="P190" i="51"/>
  <c r="H190" i="51"/>
  <c r="P189" i="51"/>
  <c r="H189" i="51"/>
  <c r="P188" i="51"/>
  <c r="H188" i="51"/>
  <c r="P187" i="51"/>
  <c r="H187" i="51"/>
  <c r="P186" i="51"/>
  <c r="H186" i="51"/>
  <c r="P185" i="51"/>
  <c r="H185" i="51"/>
  <c r="P184" i="51"/>
  <c r="H184" i="51"/>
  <c r="P183" i="51"/>
  <c r="H183" i="51"/>
  <c r="P182" i="51"/>
  <c r="H182" i="51"/>
  <c r="P181" i="51"/>
  <c r="H181" i="51"/>
  <c r="P180" i="51"/>
  <c r="H180" i="51"/>
  <c r="P179" i="51"/>
  <c r="H179" i="51"/>
  <c r="P178" i="51"/>
  <c r="H178" i="51"/>
  <c r="P177" i="51"/>
  <c r="H177" i="51"/>
  <c r="P176" i="51"/>
  <c r="H176" i="51"/>
  <c r="P175" i="51"/>
  <c r="H175" i="51"/>
  <c r="P174" i="51"/>
  <c r="H174" i="51"/>
  <c r="P173" i="51"/>
  <c r="H173" i="51"/>
  <c r="P172" i="51"/>
  <c r="H172" i="51"/>
  <c r="P171" i="51"/>
  <c r="H171" i="51"/>
  <c r="P170" i="51"/>
  <c r="H170" i="51"/>
  <c r="P169" i="51"/>
  <c r="H169" i="51"/>
  <c r="P168" i="51"/>
  <c r="H168" i="51"/>
  <c r="P167" i="51"/>
  <c r="H167" i="51"/>
  <c r="P166" i="51"/>
  <c r="H166" i="51"/>
  <c r="P165" i="51"/>
  <c r="H165" i="51"/>
  <c r="P164" i="51"/>
  <c r="H164" i="51"/>
  <c r="P163" i="51"/>
  <c r="H163" i="51"/>
  <c r="P162" i="51"/>
  <c r="H162" i="51"/>
  <c r="P161" i="51"/>
  <c r="H161" i="51"/>
  <c r="P160" i="51"/>
  <c r="H160" i="51"/>
  <c r="P159" i="51"/>
  <c r="H159" i="51"/>
  <c r="P158" i="51"/>
  <c r="H158" i="51"/>
  <c r="P157" i="51"/>
  <c r="H157" i="51"/>
  <c r="P156" i="51"/>
  <c r="H156" i="51"/>
  <c r="P155" i="51"/>
  <c r="H155" i="51"/>
  <c r="P154" i="51"/>
  <c r="H154" i="51"/>
  <c r="P153" i="51"/>
  <c r="H153" i="51"/>
  <c r="P152" i="51"/>
  <c r="H152" i="51"/>
  <c r="P150" i="51"/>
  <c r="H150" i="51"/>
  <c r="P149" i="51"/>
  <c r="H149" i="51"/>
  <c r="P148" i="51"/>
  <c r="H148" i="51"/>
  <c r="P147" i="51"/>
  <c r="H147" i="51"/>
  <c r="P146" i="51"/>
  <c r="H146" i="51"/>
  <c r="P145" i="51"/>
  <c r="H145" i="51"/>
  <c r="P144" i="51"/>
  <c r="H144" i="51"/>
  <c r="P143" i="51"/>
  <c r="H143" i="51"/>
  <c r="P142" i="51"/>
  <c r="H142" i="51"/>
  <c r="P141" i="51"/>
  <c r="H141" i="51"/>
  <c r="P140" i="51"/>
  <c r="H140" i="51"/>
  <c r="P139" i="51"/>
  <c r="H139" i="51"/>
  <c r="P138" i="51"/>
  <c r="H138" i="51"/>
  <c r="P137" i="51"/>
  <c r="H137" i="51"/>
  <c r="P136" i="51"/>
  <c r="H136" i="51"/>
  <c r="P135" i="51"/>
  <c r="H135" i="51"/>
  <c r="P134" i="51"/>
  <c r="H134" i="51"/>
  <c r="P133" i="51"/>
  <c r="H133" i="51"/>
  <c r="P132" i="51"/>
  <c r="H132" i="51"/>
  <c r="P131" i="51"/>
  <c r="H131" i="51"/>
  <c r="P130" i="51"/>
  <c r="H130" i="51"/>
  <c r="P129" i="51"/>
  <c r="H129" i="51"/>
  <c r="P128" i="51"/>
  <c r="H128" i="51"/>
  <c r="P127" i="51"/>
  <c r="H127" i="51"/>
  <c r="P126" i="51"/>
  <c r="H126" i="51"/>
  <c r="P125" i="51"/>
  <c r="H125" i="51"/>
  <c r="P124" i="51"/>
  <c r="H124" i="51"/>
  <c r="P123" i="51"/>
  <c r="H123" i="51"/>
  <c r="P122" i="51"/>
  <c r="H122" i="51"/>
  <c r="P121" i="51"/>
  <c r="H121" i="51"/>
  <c r="P120" i="51"/>
  <c r="H120" i="51"/>
  <c r="P119" i="51"/>
  <c r="H119" i="51"/>
  <c r="P118" i="51"/>
  <c r="H118" i="51"/>
  <c r="P117" i="51"/>
  <c r="H117" i="51"/>
  <c r="P116" i="51"/>
  <c r="H116" i="51"/>
  <c r="P115" i="51"/>
  <c r="H115" i="51"/>
  <c r="P114" i="51"/>
  <c r="H114" i="51"/>
  <c r="P113" i="51"/>
  <c r="H113" i="51"/>
  <c r="P112" i="51"/>
  <c r="H112" i="51"/>
  <c r="P111" i="51"/>
  <c r="H111" i="51"/>
  <c r="P110" i="51"/>
  <c r="H110" i="51"/>
  <c r="P109" i="51"/>
  <c r="H109" i="51"/>
  <c r="P108" i="51"/>
  <c r="H108" i="51"/>
  <c r="P107" i="51"/>
  <c r="H107" i="51"/>
  <c r="P106" i="51"/>
  <c r="H106" i="51"/>
  <c r="P105" i="51"/>
  <c r="H105" i="51"/>
  <c r="P104" i="51"/>
  <c r="H104" i="51"/>
  <c r="P103" i="51"/>
  <c r="H103" i="51"/>
  <c r="P102" i="51"/>
  <c r="H102" i="51"/>
  <c r="P101" i="51"/>
  <c r="H101" i="51"/>
  <c r="P100" i="51"/>
  <c r="H100" i="51"/>
  <c r="P99" i="51"/>
  <c r="H99" i="51"/>
  <c r="P98" i="51"/>
  <c r="H98" i="51"/>
  <c r="P97" i="51"/>
  <c r="H97" i="51"/>
  <c r="P96" i="51"/>
  <c r="H96" i="51"/>
  <c r="P95" i="51"/>
  <c r="H95" i="51"/>
  <c r="P94" i="51"/>
  <c r="H94" i="51"/>
  <c r="P93" i="51"/>
  <c r="H93" i="51"/>
  <c r="P92" i="51"/>
  <c r="H92" i="51"/>
  <c r="P91" i="51"/>
  <c r="H91" i="51"/>
  <c r="P90" i="51"/>
  <c r="H90" i="51"/>
  <c r="P89" i="51"/>
  <c r="H89" i="51"/>
  <c r="P88" i="51"/>
  <c r="H88" i="51"/>
  <c r="P87" i="51"/>
  <c r="H87" i="51"/>
  <c r="P86" i="51"/>
  <c r="H86" i="51"/>
  <c r="P85" i="51"/>
  <c r="H85" i="51"/>
  <c r="P84" i="51"/>
  <c r="H84" i="51"/>
  <c r="P83" i="51"/>
  <c r="H83" i="51"/>
  <c r="P82" i="51"/>
  <c r="H82" i="51"/>
  <c r="P81" i="51"/>
  <c r="H81" i="51"/>
  <c r="P80" i="51"/>
  <c r="H80" i="51"/>
  <c r="P79" i="51"/>
  <c r="H79" i="51"/>
  <c r="P78" i="51"/>
  <c r="H78" i="51"/>
  <c r="P77" i="51"/>
  <c r="H77" i="51"/>
  <c r="P76" i="51"/>
  <c r="H76" i="51"/>
  <c r="P75" i="51"/>
  <c r="H75" i="51"/>
  <c r="P74" i="51"/>
  <c r="H74" i="51"/>
  <c r="P73" i="51"/>
  <c r="H73" i="51"/>
  <c r="P72" i="51"/>
  <c r="H72" i="51"/>
  <c r="P71" i="51"/>
  <c r="H71" i="51"/>
  <c r="P70" i="51"/>
  <c r="H70" i="51"/>
  <c r="P69" i="51"/>
  <c r="H69" i="51"/>
  <c r="P68" i="51"/>
  <c r="H68" i="51"/>
  <c r="P67" i="51"/>
  <c r="H67" i="51"/>
  <c r="P66" i="51"/>
  <c r="H66" i="51"/>
  <c r="P65" i="51"/>
  <c r="H65" i="51"/>
  <c r="P64" i="51"/>
  <c r="H64" i="51"/>
  <c r="P63" i="51"/>
  <c r="H63" i="51"/>
  <c r="P62" i="51"/>
  <c r="H62" i="51"/>
  <c r="P61" i="51"/>
  <c r="H61" i="51"/>
  <c r="P60" i="51"/>
  <c r="H60" i="51"/>
  <c r="P59" i="51"/>
  <c r="H59" i="51"/>
  <c r="P58" i="51"/>
  <c r="H58" i="51"/>
  <c r="P57" i="51"/>
  <c r="H57" i="51"/>
  <c r="P56" i="51"/>
  <c r="H56" i="51"/>
  <c r="P55" i="51"/>
  <c r="H55" i="51"/>
  <c r="P54" i="51"/>
  <c r="H54" i="51"/>
  <c r="P53" i="51"/>
  <c r="H53" i="51"/>
  <c r="P52" i="51"/>
  <c r="H52" i="51"/>
  <c r="P51" i="51"/>
  <c r="H51" i="51"/>
  <c r="P50" i="51"/>
  <c r="H50" i="51"/>
  <c r="P49" i="51"/>
  <c r="H49" i="51"/>
  <c r="P48" i="51"/>
  <c r="H48" i="51"/>
  <c r="P47" i="51"/>
  <c r="H47" i="51"/>
  <c r="P46" i="51"/>
  <c r="H46" i="51"/>
  <c r="P45" i="51"/>
  <c r="H45" i="51"/>
  <c r="P44" i="51"/>
  <c r="H44" i="51"/>
  <c r="P43" i="51"/>
  <c r="H43" i="51"/>
  <c r="P42" i="51"/>
  <c r="H42" i="51"/>
  <c r="P41" i="51"/>
  <c r="H41" i="51"/>
  <c r="P40" i="51"/>
  <c r="H40" i="51"/>
  <c r="P39" i="51"/>
  <c r="H39" i="51"/>
  <c r="P38" i="51"/>
  <c r="H38" i="51"/>
  <c r="P37" i="51"/>
  <c r="H37" i="51"/>
  <c r="P36" i="51"/>
  <c r="H36" i="51"/>
  <c r="P35" i="51"/>
  <c r="H35" i="51"/>
  <c r="P34" i="51"/>
  <c r="H34" i="51"/>
  <c r="P33" i="51"/>
  <c r="H33" i="51"/>
  <c r="P32" i="51"/>
  <c r="H32" i="51"/>
  <c r="P31" i="51"/>
  <c r="H31" i="51"/>
  <c r="P30" i="51"/>
  <c r="H30" i="51"/>
  <c r="P29" i="51"/>
  <c r="H29" i="51"/>
  <c r="P28" i="51"/>
  <c r="H28" i="51"/>
  <c r="P27" i="51"/>
  <c r="H27" i="51"/>
  <c r="P26" i="51"/>
  <c r="H26" i="51"/>
  <c r="P25" i="51"/>
  <c r="H25" i="51"/>
  <c r="P24" i="51"/>
  <c r="H24" i="51"/>
  <c r="P23" i="51"/>
  <c r="H23" i="51"/>
  <c r="P22" i="51"/>
  <c r="H22" i="51"/>
  <c r="P21" i="51"/>
  <c r="H21" i="51"/>
  <c r="P20" i="51"/>
  <c r="H20" i="51"/>
  <c r="H19" i="51"/>
  <c r="K185" i="50"/>
  <c r="K184" i="50"/>
  <c r="K183" i="50"/>
  <c r="K182" i="50"/>
  <c r="K181" i="50"/>
  <c r="K180" i="50"/>
  <c r="K179" i="50"/>
  <c r="K178" i="50"/>
  <c r="M178" i="50" s="1"/>
  <c r="N178" i="50" s="1"/>
  <c r="K177" i="50"/>
  <c r="O168" i="50"/>
  <c r="M168" i="50"/>
  <c r="F168" i="50"/>
  <c r="Q163" i="50"/>
  <c r="D314" i="52" s="1"/>
  <c r="K163" i="50"/>
  <c r="P163" i="50" s="1"/>
  <c r="D316" i="52" s="1"/>
  <c r="I163" i="50"/>
  <c r="Q158" i="50"/>
  <c r="D305" i="52" s="1"/>
  <c r="K158" i="50"/>
  <c r="I158" i="50"/>
  <c r="Q153" i="50"/>
  <c r="D296" i="52" s="1"/>
  <c r="K153" i="50"/>
  <c r="D293" i="52" s="1"/>
  <c r="I153" i="50"/>
  <c r="Q148" i="50"/>
  <c r="K148" i="50"/>
  <c r="D284" i="52" s="1"/>
  <c r="I148" i="50"/>
  <c r="Q143" i="50"/>
  <c r="D278" i="52" s="1"/>
  <c r="K143" i="50"/>
  <c r="I143" i="50"/>
  <c r="Q138" i="50"/>
  <c r="K138" i="50"/>
  <c r="I138" i="50"/>
  <c r="Q133" i="50"/>
  <c r="D260" i="52" s="1"/>
  <c r="K133" i="50"/>
  <c r="D257" i="52" s="1"/>
  <c r="I133" i="50"/>
  <c r="Q128" i="50"/>
  <c r="D251" i="52" s="1"/>
  <c r="K128" i="50"/>
  <c r="I128" i="50"/>
  <c r="Q123" i="50"/>
  <c r="K123" i="50"/>
  <c r="I123" i="50"/>
  <c r="Q118" i="50"/>
  <c r="D233" i="52" s="1"/>
  <c r="K118" i="50"/>
  <c r="I118" i="50"/>
  <c r="Q113" i="50"/>
  <c r="K113" i="50"/>
  <c r="N113" i="50" s="1"/>
  <c r="D225" i="52" s="1"/>
  <c r="I113" i="50"/>
  <c r="Q108" i="50"/>
  <c r="D215" i="52" s="1"/>
  <c r="K108" i="50"/>
  <c r="I108" i="50"/>
  <c r="Q103" i="50"/>
  <c r="K103" i="50"/>
  <c r="I103" i="50"/>
  <c r="Q98" i="50"/>
  <c r="D197" i="52" s="1"/>
  <c r="K98" i="50"/>
  <c r="I98" i="50"/>
  <c r="Q93" i="50"/>
  <c r="D188" i="52" s="1"/>
  <c r="K93" i="50"/>
  <c r="D185" i="52" s="1"/>
  <c r="I93" i="50"/>
  <c r="Q88" i="50"/>
  <c r="K88" i="50"/>
  <c r="I88" i="50"/>
  <c r="Q83" i="50"/>
  <c r="D170" i="52" s="1"/>
  <c r="K83" i="50"/>
  <c r="I83" i="50"/>
  <c r="Q78" i="50"/>
  <c r="K78" i="50"/>
  <c r="I78" i="50"/>
  <c r="Q73" i="50"/>
  <c r="D152" i="52" s="1"/>
  <c r="K73" i="50"/>
  <c r="D149" i="52" s="1"/>
  <c r="I73" i="50"/>
  <c r="Q68" i="50"/>
  <c r="D143" i="52" s="1"/>
  <c r="K68" i="50"/>
  <c r="I68" i="50"/>
  <c r="Q63" i="50"/>
  <c r="K63" i="50"/>
  <c r="I63" i="50"/>
  <c r="Q58" i="50"/>
  <c r="D125" i="52" s="1"/>
  <c r="K58" i="50"/>
  <c r="I58" i="50"/>
  <c r="Q53" i="50"/>
  <c r="K53" i="50"/>
  <c r="N53" i="50" s="1"/>
  <c r="D117" i="52" s="1"/>
  <c r="I53" i="50"/>
  <c r="Q48" i="50"/>
  <c r="D107" i="52" s="1"/>
  <c r="K48" i="50"/>
  <c r="I48" i="50"/>
  <c r="Q43" i="50"/>
  <c r="K43" i="50"/>
  <c r="I43" i="50"/>
  <c r="Q38" i="50"/>
  <c r="K38" i="50"/>
  <c r="I38" i="50"/>
  <c r="Q33" i="50"/>
  <c r="D80" i="52" s="1"/>
  <c r="K33" i="50"/>
  <c r="D77" i="52" s="1"/>
  <c r="I33" i="50"/>
  <c r="Q28" i="50"/>
  <c r="K28" i="50"/>
  <c r="I28" i="50"/>
  <c r="Q23" i="50"/>
  <c r="D62" i="52" s="1"/>
  <c r="K23" i="50"/>
  <c r="I23" i="50"/>
  <c r="Q18" i="50"/>
  <c r="D53" i="52" s="1"/>
  <c r="K18" i="50"/>
  <c r="D50" i="52" s="1"/>
  <c r="I18" i="50"/>
  <c r="N73" i="49"/>
  <c r="F73" i="49"/>
  <c r="N73" i="48"/>
  <c r="N73" i="47"/>
  <c r="F73" i="47"/>
  <c r="N73" i="46"/>
  <c r="J30" i="43"/>
  <c r="J29" i="43"/>
  <c r="A29" i="43"/>
  <c r="A30" i="43" s="1"/>
  <c r="J27" i="43"/>
  <c r="J24" i="43"/>
  <c r="J23" i="43"/>
  <c r="J22" i="43"/>
  <c r="J21" i="43"/>
  <c r="J20" i="43"/>
  <c r="J19" i="43"/>
  <c r="J18" i="43"/>
  <c r="J17" i="43"/>
  <c r="J16" i="43"/>
  <c r="J28" i="43" s="1"/>
  <c r="A16" i="43"/>
  <c r="J30" i="41"/>
  <c r="A30" i="41"/>
  <c r="J29" i="41"/>
  <c r="J24" i="41"/>
  <c r="J28" i="41" s="1"/>
  <c r="J23" i="41"/>
  <c r="J22" i="41"/>
  <c r="J21" i="41"/>
  <c r="J27" i="41" s="1"/>
  <c r="A21" i="41"/>
  <c r="H198" i="39"/>
  <c r="D31" i="52" s="1"/>
  <c r="D30" i="52"/>
  <c r="J197" i="39"/>
  <c r="F197" i="39"/>
  <c r="J196" i="39"/>
  <c r="F196" i="39"/>
  <c r="J195" i="39"/>
  <c r="F195" i="39"/>
  <c r="J194" i="39"/>
  <c r="F194" i="39"/>
  <c r="J193" i="39"/>
  <c r="F193" i="39"/>
  <c r="J192" i="39"/>
  <c r="F192" i="39"/>
  <c r="J191" i="39"/>
  <c r="F191" i="39"/>
  <c r="J190" i="39"/>
  <c r="F190" i="39"/>
  <c r="J189" i="39"/>
  <c r="F189" i="39"/>
  <c r="J188" i="39"/>
  <c r="F188" i="39"/>
  <c r="J187" i="39"/>
  <c r="F187" i="39"/>
  <c r="J186" i="39"/>
  <c r="F186" i="39"/>
  <c r="J185" i="39"/>
  <c r="F185" i="39"/>
  <c r="J184" i="39"/>
  <c r="F184" i="39"/>
  <c r="J183" i="39"/>
  <c r="F183" i="39"/>
  <c r="J182" i="39"/>
  <c r="F182" i="39"/>
  <c r="J181" i="39"/>
  <c r="F181" i="39"/>
  <c r="J180" i="39"/>
  <c r="F180" i="39"/>
  <c r="J179" i="39"/>
  <c r="F179" i="39"/>
  <c r="J178" i="39"/>
  <c r="F178" i="39"/>
  <c r="J177" i="39"/>
  <c r="F177" i="39"/>
  <c r="J176" i="39"/>
  <c r="F176" i="39"/>
  <c r="J175" i="39"/>
  <c r="F175" i="39"/>
  <c r="J174" i="39"/>
  <c r="F174" i="39"/>
  <c r="J173" i="39"/>
  <c r="F173" i="39"/>
  <c r="J172" i="39"/>
  <c r="F172" i="39"/>
  <c r="J171" i="39"/>
  <c r="F171" i="39"/>
  <c r="J170" i="39"/>
  <c r="F170" i="39"/>
  <c r="J169" i="39"/>
  <c r="F169" i="39"/>
  <c r="J168" i="39"/>
  <c r="F168" i="39"/>
  <c r="J167" i="39"/>
  <c r="F167" i="39"/>
  <c r="J166" i="39"/>
  <c r="F166" i="39"/>
  <c r="J165" i="39"/>
  <c r="F165" i="39"/>
  <c r="J164" i="39"/>
  <c r="F164" i="39"/>
  <c r="J163" i="39"/>
  <c r="F163" i="39"/>
  <c r="J162" i="39"/>
  <c r="F162" i="39"/>
  <c r="J161" i="39"/>
  <c r="F161" i="39"/>
  <c r="J160" i="39"/>
  <c r="F160" i="39"/>
  <c r="J159" i="39"/>
  <c r="F159" i="39"/>
  <c r="J158" i="39"/>
  <c r="F158" i="39"/>
  <c r="J157" i="39"/>
  <c r="F157" i="39"/>
  <c r="J156" i="39"/>
  <c r="F156" i="39"/>
  <c r="J155" i="39"/>
  <c r="F155" i="39"/>
  <c r="J154" i="39"/>
  <c r="F154" i="39"/>
  <c r="J153" i="39"/>
  <c r="F153" i="39"/>
  <c r="J151" i="39"/>
  <c r="F151" i="39"/>
  <c r="J150" i="39"/>
  <c r="F150" i="39"/>
  <c r="J149" i="39"/>
  <c r="F149" i="39"/>
  <c r="J148" i="39"/>
  <c r="F148" i="39"/>
  <c r="J147" i="39"/>
  <c r="F147" i="39"/>
  <c r="J146" i="39"/>
  <c r="F146" i="39"/>
  <c r="J145" i="39"/>
  <c r="F145" i="39"/>
  <c r="J144" i="39"/>
  <c r="F144" i="39"/>
  <c r="J143" i="39"/>
  <c r="F143" i="39"/>
  <c r="J142" i="39"/>
  <c r="F142" i="39"/>
  <c r="J141" i="39"/>
  <c r="F141" i="39"/>
  <c r="J140" i="39"/>
  <c r="F140" i="39"/>
  <c r="J139" i="39"/>
  <c r="F139" i="39"/>
  <c r="J138" i="39"/>
  <c r="F138" i="39"/>
  <c r="J137" i="39"/>
  <c r="F137" i="39"/>
  <c r="J136" i="39"/>
  <c r="F136" i="39"/>
  <c r="J135" i="39"/>
  <c r="F135" i="39"/>
  <c r="J134" i="39"/>
  <c r="F134" i="39"/>
  <c r="J133" i="39"/>
  <c r="F133" i="39"/>
  <c r="J132" i="39"/>
  <c r="F132" i="39"/>
  <c r="J131" i="39"/>
  <c r="F131" i="39"/>
  <c r="J130" i="39"/>
  <c r="F130" i="39"/>
  <c r="J129" i="39"/>
  <c r="F129" i="39"/>
  <c r="J128" i="39"/>
  <c r="F128" i="39"/>
  <c r="J127" i="39"/>
  <c r="F127" i="39"/>
  <c r="J126" i="39"/>
  <c r="F126" i="39"/>
  <c r="J125" i="39"/>
  <c r="F125" i="39"/>
  <c r="J124" i="39"/>
  <c r="F124" i="39"/>
  <c r="J123" i="39"/>
  <c r="F123" i="39"/>
  <c r="J122" i="39"/>
  <c r="F122" i="39"/>
  <c r="J121" i="39"/>
  <c r="F121" i="39"/>
  <c r="J120" i="39"/>
  <c r="F120" i="39"/>
  <c r="J119" i="39"/>
  <c r="F119" i="39"/>
  <c r="J118" i="39"/>
  <c r="F118" i="39"/>
  <c r="J117" i="39"/>
  <c r="F117" i="39"/>
  <c r="J116" i="39"/>
  <c r="F116" i="39"/>
  <c r="J115" i="39"/>
  <c r="F115" i="39"/>
  <c r="J114" i="39"/>
  <c r="F114" i="39"/>
  <c r="J113" i="39"/>
  <c r="F113" i="39"/>
  <c r="J112" i="39"/>
  <c r="F112" i="39"/>
  <c r="J111" i="39"/>
  <c r="F111" i="39"/>
  <c r="J110" i="39"/>
  <c r="F110" i="39"/>
  <c r="J109" i="39"/>
  <c r="F109" i="39"/>
  <c r="J108" i="39"/>
  <c r="F108" i="39"/>
  <c r="J107" i="39"/>
  <c r="F107" i="39"/>
  <c r="J106" i="39"/>
  <c r="F106" i="39"/>
  <c r="J105" i="39"/>
  <c r="F105" i="39"/>
  <c r="J104" i="39"/>
  <c r="F104" i="39"/>
  <c r="J103" i="39"/>
  <c r="F103" i="39"/>
  <c r="J102" i="39"/>
  <c r="F102" i="39"/>
  <c r="J101" i="39"/>
  <c r="F101" i="39"/>
  <c r="J100" i="39"/>
  <c r="F100" i="39"/>
  <c r="J99" i="39"/>
  <c r="F99" i="39"/>
  <c r="J98" i="39"/>
  <c r="F98" i="39"/>
  <c r="J97" i="39"/>
  <c r="F97" i="39"/>
  <c r="J96" i="39"/>
  <c r="F96" i="39"/>
  <c r="J95" i="39"/>
  <c r="F95" i="39"/>
  <c r="J94" i="39"/>
  <c r="F94" i="39"/>
  <c r="J93" i="39"/>
  <c r="F93" i="39"/>
  <c r="J92" i="39"/>
  <c r="F92" i="39"/>
  <c r="J91" i="39"/>
  <c r="F91" i="39"/>
  <c r="J90" i="39"/>
  <c r="F90" i="39"/>
  <c r="J89" i="39"/>
  <c r="F89" i="39"/>
  <c r="J88" i="39"/>
  <c r="F88" i="39"/>
  <c r="J87" i="39"/>
  <c r="F87" i="39"/>
  <c r="J86" i="39"/>
  <c r="F86" i="39"/>
  <c r="J85" i="39"/>
  <c r="F85" i="39"/>
  <c r="J84" i="39"/>
  <c r="F84" i="39"/>
  <c r="J83" i="39"/>
  <c r="F83" i="39"/>
  <c r="J82" i="39"/>
  <c r="F82" i="39"/>
  <c r="J81" i="39"/>
  <c r="F81" i="39"/>
  <c r="J80" i="39"/>
  <c r="F80" i="39"/>
  <c r="J79" i="39"/>
  <c r="F79" i="39"/>
  <c r="J78" i="39"/>
  <c r="F78" i="39"/>
  <c r="J77" i="39"/>
  <c r="F77" i="39"/>
  <c r="J76" i="39"/>
  <c r="F76" i="39"/>
  <c r="J75" i="39"/>
  <c r="F75" i="39"/>
  <c r="J74" i="39"/>
  <c r="F74" i="39"/>
  <c r="J73" i="39"/>
  <c r="F73" i="39"/>
  <c r="J72" i="39"/>
  <c r="F72" i="39"/>
  <c r="J71" i="39"/>
  <c r="F71" i="39"/>
  <c r="J70" i="39"/>
  <c r="F70" i="39"/>
  <c r="J69" i="39"/>
  <c r="F69" i="39"/>
  <c r="J68" i="39"/>
  <c r="F68" i="39"/>
  <c r="J67" i="39"/>
  <c r="F67" i="39"/>
  <c r="J66" i="39"/>
  <c r="F66" i="39"/>
  <c r="J65" i="39"/>
  <c r="F65" i="39"/>
  <c r="J64" i="39"/>
  <c r="F64" i="39"/>
  <c r="J63" i="39"/>
  <c r="F63" i="39"/>
  <c r="J62" i="39"/>
  <c r="F62" i="39"/>
  <c r="J61" i="39"/>
  <c r="F61" i="39"/>
  <c r="J60" i="39"/>
  <c r="F60" i="39"/>
  <c r="J59" i="39"/>
  <c r="F59" i="39"/>
  <c r="J58" i="39"/>
  <c r="F58" i="39"/>
  <c r="J57" i="39"/>
  <c r="F57" i="39"/>
  <c r="J56" i="39"/>
  <c r="F56" i="39"/>
  <c r="J55" i="39"/>
  <c r="F55" i="39"/>
  <c r="J54" i="39"/>
  <c r="F54" i="39"/>
  <c r="J53" i="39"/>
  <c r="F53" i="39"/>
  <c r="J52" i="39"/>
  <c r="F52" i="39"/>
  <c r="J51" i="39"/>
  <c r="F51" i="39"/>
  <c r="J50" i="39"/>
  <c r="F50" i="39"/>
  <c r="J49" i="39"/>
  <c r="F49" i="39"/>
  <c r="J48" i="39"/>
  <c r="F48" i="39"/>
  <c r="J47" i="39"/>
  <c r="F47" i="39"/>
  <c r="J46" i="39"/>
  <c r="F46" i="39"/>
  <c r="J45" i="39"/>
  <c r="F45" i="39"/>
  <c r="J44" i="39"/>
  <c r="F44" i="39"/>
  <c r="J43" i="39"/>
  <c r="F43" i="39"/>
  <c r="J42" i="39"/>
  <c r="F42" i="39"/>
  <c r="J41" i="39"/>
  <c r="F41" i="39"/>
  <c r="J40" i="39"/>
  <c r="F40" i="39"/>
  <c r="J39" i="39"/>
  <c r="F39" i="39"/>
  <c r="J38" i="39"/>
  <c r="F38" i="39"/>
  <c r="J37" i="39"/>
  <c r="F37" i="39"/>
  <c r="J36" i="39"/>
  <c r="F36" i="39"/>
  <c r="J35" i="39"/>
  <c r="F35" i="39"/>
  <c r="J34" i="39"/>
  <c r="F34" i="39"/>
  <c r="J33" i="39"/>
  <c r="F33" i="39"/>
  <c r="J32" i="39"/>
  <c r="F32" i="39"/>
  <c r="J31" i="39"/>
  <c r="F31" i="39"/>
  <c r="J30" i="39"/>
  <c r="F30" i="39"/>
  <c r="J29" i="39"/>
  <c r="F29" i="39"/>
  <c r="J28" i="39"/>
  <c r="F28" i="39"/>
  <c r="J27" i="39"/>
  <c r="F27" i="39"/>
  <c r="J26" i="39"/>
  <c r="F26" i="39"/>
  <c r="J25" i="39"/>
  <c r="F25" i="39"/>
  <c r="J24" i="39"/>
  <c r="F24" i="39"/>
  <c r="J23" i="39"/>
  <c r="F23" i="39"/>
  <c r="J22" i="39"/>
  <c r="F22" i="39"/>
  <c r="J21" i="39"/>
  <c r="F21" i="39"/>
  <c r="J20" i="39"/>
  <c r="F20" i="39"/>
  <c r="J19" i="39"/>
  <c r="F19" i="39"/>
  <c r="K184" i="38"/>
  <c r="M183" i="38"/>
  <c r="K183" i="38"/>
  <c r="K182" i="38"/>
  <c r="K181" i="38"/>
  <c r="K180" i="38"/>
  <c r="M179" i="38"/>
  <c r="K179" i="38"/>
  <c r="M178" i="38"/>
  <c r="K178" i="38"/>
  <c r="M177" i="38"/>
  <c r="K177" i="38"/>
  <c r="M176" i="38"/>
  <c r="K176" i="38"/>
  <c r="P170" i="38"/>
  <c r="U167" i="38"/>
  <c r="P167" i="38"/>
  <c r="K162" i="38"/>
  <c r="I162" i="38"/>
  <c r="K157" i="38"/>
  <c r="K152" i="38"/>
  <c r="AB152" i="38" s="1"/>
  <c r="I152" i="38"/>
  <c r="K147" i="38"/>
  <c r="I147" i="38"/>
  <c r="K142" i="38"/>
  <c r="I142" i="38"/>
  <c r="K137" i="38"/>
  <c r="I137" i="38"/>
  <c r="K132" i="38"/>
  <c r="I132" i="38"/>
  <c r="K127" i="38"/>
  <c r="I127" i="38"/>
  <c r="K122" i="38"/>
  <c r="I122" i="38"/>
  <c r="K117" i="38"/>
  <c r="I117" i="38"/>
  <c r="K112" i="38"/>
  <c r="I112" i="38"/>
  <c r="K107" i="38"/>
  <c r="I107" i="38"/>
  <c r="K102" i="38"/>
  <c r="I102" i="38"/>
  <c r="K97" i="38"/>
  <c r="I97" i="38"/>
  <c r="K92" i="38"/>
  <c r="AB92" i="38" s="1"/>
  <c r="I92" i="38"/>
  <c r="K87" i="38"/>
  <c r="AB87" i="38" s="1"/>
  <c r="I87" i="38"/>
  <c r="O87" i="38" s="1"/>
  <c r="K82" i="38"/>
  <c r="I82" i="38"/>
  <c r="K77" i="38"/>
  <c r="I77" i="38"/>
  <c r="K72" i="38"/>
  <c r="I72" i="38"/>
  <c r="O72" i="38" s="1"/>
  <c r="K67" i="38"/>
  <c r="I67" i="38"/>
  <c r="O67" i="38" s="1"/>
  <c r="K62" i="38"/>
  <c r="I62" i="38"/>
  <c r="O62" i="38" s="1"/>
  <c r="K57" i="38"/>
  <c r="I57" i="38"/>
  <c r="O57" i="38" s="1"/>
  <c r="K52" i="38"/>
  <c r="I52" i="38"/>
  <c r="O52" i="38" s="1"/>
  <c r="K47" i="38"/>
  <c r="I47" i="38"/>
  <c r="O47" i="38" s="1"/>
  <c r="K42" i="38"/>
  <c r="I42" i="38"/>
  <c r="O42" i="38" s="1"/>
  <c r="K37" i="38"/>
  <c r="I37" i="38"/>
  <c r="O37" i="38" s="1"/>
  <c r="K32" i="38"/>
  <c r="AB32" i="38" s="1"/>
  <c r="I32" i="38"/>
  <c r="O32" i="38" s="1"/>
  <c r="K27" i="38"/>
  <c r="AB27" i="38" s="1"/>
  <c r="I27" i="38"/>
  <c r="O27" i="38" s="1"/>
  <c r="K22" i="38"/>
  <c r="I22" i="38"/>
  <c r="O22" i="38" s="1"/>
  <c r="J74" i="37"/>
  <c r="G18" i="33" s="1"/>
  <c r="F74" i="37"/>
  <c r="E18" i="33" s="1"/>
  <c r="J74" i="36"/>
  <c r="G17" i="33" s="1"/>
  <c r="F74" i="36"/>
  <c r="E17" i="33" s="1"/>
  <c r="J74" i="35"/>
  <c r="G16" i="33" s="1"/>
  <c r="F74" i="35"/>
  <c r="E16" i="33" s="1"/>
  <c r="J74" i="34"/>
  <c r="G15" i="33" s="1"/>
  <c r="F74" i="34"/>
  <c r="E15" i="33" s="1"/>
  <c r="F31" i="32"/>
  <c r="R89" i="40" s="1"/>
  <c r="F30" i="32"/>
  <c r="O89" i="40" s="1"/>
  <c r="A30" i="32"/>
  <c r="A31" i="32" s="1"/>
  <c r="A17" i="32"/>
  <c r="A18" i="32" s="1"/>
  <c r="A19" i="32" s="1"/>
  <c r="A20" i="32" s="1"/>
  <c r="A21" i="32" s="1"/>
  <c r="A22" i="32" s="1"/>
  <c r="A23" i="32" s="1"/>
  <c r="A24" i="32" s="1"/>
  <c r="A25" i="32" s="1"/>
  <c r="A26" i="32" s="1"/>
  <c r="H31" i="30"/>
  <c r="A31" i="30"/>
  <c r="H30" i="30"/>
  <c r="A22" i="30"/>
  <c r="A23" i="30" s="1"/>
  <c r="A24" i="30" s="1"/>
  <c r="A25" i="30" s="1"/>
  <c r="A26" i="30" s="1"/>
  <c r="E90" i="29"/>
  <c r="H25" i="29"/>
  <c r="G25" i="29"/>
  <c r="L38" i="50" l="1"/>
  <c r="G29" i="33"/>
  <c r="E29" i="33"/>
  <c r="V83" i="40"/>
  <c r="G16" i="29"/>
  <c r="G51" i="40"/>
  <c r="X83" i="40"/>
  <c r="D21" i="29"/>
  <c r="X85" i="40"/>
  <c r="V85" i="40"/>
  <c r="I44" i="40"/>
  <c r="G39" i="40"/>
  <c r="I36" i="40"/>
  <c r="A22" i="41"/>
  <c r="H21" i="41"/>
  <c r="I21" i="41" s="1"/>
  <c r="G31" i="40"/>
  <c r="I28" i="40"/>
  <c r="E28" i="29" s="1"/>
  <c r="E61" i="29"/>
  <c r="E68" i="29" s="1"/>
  <c r="I68" i="40"/>
  <c r="G94" i="29"/>
  <c r="R170" i="38"/>
  <c r="M171" i="50" s="1"/>
  <c r="A17" i="43"/>
  <c r="H16" i="43"/>
  <c r="I16" i="43" s="1"/>
  <c r="E17" i="32" s="1"/>
  <c r="E16" i="43"/>
  <c r="F16" i="43" s="1"/>
  <c r="D16" i="40"/>
  <c r="F13" i="40"/>
  <c r="D13" i="29" s="1"/>
  <c r="E35" i="33"/>
  <c r="D29" i="52"/>
  <c r="G68" i="40"/>
  <c r="F21" i="40"/>
  <c r="G79" i="40"/>
  <c r="I71" i="40"/>
  <c r="X71" i="40" s="1"/>
  <c r="S86" i="40"/>
  <c r="V86" i="40" s="1"/>
  <c r="U82" i="40"/>
  <c r="G58" i="40"/>
  <c r="I54" i="40"/>
  <c r="X54" i="40" s="1"/>
  <c r="U84" i="40"/>
  <c r="J21" i="40"/>
  <c r="H21" i="29"/>
  <c r="G21" i="29"/>
  <c r="J72" i="29"/>
  <c r="J45" i="29"/>
  <c r="J73" i="29"/>
  <c r="J19" i="29"/>
  <c r="J76" i="29"/>
  <c r="I21" i="29"/>
  <c r="P58" i="40"/>
  <c r="E21" i="29"/>
  <c r="F21" i="29"/>
  <c r="P51" i="40"/>
  <c r="J50" i="29"/>
  <c r="J56" i="29"/>
  <c r="E16" i="29"/>
  <c r="J30" i="29"/>
  <c r="J37" i="29"/>
  <c r="J57" i="29"/>
  <c r="J55" i="29"/>
  <c r="J63" i="29"/>
  <c r="J67" i="29"/>
  <c r="J78" i="29"/>
  <c r="J77" i="29"/>
  <c r="J38" i="29"/>
  <c r="J48" i="29"/>
  <c r="J66" i="29"/>
  <c r="J74" i="29"/>
  <c r="M16" i="40"/>
  <c r="P21" i="40"/>
  <c r="M58" i="40"/>
  <c r="J20" i="29"/>
  <c r="S68" i="40"/>
  <c r="M39" i="40"/>
  <c r="J79" i="40"/>
  <c r="X46" i="40"/>
  <c r="S58" i="40"/>
  <c r="J51" i="40"/>
  <c r="P79" i="40"/>
  <c r="S21" i="40"/>
  <c r="S79" i="40"/>
  <c r="J75" i="29"/>
  <c r="V37" i="40"/>
  <c r="G21" i="40"/>
  <c r="X61" i="40"/>
  <c r="V71" i="40"/>
  <c r="X76" i="40"/>
  <c r="F16" i="29"/>
  <c r="R39" i="40"/>
  <c r="J46" i="29"/>
  <c r="I16" i="40"/>
  <c r="L21" i="40"/>
  <c r="V73" i="40"/>
  <c r="V28" i="40"/>
  <c r="L58" i="40"/>
  <c r="V67" i="40"/>
  <c r="G31" i="29"/>
  <c r="J29" i="29"/>
  <c r="P39" i="40"/>
  <c r="V62" i="40"/>
  <c r="X73" i="40"/>
  <c r="U39" i="40"/>
  <c r="J16" i="40"/>
  <c r="S39" i="40"/>
  <c r="J68" i="40"/>
  <c r="O21" i="40"/>
  <c r="X56" i="40"/>
  <c r="V74" i="40"/>
  <c r="M31" i="40"/>
  <c r="V29" i="40"/>
  <c r="V57" i="40"/>
  <c r="X62" i="40"/>
  <c r="X19" i="40"/>
  <c r="V44" i="40"/>
  <c r="X50" i="40"/>
  <c r="R79" i="40"/>
  <c r="M21" i="40"/>
  <c r="J58" i="40"/>
  <c r="M79" i="40"/>
  <c r="V20" i="40"/>
  <c r="V76" i="40"/>
  <c r="G16" i="40"/>
  <c r="V36" i="40"/>
  <c r="R58" i="40"/>
  <c r="X30" i="40"/>
  <c r="V61" i="40"/>
  <c r="V66" i="40"/>
  <c r="R51" i="40"/>
  <c r="V45" i="40"/>
  <c r="V48" i="40"/>
  <c r="V55" i="40"/>
  <c r="X57" i="40"/>
  <c r="V63" i="40"/>
  <c r="V72" i="40"/>
  <c r="X74" i="40"/>
  <c r="X77" i="40"/>
  <c r="S16" i="40"/>
  <c r="U13" i="40"/>
  <c r="I13" i="29" s="1"/>
  <c r="V47" i="40"/>
  <c r="U47" i="40"/>
  <c r="F61" i="29"/>
  <c r="I36" i="29"/>
  <c r="I39" i="29" s="1"/>
  <c r="H44" i="29"/>
  <c r="H51" i="29" s="1"/>
  <c r="L16" i="40"/>
  <c r="R21" i="40"/>
  <c r="X20" i="40"/>
  <c r="X29" i="40"/>
  <c r="X37" i="40"/>
  <c r="X66" i="40"/>
  <c r="V75" i="40"/>
  <c r="S51" i="40"/>
  <c r="U44" i="40"/>
  <c r="G61" i="29"/>
  <c r="V64" i="40"/>
  <c r="R64" i="40"/>
  <c r="V30" i="40"/>
  <c r="X45" i="40"/>
  <c r="X48" i="40"/>
  <c r="X55" i="40"/>
  <c r="X63" i="40"/>
  <c r="X72" i="40"/>
  <c r="X78" i="40"/>
  <c r="J31" i="40"/>
  <c r="L28" i="40"/>
  <c r="F28" i="29" s="1"/>
  <c r="H71" i="29"/>
  <c r="H79" i="29" s="1"/>
  <c r="H36" i="29"/>
  <c r="H39" i="29" s="1"/>
  <c r="O16" i="40"/>
  <c r="I21" i="40"/>
  <c r="U21" i="40"/>
  <c r="X38" i="40"/>
  <c r="V46" i="40"/>
  <c r="V56" i="40"/>
  <c r="X67" i="40"/>
  <c r="X75" i="40"/>
  <c r="V54" i="40"/>
  <c r="I61" i="29"/>
  <c r="I68" i="29" s="1"/>
  <c r="U68" i="40"/>
  <c r="M68" i="40"/>
  <c r="O64" i="40"/>
  <c r="F71" i="29"/>
  <c r="F79" i="29" s="1"/>
  <c r="L79" i="40"/>
  <c r="O31" i="40"/>
  <c r="P31" i="40"/>
  <c r="R28" i="40"/>
  <c r="H28" i="29" s="1"/>
  <c r="V65" i="40"/>
  <c r="L65" i="40"/>
  <c r="L68" i="40" s="1"/>
  <c r="G71" i="29"/>
  <c r="G79" i="29" s="1"/>
  <c r="O79" i="40"/>
  <c r="J62" i="29"/>
  <c r="F54" i="29"/>
  <c r="F58" i="29" s="1"/>
  <c r="S31" i="40"/>
  <c r="U28" i="40"/>
  <c r="I28" i="29" s="1"/>
  <c r="G54" i="29"/>
  <c r="G58" i="29" s="1"/>
  <c r="O58" i="40"/>
  <c r="V15" i="40"/>
  <c r="R15" i="40"/>
  <c r="H15" i="29" s="1"/>
  <c r="F44" i="29"/>
  <c r="F51" i="29" s="1"/>
  <c r="L51" i="40"/>
  <c r="I71" i="29"/>
  <c r="I79" i="29" s="1"/>
  <c r="U79" i="40"/>
  <c r="G39" i="29"/>
  <c r="H54" i="29"/>
  <c r="H58" i="29" s="1"/>
  <c r="V14" i="40"/>
  <c r="R14" i="40"/>
  <c r="J39" i="40"/>
  <c r="L36" i="40"/>
  <c r="M51" i="40"/>
  <c r="O44" i="40"/>
  <c r="I54" i="29"/>
  <c r="I58" i="29" s="1"/>
  <c r="U58" i="40"/>
  <c r="O39" i="40"/>
  <c r="Q33" i="40"/>
  <c r="Q41" i="40" s="1"/>
  <c r="Q92" i="40" s="1"/>
  <c r="Q96" i="40" s="1"/>
  <c r="P53" i="50"/>
  <c r="D118" i="52" s="1"/>
  <c r="D113" i="52"/>
  <c r="R63" i="50"/>
  <c r="D137" i="52" s="1"/>
  <c r="D134" i="52"/>
  <c r="L78" i="50"/>
  <c r="D158" i="52"/>
  <c r="N103" i="50"/>
  <c r="D207" i="52" s="1"/>
  <c r="D203" i="52"/>
  <c r="R138" i="50"/>
  <c r="D272" i="52" s="1"/>
  <c r="D269" i="52"/>
  <c r="P103" i="50"/>
  <c r="D208" i="52" s="1"/>
  <c r="R113" i="50"/>
  <c r="D227" i="52" s="1"/>
  <c r="D224" i="52"/>
  <c r="P128" i="50"/>
  <c r="D253" i="52" s="1"/>
  <c r="D248" i="52"/>
  <c r="N43" i="50"/>
  <c r="D99" i="52" s="1"/>
  <c r="D95" i="52"/>
  <c r="R78" i="50"/>
  <c r="D164" i="52" s="1"/>
  <c r="D161" i="52"/>
  <c r="P43" i="50"/>
  <c r="D100" i="52" s="1"/>
  <c r="R53" i="50"/>
  <c r="D119" i="52" s="1"/>
  <c r="D116" i="52"/>
  <c r="P68" i="50"/>
  <c r="D145" i="52" s="1"/>
  <c r="D140" i="52"/>
  <c r="N93" i="50"/>
  <c r="D189" i="52" s="1"/>
  <c r="R103" i="50"/>
  <c r="D209" i="52" s="1"/>
  <c r="D206" i="52"/>
  <c r="N143" i="50"/>
  <c r="D279" i="52" s="1"/>
  <c r="D275" i="52"/>
  <c r="L118" i="50"/>
  <c r="D230" i="52"/>
  <c r="P158" i="50"/>
  <c r="D307" i="52" s="1"/>
  <c r="D302" i="52"/>
  <c r="N83" i="50"/>
  <c r="D171" i="52" s="1"/>
  <c r="D167" i="52"/>
  <c r="P38" i="50"/>
  <c r="D91" i="52" s="1"/>
  <c r="D86" i="52"/>
  <c r="F86" i="52" s="1"/>
  <c r="L58" i="50"/>
  <c r="D122" i="52"/>
  <c r="P108" i="50"/>
  <c r="D217" i="52" s="1"/>
  <c r="D212" i="52"/>
  <c r="L158" i="50"/>
  <c r="N23" i="50"/>
  <c r="D63" i="52" s="1"/>
  <c r="D59" i="52"/>
  <c r="P48" i="50"/>
  <c r="D109" i="52" s="1"/>
  <c r="D104" i="52"/>
  <c r="P98" i="50"/>
  <c r="D199" i="52" s="1"/>
  <c r="D194" i="52"/>
  <c r="R43" i="50"/>
  <c r="D101" i="52" s="1"/>
  <c r="D98" i="52"/>
  <c r="P28" i="50"/>
  <c r="D73" i="52" s="1"/>
  <c r="D68" i="52"/>
  <c r="N38" i="50"/>
  <c r="D90" i="52" s="1"/>
  <c r="P88" i="50"/>
  <c r="D181" i="52" s="1"/>
  <c r="D176" i="52"/>
  <c r="P123" i="50"/>
  <c r="D244" i="52" s="1"/>
  <c r="D239" i="52"/>
  <c r="R148" i="50"/>
  <c r="D290" i="52" s="1"/>
  <c r="D287" i="52"/>
  <c r="R28" i="50"/>
  <c r="D74" i="52" s="1"/>
  <c r="D71" i="52"/>
  <c r="R38" i="50"/>
  <c r="D92" i="52" s="1"/>
  <c r="D89" i="52"/>
  <c r="N63" i="50"/>
  <c r="D135" i="52" s="1"/>
  <c r="D131" i="52"/>
  <c r="R88" i="50"/>
  <c r="D182" i="52" s="1"/>
  <c r="D179" i="52"/>
  <c r="P113" i="50"/>
  <c r="D226" i="52" s="1"/>
  <c r="D221" i="52"/>
  <c r="R123" i="50"/>
  <c r="D245" i="52" s="1"/>
  <c r="D242" i="52"/>
  <c r="L138" i="50"/>
  <c r="D266" i="52"/>
  <c r="N163" i="50"/>
  <c r="D315" i="52" s="1"/>
  <c r="D311" i="52"/>
  <c r="J198" i="39"/>
  <c r="F198" i="39"/>
  <c r="P197" i="51"/>
  <c r="H9" i="51" s="1"/>
  <c r="Q197" i="51"/>
  <c r="I9" i="51" s="1"/>
  <c r="I10" i="51" s="1"/>
  <c r="H197" i="51"/>
  <c r="H8" i="51" s="1"/>
  <c r="R153" i="50"/>
  <c r="D299" i="52" s="1"/>
  <c r="R133" i="50"/>
  <c r="D263" i="52" s="1"/>
  <c r="R93" i="50"/>
  <c r="D191" i="52" s="1"/>
  <c r="R73" i="50"/>
  <c r="D155" i="52" s="1"/>
  <c r="R33" i="50"/>
  <c r="D83" i="52" s="1"/>
  <c r="L163" i="50"/>
  <c r="R163" i="50"/>
  <c r="D317" i="52" s="1"/>
  <c r="N158" i="50"/>
  <c r="D306" i="52" s="1"/>
  <c r="R158" i="50"/>
  <c r="D308" i="52" s="1"/>
  <c r="L153" i="50"/>
  <c r="N153" i="50"/>
  <c r="D297" i="52" s="1"/>
  <c r="P153" i="50"/>
  <c r="D298" i="52" s="1"/>
  <c r="P143" i="50"/>
  <c r="D280" i="52" s="1"/>
  <c r="R143" i="50"/>
  <c r="D281" i="52" s="1"/>
  <c r="N138" i="50"/>
  <c r="D270" i="52" s="1"/>
  <c r="P138" i="50"/>
  <c r="D271" i="52" s="1"/>
  <c r="L128" i="50"/>
  <c r="N128" i="50"/>
  <c r="D252" i="52" s="1"/>
  <c r="R128" i="50"/>
  <c r="D254" i="52" s="1"/>
  <c r="N118" i="50"/>
  <c r="D234" i="52" s="1"/>
  <c r="P118" i="50"/>
  <c r="D235" i="52" s="1"/>
  <c r="R118" i="50"/>
  <c r="D236" i="52" s="1"/>
  <c r="L113" i="50"/>
  <c r="L103" i="50"/>
  <c r="L98" i="50"/>
  <c r="N98" i="50"/>
  <c r="D198" i="52" s="1"/>
  <c r="R98" i="50"/>
  <c r="D200" i="52" s="1"/>
  <c r="L93" i="50"/>
  <c r="P93" i="50"/>
  <c r="D190" i="52" s="1"/>
  <c r="P83" i="50"/>
  <c r="D172" i="52" s="1"/>
  <c r="R83" i="50"/>
  <c r="D173" i="52" s="1"/>
  <c r="N78" i="50"/>
  <c r="D162" i="52" s="1"/>
  <c r="P78" i="50"/>
  <c r="D163" i="52" s="1"/>
  <c r="L68" i="50"/>
  <c r="N68" i="50"/>
  <c r="D144" i="52" s="1"/>
  <c r="R68" i="50"/>
  <c r="D146" i="52" s="1"/>
  <c r="N58" i="50"/>
  <c r="D126" i="52" s="1"/>
  <c r="P58" i="50"/>
  <c r="D127" i="52" s="1"/>
  <c r="R58" i="50"/>
  <c r="D128" i="52" s="1"/>
  <c r="L53" i="50"/>
  <c r="L43" i="50"/>
  <c r="L33" i="50"/>
  <c r="N33" i="50"/>
  <c r="D81" i="52" s="1"/>
  <c r="P33" i="50"/>
  <c r="D82" i="52" s="1"/>
  <c r="P23" i="50"/>
  <c r="D64" i="52" s="1"/>
  <c r="R23" i="50"/>
  <c r="D65" i="52" s="1"/>
  <c r="Q168" i="50"/>
  <c r="L18" i="50"/>
  <c r="S132" i="38"/>
  <c r="AB132" i="38"/>
  <c r="S72" i="38"/>
  <c r="AB72" i="38"/>
  <c r="X112" i="38"/>
  <c r="AB112" i="38"/>
  <c r="X157" i="38"/>
  <c r="AB157" i="38"/>
  <c r="S37" i="38"/>
  <c r="AB37" i="38"/>
  <c r="N57" i="38"/>
  <c r="AB57" i="38"/>
  <c r="N77" i="38"/>
  <c r="AB77" i="38"/>
  <c r="X97" i="38"/>
  <c r="AB97" i="38"/>
  <c r="N117" i="38"/>
  <c r="AB117" i="38"/>
  <c r="N137" i="38"/>
  <c r="AB137" i="38"/>
  <c r="K167" i="38"/>
  <c r="N167" i="38" s="1"/>
  <c r="AB162" i="38"/>
  <c r="S52" i="38"/>
  <c r="AB52" i="38"/>
  <c r="X22" i="38"/>
  <c r="AB22" i="38"/>
  <c r="S42" i="38"/>
  <c r="AB42" i="38"/>
  <c r="X62" i="38"/>
  <c r="AB62" i="38"/>
  <c r="X82" i="38"/>
  <c r="AB82" i="38"/>
  <c r="S102" i="38"/>
  <c r="AB102" i="38"/>
  <c r="S122" i="38"/>
  <c r="AB122" i="38"/>
  <c r="X142" i="38"/>
  <c r="AB142" i="38"/>
  <c r="X162" i="38"/>
  <c r="X47" i="38"/>
  <c r="AB47" i="38"/>
  <c r="X67" i="38"/>
  <c r="AB67" i="38"/>
  <c r="S107" i="38"/>
  <c r="AB107" i="38"/>
  <c r="X127" i="38"/>
  <c r="AB127" i="38"/>
  <c r="X147" i="38"/>
  <c r="AB147" i="38"/>
  <c r="O183" i="38"/>
  <c r="M179" i="50"/>
  <c r="N179" i="50" s="1"/>
  <c r="N18" i="50"/>
  <c r="D54" i="52" s="1"/>
  <c r="K168" i="50"/>
  <c r="D28" i="52" s="1"/>
  <c r="P18" i="50"/>
  <c r="D55" i="52" s="1"/>
  <c r="R18" i="50"/>
  <c r="D56" i="52" s="1"/>
  <c r="M177" i="50"/>
  <c r="N177" i="50" s="1"/>
  <c r="M184" i="50"/>
  <c r="N184" i="50" s="1"/>
  <c r="M176" i="50"/>
  <c r="N176" i="50" s="1"/>
  <c r="M180" i="50"/>
  <c r="N180" i="50" s="1"/>
  <c r="X52" i="38"/>
  <c r="T183" i="38"/>
  <c r="T179" i="38"/>
  <c r="T178" i="38"/>
  <c r="O177" i="38"/>
  <c r="S82" i="38"/>
  <c r="N52" i="38"/>
  <c r="X137" i="38"/>
  <c r="S137" i="38"/>
  <c r="X42" i="38"/>
  <c r="S77" i="38"/>
  <c r="X107" i="38"/>
  <c r="N107" i="38"/>
  <c r="N82" i="38"/>
  <c r="N97" i="38"/>
  <c r="N112" i="38"/>
  <c r="X132" i="38"/>
  <c r="S112" i="38"/>
  <c r="N47" i="38"/>
  <c r="X102" i="38"/>
  <c r="N142" i="38"/>
  <c r="N157" i="38"/>
  <c r="S47" i="38"/>
  <c r="S142" i="38"/>
  <c r="O176" i="38"/>
  <c r="X72" i="38"/>
  <c r="N22" i="38"/>
  <c r="N37" i="38"/>
  <c r="X77" i="38"/>
  <c r="S22" i="38"/>
  <c r="X37" i="38"/>
  <c r="O178" i="38"/>
  <c r="O179" i="38"/>
  <c r="O90" i="40"/>
  <c r="G89" i="29"/>
  <c r="R90" i="40"/>
  <c r="H89" i="29"/>
  <c r="H90" i="29" s="1"/>
  <c r="J25" i="43"/>
  <c r="J31" i="43" s="1"/>
  <c r="B230" i="52"/>
  <c r="B51" i="52"/>
  <c r="B107" i="52"/>
  <c r="B142" i="52"/>
  <c r="B206" i="52"/>
  <c r="B71" i="52"/>
  <c r="B196" i="52"/>
  <c r="B133" i="52"/>
  <c r="B62" i="52"/>
  <c r="B73" i="52"/>
  <c r="B99" i="52"/>
  <c r="B55" i="52"/>
  <c r="B215" i="52"/>
  <c r="B240" i="52"/>
  <c r="B278" i="52"/>
  <c r="W25" i="40"/>
  <c r="J25" i="41"/>
  <c r="J31" i="41" s="1"/>
  <c r="B101" i="52"/>
  <c r="B173" i="52"/>
  <c r="B91" i="52"/>
  <c r="B199" i="52"/>
  <c r="B312" i="52"/>
  <c r="B125" i="52"/>
  <c r="B236" i="52"/>
  <c r="B249" i="52"/>
  <c r="T33" i="40"/>
  <c r="T41" i="40" s="1"/>
  <c r="T92" i="40" s="1"/>
  <c r="T96" i="40" s="1"/>
  <c r="N33" i="40"/>
  <c r="N41" i="40" s="1"/>
  <c r="N92" i="40" s="1"/>
  <c r="N96" i="40" s="1"/>
  <c r="H33" i="40"/>
  <c r="H41" i="40" s="1"/>
  <c r="H92" i="40" s="1"/>
  <c r="H94" i="40" s="1"/>
  <c r="H96" i="40" s="1"/>
  <c r="W21" i="40"/>
  <c r="K33" i="40"/>
  <c r="K41" i="40" s="1"/>
  <c r="K92" i="40" s="1"/>
  <c r="W16" i="40"/>
  <c r="B54" i="52"/>
  <c r="B61" i="52"/>
  <c r="B89" i="52"/>
  <c r="B123" i="52"/>
  <c r="B132" i="52"/>
  <c r="B141" i="52"/>
  <c r="B162" i="52"/>
  <c r="B181" i="52"/>
  <c r="B204" i="52"/>
  <c r="B267" i="52"/>
  <c r="B277" i="52"/>
  <c r="B311" i="52"/>
  <c r="B70" i="52"/>
  <c r="B98" i="52"/>
  <c r="B172" i="52"/>
  <c r="B244" i="52"/>
  <c r="B108" i="52"/>
  <c r="B270" i="52"/>
  <c r="B304" i="52"/>
  <c r="B64" i="52"/>
  <c r="B92" i="52"/>
  <c r="B126" i="52"/>
  <c r="B135" i="52"/>
  <c r="B144" i="52"/>
  <c r="B167" i="52"/>
  <c r="B207" i="52"/>
  <c r="B280" i="52"/>
  <c r="B314" i="52"/>
  <c r="B65" i="52"/>
  <c r="B86" i="52"/>
  <c r="B145" i="52"/>
  <c r="B218" i="52"/>
  <c r="B52" i="52"/>
  <c r="B74" i="52"/>
  <c r="B95" i="52"/>
  <c r="B128" i="52"/>
  <c r="B159" i="52"/>
  <c r="B169" i="52"/>
  <c r="B178" i="52"/>
  <c r="B209" i="52"/>
  <c r="B241" i="52"/>
  <c r="B307" i="52"/>
  <c r="B281" i="52"/>
  <c r="B59" i="52"/>
  <c r="B104" i="52"/>
  <c r="B275" i="52"/>
  <c r="B136" i="52"/>
  <c r="B315" i="52"/>
  <c r="B68" i="52"/>
  <c r="B88" i="52"/>
  <c r="B96" i="52"/>
  <c r="B110" i="52"/>
  <c r="B122" i="52"/>
  <c r="B170" i="52"/>
  <c r="B203" i="52"/>
  <c r="B233" i="52"/>
  <c r="B252" i="52"/>
  <c r="B105" i="52"/>
  <c r="B212" i="52"/>
  <c r="B243" i="52"/>
  <c r="B317" i="52"/>
  <c r="V78" i="40"/>
  <c r="V77" i="40"/>
  <c r="P68" i="40"/>
  <c r="V50" i="40"/>
  <c r="V38" i="40"/>
  <c r="D21" i="40"/>
  <c r="V19" i="40"/>
  <c r="V13" i="40"/>
  <c r="P16" i="40"/>
  <c r="B286" i="52"/>
  <c r="B289" i="52"/>
  <c r="B78" i="52"/>
  <c r="B81" i="52"/>
  <c r="B115" i="52"/>
  <c r="B118" i="52"/>
  <c r="B149" i="52"/>
  <c r="B152" i="52"/>
  <c r="B155" i="52"/>
  <c r="B186" i="52"/>
  <c r="B189" i="52"/>
  <c r="B223" i="52"/>
  <c r="B226" i="52"/>
  <c r="B257" i="52"/>
  <c r="B260" i="52"/>
  <c r="B263" i="52"/>
  <c r="B294" i="52"/>
  <c r="B297" i="52"/>
  <c r="B160" i="52"/>
  <c r="B163" i="52"/>
  <c r="B194" i="52"/>
  <c r="B197" i="52"/>
  <c r="B200" i="52"/>
  <c r="B231" i="52"/>
  <c r="B234" i="52"/>
  <c r="B268" i="52"/>
  <c r="B271" i="52"/>
  <c r="B302" i="52"/>
  <c r="B305" i="52"/>
  <c r="B308" i="52"/>
  <c r="B60" i="52"/>
  <c r="B63" i="52"/>
  <c r="B97" i="52"/>
  <c r="B100" i="52"/>
  <c r="B131" i="52"/>
  <c r="B134" i="52"/>
  <c r="B137" i="52"/>
  <c r="B168" i="52"/>
  <c r="B171" i="52"/>
  <c r="B205" i="52"/>
  <c r="B208" i="52"/>
  <c r="B239" i="52"/>
  <c r="B242" i="52"/>
  <c r="B245" i="52"/>
  <c r="B276" i="52"/>
  <c r="B279" i="52"/>
  <c r="B313" i="52"/>
  <c r="B316" i="52"/>
  <c r="B176" i="52"/>
  <c r="B179" i="52"/>
  <c r="B182" i="52"/>
  <c r="B213" i="52"/>
  <c r="B216" i="52"/>
  <c r="B250" i="52"/>
  <c r="B253" i="52"/>
  <c r="B284" i="52"/>
  <c r="B287" i="52"/>
  <c r="B290" i="52"/>
  <c r="B79" i="52"/>
  <c r="B82" i="52"/>
  <c r="B113" i="52"/>
  <c r="B116" i="52"/>
  <c r="B119" i="52"/>
  <c r="B150" i="52"/>
  <c r="B153" i="52"/>
  <c r="B187" i="52"/>
  <c r="B190" i="52"/>
  <c r="B221" i="52"/>
  <c r="B224" i="52"/>
  <c r="B227" i="52"/>
  <c r="B258" i="52"/>
  <c r="B261" i="52"/>
  <c r="B295" i="52"/>
  <c r="B298" i="52"/>
  <c r="B50" i="52"/>
  <c r="B53" i="52"/>
  <c r="B56" i="52"/>
  <c r="B87" i="52"/>
  <c r="B90" i="52"/>
  <c r="B124" i="52"/>
  <c r="B127" i="52"/>
  <c r="B158" i="52"/>
  <c r="B161" i="52"/>
  <c r="B164" i="52"/>
  <c r="B195" i="52"/>
  <c r="B198" i="52"/>
  <c r="B232" i="52"/>
  <c r="B235" i="52"/>
  <c r="B266" i="52"/>
  <c r="B269" i="52"/>
  <c r="B272" i="52"/>
  <c r="B303" i="52"/>
  <c r="B306" i="52"/>
  <c r="B69" i="52"/>
  <c r="B72" i="52"/>
  <c r="B106" i="52"/>
  <c r="B109" i="52"/>
  <c r="B140" i="52"/>
  <c r="B143" i="52"/>
  <c r="B146" i="52"/>
  <c r="B177" i="52"/>
  <c r="B180" i="52"/>
  <c r="B214" i="52"/>
  <c r="B217" i="52"/>
  <c r="B248" i="52"/>
  <c r="B251" i="52"/>
  <c r="B254" i="52"/>
  <c r="B285" i="52"/>
  <c r="B288" i="52"/>
  <c r="B77" i="52"/>
  <c r="B80" i="52"/>
  <c r="B83" i="52"/>
  <c r="B114" i="52"/>
  <c r="B117" i="52"/>
  <c r="B151" i="52"/>
  <c r="B154" i="52"/>
  <c r="B185" i="52"/>
  <c r="B188" i="52"/>
  <c r="B191" i="52"/>
  <c r="B222" i="52"/>
  <c r="B225" i="52"/>
  <c r="B259" i="52"/>
  <c r="B262" i="52"/>
  <c r="B293" i="52"/>
  <c r="B296" i="52"/>
  <c r="R48" i="50"/>
  <c r="D110" i="52" s="1"/>
  <c r="R108" i="50"/>
  <c r="D218" i="52" s="1"/>
  <c r="L28" i="50"/>
  <c r="L88" i="50"/>
  <c r="L148" i="50"/>
  <c r="N28" i="50"/>
  <c r="D72" i="52" s="1"/>
  <c r="L63" i="50"/>
  <c r="N88" i="50"/>
  <c r="D180" i="52" s="1"/>
  <c r="L123" i="50"/>
  <c r="N148" i="50"/>
  <c r="D288" i="52" s="1"/>
  <c r="N123" i="50"/>
  <c r="D243" i="52" s="1"/>
  <c r="L48" i="50"/>
  <c r="N73" i="50"/>
  <c r="D153" i="52" s="1"/>
  <c r="L108" i="50"/>
  <c r="N133" i="50"/>
  <c r="D261" i="52" s="1"/>
  <c r="P148" i="50"/>
  <c r="D289" i="52" s="1"/>
  <c r="P63" i="50"/>
  <c r="D136" i="52" s="1"/>
  <c r="L73" i="50"/>
  <c r="L23" i="50"/>
  <c r="N48" i="50"/>
  <c r="D108" i="52" s="1"/>
  <c r="P73" i="50"/>
  <c r="D154" i="52" s="1"/>
  <c r="L83" i="50"/>
  <c r="N108" i="50"/>
  <c r="D216" i="52" s="1"/>
  <c r="P133" i="50"/>
  <c r="D262" i="52" s="1"/>
  <c r="L143" i="50"/>
  <c r="L133" i="50"/>
  <c r="N32" i="38"/>
  <c r="S57" i="38"/>
  <c r="N92" i="38"/>
  <c r="S117" i="38"/>
  <c r="N152" i="38"/>
  <c r="S32" i="38"/>
  <c r="X57" i="38"/>
  <c r="N67" i="38"/>
  <c r="S92" i="38"/>
  <c r="X117" i="38"/>
  <c r="N127" i="38"/>
  <c r="S152" i="38"/>
  <c r="X32" i="38"/>
  <c r="N42" i="38"/>
  <c r="S67" i="38"/>
  <c r="X92" i="38"/>
  <c r="N102" i="38"/>
  <c r="S127" i="38"/>
  <c r="X152" i="38"/>
  <c r="N162" i="38"/>
  <c r="Z167" i="38"/>
  <c r="S162" i="38"/>
  <c r="N27" i="38"/>
  <c r="N87" i="38"/>
  <c r="N147" i="38"/>
  <c r="S27" i="38"/>
  <c r="N62" i="38"/>
  <c r="S87" i="38"/>
  <c r="N122" i="38"/>
  <c r="S147" i="38"/>
  <c r="X27" i="38"/>
  <c r="S62" i="38"/>
  <c r="N72" i="38"/>
  <c r="S97" i="38"/>
  <c r="X122" i="38"/>
  <c r="N132" i="38"/>
  <c r="S157" i="38"/>
  <c r="X87" i="38"/>
  <c r="X14" i="40" l="1"/>
  <c r="H14" i="29"/>
  <c r="G33" i="29"/>
  <c r="G41" i="29" s="1"/>
  <c r="I84" i="29"/>
  <c r="J84" i="29" s="1"/>
  <c r="X84" i="40"/>
  <c r="E71" i="29"/>
  <c r="E79" i="29" s="1"/>
  <c r="J79" i="29" s="1"/>
  <c r="I79" i="40"/>
  <c r="X79" i="40" s="1"/>
  <c r="A18" i="43"/>
  <c r="H17" i="43"/>
  <c r="I17" i="43" s="1"/>
  <c r="E18" i="32" s="1"/>
  <c r="E17" i="43"/>
  <c r="F17" i="43" s="1"/>
  <c r="K21" i="41"/>
  <c r="K27" i="41" s="1"/>
  <c r="I24" i="40" s="1"/>
  <c r="G22" i="30"/>
  <c r="H22" i="30" s="1"/>
  <c r="H28" i="30" s="1"/>
  <c r="D16" i="29"/>
  <c r="F16" i="40"/>
  <c r="A23" i="41"/>
  <c r="H22" i="41"/>
  <c r="I22" i="41" s="1"/>
  <c r="I82" i="29"/>
  <c r="U86" i="40"/>
  <c r="X86" i="40" s="1"/>
  <c r="X82" i="40"/>
  <c r="E36" i="29"/>
  <c r="E39" i="29" s="1"/>
  <c r="I39" i="40"/>
  <c r="E31" i="29"/>
  <c r="I31" i="40"/>
  <c r="D17" i="32"/>
  <c r="F17" i="32" s="1"/>
  <c r="F29" i="32" s="1"/>
  <c r="L89" i="40" s="1"/>
  <c r="K16" i="43"/>
  <c r="K28" i="43" s="1"/>
  <c r="E54" i="29"/>
  <c r="E58" i="29" s="1"/>
  <c r="J58" i="29" s="1"/>
  <c r="I58" i="40"/>
  <c r="X58" i="40" s="1"/>
  <c r="N168" i="50"/>
  <c r="E44" i="29"/>
  <c r="E51" i="29" s="1"/>
  <c r="I51" i="40"/>
  <c r="V51" i="40"/>
  <c r="J21" i="29"/>
  <c r="V79" i="40"/>
  <c r="V58" i="40"/>
  <c r="V21" i="40"/>
  <c r="V39" i="40"/>
  <c r="X21" i="40"/>
  <c r="O33" i="40"/>
  <c r="O41" i="40" s="1"/>
  <c r="V16" i="40"/>
  <c r="V68" i="40"/>
  <c r="G64" i="29"/>
  <c r="G68" i="29" s="1"/>
  <c r="X64" i="40"/>
  <c r="V31" i="40"/>
  <c r="F65" i="29"/>
  <c r="J65" i="29" s="1"/>
  <c r="X65" i="40"/>
  <c r="H64" i="29"/>
  <c r="H68" i="29" s="1"/>
  <c r="R68" i="40"/>
  <c r="J61" i="29"/>
  <c r="I47" i="29"/>
  <c r="J47" i="29" s="1"/>
  <c r="X47" i="40"/>
  <c r="X44" i="40"/>
  <c r="O51" i="40"/>
  <c r="G44" i="29"/>
  <c r="G51" i="29" s="1"/>
  <c r="U31" i="40"/>
  <c r="I31" i="29"/>
  <c r="H31" i="29"/>
  <c r="R31" i="40"/>
  <c r="O68" i="40"/>
  <c r="U16" i="40"/>
  <c r="X36" i="40"/>
  <c r="L39" i="40"/>
  <c r="F36" i="29"/>
  <c r="U51" i="40"/>
  <c r="I44" i="29"/>
  <c r="X13" i="40"/>
  <c r="R16" i="40"/>
  <c r="J15" i="29"/>
  <c r="X15" i="40"/>
  <c r="L31" i="40"/>
  <c r="X28" i="40"/>
  <c r="F9" i="39"/>
  <c r="D37" i="52"/>
  <c r="F10" i="39"/>
  <c r="D38" i="52"/>
  <c r="H10" i="51"/>
  <c r="R168" i="50"/>
  <c r="S167" i="38"/>
  <c r="AB167" i="38"/>
  <c r="P168" i="50"/>
  <c r="L168" i="50"/>
  <c r="T177" i="38"/>
  <c r="S179" i="38"/>
  <c r="S183" i="38"/>
  <c r="S176" i="38"/>
  <c r="S175" i="38"/>
  <c r="S178" i="38"/>
  <c r="S177" i="38"/>
  <c r="X167" i="38"/>
  <c r="G90" i="29"/>
  <c r="W94" i="40"/>
  <c r="W33" i="40"/>
  <c r="W41" i="40"/>
  <c r="K96" i="40"/>
  <c r="W92" i="40"/>
  <c r="H104" i="40"/>
  <c r="J71" i="29" l="1"/>
  <c r="E24" i="29"/>
  <c r="I25" i="40"/>
  <c r="F89" i="29"/>
  <c r="L90" i="40"/>
  <c r="U89" i="40"/>
  <c r="J54" i="29"/>
  <c r="J82" i="29"/>
  <c r="I86" i="29"/>
  <c r="J86" i="29" s="1"/>
  <c r="K22" i="41"/>
  <c r="G23" i="30"/>
  <c r="H23" i="30" s="1"/>
  <c r="A24" i="41"/>
  <c r="H23" i="41"/>
  <c r="I23" i="41" s="1"/>
  <c r="D18" i="32"/>
  <c r="F18" i="32" s="1"/>
  <c r="K17" i="43"/>
  <c r="X39" i="40"/>
  <c r="A19" i="43"/>
  <c r="E18" i="43"/>
  <c r="F18" i="43" s="1"/>
  <c r="H18" i="43"/>
  <c r="I18" i="43" s="1"/>
  <c r="E19" i="32" s="1"/>
  <c r="X16" i="40"/>
  <c r="I51" i="29"/>
  <c r="J51" i="29" s="1"/>
  <c r="O92" i="40"/>
  <c r="R33" i="40"/>
  <c r="R41" i="40" s="1"/>
  <c r="R92" i="40" s="1"/>
  <c r="R96" i="40" s="1"/>
  <c r="J64" i="29"/>
  <c r="F68" i="29"/>
  <c r="J68" i="29" s="1"/>
  <c r="X31" i="40"/>
  <c r="H16" i="29"/>
  <c r="H33" i="29" s="1"/>
  <c r="H41" i="29" s="1"/>
  <c r="H92" i="29" s="1"/>
  <c r="J14" i="29"/>
  <c r="J44" i="29"/>
  <c r="X68" i="40"/>
  <c r="F31" i="29"/>
  <c r="J28" i="29"/>
  <c r="F39" i="29"/>
  <c r="J39" i="29" s="1"/>
  <c r="J36" i="29"/>
  <c r="J13" i="29"/>
  <c r="I16" i="29"/>
  <c r="X51" i="40"/>
  <c r="G92" i="29"/>
  <c r="G96" i="29" s="1"/>
  <c r="E36" i="33" s="1"/>
  <c r="F11" i="39"/>
  <c r="K99" i="40"/>
  <c r="W96" i="40"/>
  <c r="H96" i="29" l="1"/>
  <c r="G30" i="33"/>
  <c r="G31" i="33" s="1"/>
  <c r="E25" i="29"/>
  <c r="I33" i="40"/>
  <c r="U90" i="40"/>
  <c r="X89" i="40"/>
  <c r="F90" i="29"/>
  <c r="I89" i="29"/>
  <c r="D19" i="32"/>
  <c r="F19" i="32" s="1"/>
  <c r="K18" i="43"/>
  <c r="A20" i="43"/>
  <c r="H19" i="43"/>
  <c r="I19" i="43" s="1"/>
  <c r="E20" i="32" s="1"/>
  <c r="E19" i="43"/>
  <c r="F19" i="43" s="1"/>
  <c r="O96" i="40"/>
  <c r="R169" i="38"/>
  <c r="M170" i="50" s="1"/>
  <c r="A25" i="41"/>
  <c r="H24" i="41"/>
  <c r="I24" i="41" s="1"/>
  <c r="K23" i="41"/>
  <c r="G24" i="30"/>
  <c r="H24" i="30" s="1"/>
  <c r="J16" i="29"/>
  <c r="J31" i="29"/>
  <c r="I41" i="40" l="1"/>
  <c r="I92" i="40" s="1"/>
  <c r="I94" i="40" s="1"/>
  <c r="X94" i="40" s="1"/>
  <c r="E33" i="29"/>
  <c r="E41" i="29" s="1"/>
  <c r="E92" i="29" s="1"/>
  <c r="E94" i="29" s="1"/>
  <c r="E96" i="29" s="1"/>
  <c r="I90" i="29"/>
  <c r="J90" i="29" s="1"/>
  <c r="J89" i="29"/>
  <c r="X90" i="40"/>
  <c r="D20" i="32"/>
  <c r="F20" i="32" s="1"/>
  <c r="K19" i="43"/>
  <c r="A21" i="43"/>
  <c r="E20" i="43"/>
  <c r="F20" i="43" s="1"/>
  <c r="H20" i="43"/>
  <c r="I20" i="43" s="1"/>
  <c r="E21" i="32" s="1"/>
  <c r="K24" i="41"/>
  <c r="K25" i="41" s="1"/>
  <c r="G25" i="30"/>
  <c r="H25" i="30" s="1"/>
  <c r="H26" i="30" s="1"/>
  <c r="I96" i="40" l="1"/>
  <c r="H29" i="30"/>
  <c r="H32" i="30" s="1"/>
  <c r="K28" i="41"/>
  <c r="L24" i="40" s="1"/>
  <c r="D21" i="32"/>
  <c r="F21" i="32" s="1"/>
  <c r="K20" i="43"/>
  <c r="A22" i="43"/>
  <c r="H21" i="43"/>
  <c r="I21" i="43" s="1"/>
  <c r="E22" i="32" s="1"/>
  <c r="E21" i="43"/>
  <c r="F21" i="43" s="1"/>
  <c r="D13" i="52"/>
  <c r="J94" i="29"/>
  <c r="K94" i="29" s="1"/>
  <c r="F24" i="29" l="1"/>
  <c r="L25" i="40"/>
  <c r="U24" i="40"/>
  <c r="U25" i="40" s="1"/>
  <c r="U33" i="40" s="1"/>
  <c r="U41" i="40" s="1"/>
  <c r="U92" i="40" s="1"/>
  <c r="U96" i="40" s="1"/>
  <c r="D22" i="32"/>
  <c r="F22" i="32" s="1"/>
  <c r="K21" i="43"/>
  <c r="A23" i="43"/>
  <c r="H22" i="43"/>
  <c r="I22" i="43" s="1"/>
  <c r="E23" i="32" s="1"/>
  <c r="E22" i="43"/>
  <c r="F22" i="43" s="1"/>
  <c r="F19" i="22"/>
  <c r="X24" i="40" l="1"/>
  <c r="L33" i="40"/>
  <c r="X25" i="40"/>
  <c r="F25" i="29"/>
  <c r="I24" i="29"/>
  <c r="A24" i="43"/>
  <c r="H23" i="43"/>
  <c r="I23" i="43" s="1"/>
  <c r="E24" i="32" s="1"/>
  <c r="E23" i="43"/>
  <c r="F23" i="43" s="1"/>
  <c r="D23" i="32"/>
  <c r="F23" i="32" s="1"/>
  <c r="K22" i="43"/>
  <c r="I162" i="12"/>
  <c r="I157" i="12"/>
  <c r="I152" i="12"/>
  <c r="I147" i="12"/>
  <c r="I142" i="12"/>
  <c r="I137" i="12"/>
  <c r="I132" i="12"/>
  <c r="I127" i="12"/>
  <c r="J24" i="29" l="1"/>
  <c r="I25" i="29"/>
  <c r="I33" i="29" s="1"/>
  <c r="I41" i="29" s="1"/>
  <c r="I92" i="29" s="1"/>
  <c r="I96" i="29" s="1"/>
  <c r="F33" i="29"/>
  <c r="L41" i="40"/>
  <c r="X33" i="40"/>
  <c r="D24" i="32"/>
  <c r="F24" i="32" s="1"/>
  <c r="K23" i="43"/>
  <c r="A25" i="43"/>
  <c r="E24" i="43"/>
  <c r="F24" i="43" s="1"/>
  <c r="H24" i="43"/>
  <c r="I24" i="43" s="1"/>
  <c r="E25" i="32" s="1"/>
  <c r="K184" i="12"/>
  <c r="J25" i="29" l="1"/>
  <c r="X41" i="40"/>
  <c r="L92" i="40"/>
  <c r="J33" i="29"/>
  <c r="F41" i="29"/>
  <c r="D25" i="32"/>
  <c r="F25" i="32" s="1"/>
  <c r="F26" i="32" s="1"/>
  <c r="K24" i="43"/>
  <c r="K25" i="43" s="1"/>
  <c r="K176" i="12"/>
  <c r="K175" i="12"/>
  <c r="F92" i="29" l="1"/>
  <c r="E30" i="33" s="1"/>
  <c r="E31" i="33" s="1"/>
  <c r="J41" i="29"/>
  <c r="L96" i="40"/>
  <c r="I104" i="40"/>
  <c r="X92" i="40"/>
  <c r="F32" i="32"/>
  <c r="D14" i="52"/>
  <c r="F38" i="2"/>
  <c r="G38" i="2"/>
  <c r="H38" i="2"/>
  <c r="I38" i="2"/>
  <c r="E38" i="2"/>
  <c r="J37" i="2"/>
  <c r="O8" i="51" l="1"/>
  <c r="O10" i="51" s="1"/>
  <c r="S12" i="51" s="1"/>
  <c r="F8" i="51"/>
  <c r="F10" i="51" s="1"/>
  <c r="I12" i="51" s="1"/>
  <c r="L99" i="40"/>
  <c r="X96" i="40"/>
  <c r="X102" i="40" s="1"/>
  <c r="F96" i="29"/>
  <c r="D42" i="52" s="1"/>
  <c r="E104" i="29"/>
  <c r="J92" i="29"/>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R54" i="66" l="1"/>
  <c r="R25" i="71"/>
  <c r="R15" i="66"/>
  <c r="R64" i="71"/>
  <c r="R63" i="68"/>
  <c r="J20" i="73"/>
  <c r="R16" i="68"/>
  <c r="R63" i="73"/>
  <c r="R53" i="70"/>
  <c r="R31" i="73"/>
  <c r="J45" i="71"/>
  <c r="R24" i="70"/>
  <c r="R24" i="71"/>
  <c r="J47" i="69"/>
  <c r="R17" i="66"/>
  <c r="R43" i="68"/>
  <c r="R45" i="70"/>
  <c r="R69" i="71"/>
  <c r="J19" i="66"/>
  <c r="J20" i="70"/>
  <c r="R16" i="66"/>
  <c r="J33" i="71"/>
  <c r="R43" i="67"/>
  <c r="R68" i="73"/>
  <c r="J46" i="66"/>
  <c r="J67" i="68"/>
  <c r="R21" i="70"/>
  <c r="J57" i="70"/>
  <c r="J29" i="66"/>
  <c r="R15" i="69"/>
  <c r="J32" i="66"/>
  <c r="R64" i="69"/>
  <c r="R46" i="67"/>
  <c r="J15" i="69"/>
  <c r="R35" i="72"/>
  <c r="R50" i="67"/>
  <c r="J69" i="72"/>
  <c r="J54" i="70"/>
  <c r="R61" i="69"/>
  <c r="R44" i="65"/>
  <c r="J37" i="67"/>
  <c r="J23" i="72"/>
  <c r="J58" i="69"/>
  <c r="J36" i="67"/>
  <c r="J63" i="69"/>
  <c r="J71" i="71"/>
  <c r="R72" i="68"/>
  <c r="R70" i="72"/>
  <c r="J67" i="69"/>
  <c r="J36" i="71"/>
  <c r="R45" i="69"/>
  <c r="J25" i="73"/>
  <c r="R46" i="71"/>
  <c r="J28" i="69"/>
  <c r="R49" i="73"/>
  <c r="R50" i="68"/>
  <c r="J34" i="73"/>
  <c r="J52" i="71"/>
  <c r="J66" i="69"/>
  <c r="R70" i="66"/>
  <c r="J34" i="72"/>
  <c r="J40" i="66"/>
  <c r="J37" i="73"/>
  <c r="R26" i="72"/>
  <c r="J62" i="69"/>
  <c r="J51" i="67"/>
  <c r="J25" i="68"/>
  <c r="R46" i="73"/>
  <c r="J22" i="70"/>
  <c r="J66" i="68"/>
  <c r="R31" i="65"/>
  <c r="J32" i="68"/>
  <c r="J36" i="70"/>
  <c r="R70" i="73"/>
  <c r="J37" i="68"/>
  <c r="J56" i="72"/>
  <c r="J22" i="67"/>
  <c r="R30" i="69"/>
  <c r="J58" i="73"/>
  <c r="J60" i="69"/>
  <c r="R65" i="73"/>
  <c r="J64" i="65"/>
  <c r="J73" i="73"/>
  <c r="J37" i="65"/>
  <c r="R49" i="65"/>
  <c r="R32" i="71"/>
  <c r="R49" i="71"/>
  <c r="J65" i="67"/>
  <c r="J47" i="71"/>
  <c r="R49" i="70"/>
  <c r="R67" i="73"/>
  <c r="R23" i="73"/>
  <c r="J63" i="72"/>
  <c r="R28" i="71"/>
  <c r="R20" i="72"/>
  <c r="J37" i="71"/>
  <c r="R36" i="66"/>
  <c r="R16" i="71"/>
  <c r="J35" i="69"/>
  <c r="J41" i="66"/>
  <c r="J59" i="68"/>
  <c r="J61" i="71"/>
  <c r="R39" i="70"/>
  <c r="R67" i="66"/>
  <c r="J61" i="69"/>
  <c r="R59" i="66"/>
  <c r="J25" i="71"/>
  <c r="R39" i="67"/>
  <c r="R55" i="72"/>
  <c r="J17" i="66"/>
  <c r="J19" i="67"/>
  <c r="R63" i="66"/>
  <c r="J53" i="70"/>
  <c r="J68" i="66"/>
  <c r="R15" i="68"/>
  <c r="J71" i="66"/>
  <c r="R23" i="67"/>
  <c r="R47" i="70"/>
  <c r="J36" i="66"/>
  <c r="R23" i="66"/>
  <c r="J15" i="66"/>
  <c r="J23" i="69"/>
  <c r="J67" i="70"/>
  <c r="R17" i="69"/>
  <c r="J54" i="65"/>
  <c r="J53" i="73"/>
  <c r="J46" i="72"/>
  <c r="J46" i="69"/>
  <c r="J32" i="67"/>
  <c r="J17" i="72"/>
  <c r="J29" i="70"/>
  <c r="R26" i="68"/>
  <c r="J58" i="68"/>
  <c r="J45" i="69"/>
  <c r="R42" i="71"/>
  <c r="R53" i="68"/>
  <c r="J44" i="73"/>
  <c r="J24" i="71"/>
  <c r="J28" i="68"/>
  <c r="J43" i="73"/>
  <c r="J72" i="67"/>
  <c r="J30" i="73"/>
  <c r="J44" i="71"/>
  <c r="J16" i="69"/>
  <c r="J42" i="66"/>
  <c r="R54" i="71"/>
  <c r="J44" i="72"/>
  <c r="R41" i="65"/>
  <c r="R66" i="72"/>
  <c r="J54" i="69"/>
  <c r="J66" i="67"/>
  <c r="R27" i="71"/>
  <c r="J56" i="73"/>
  <c r="J42" i="70"/>
  <c r="J42" i="68"/>
  <c r="J45" i="65"/>
  <c r="J48" i="68"/>
  <c r="J31" i="70"/>
  <c r="J47" i="72"/>
  <c r="J38" i="73"/>
  <c r="R65" i="68"/>
  <c r="J63" i="66"/>
  <c r="R29" i="68"/>
  <c r="R19" i="72"/>
  <c r="R60" i="67"/>
  <c r="J24" i="73"/>
  <c r="J70" i="65"/>
  <c r="J46" i="65"/>
  <c r="J67" i="65"/>
  <c r="R60" i="65"/>
  <c r="R28" i="70"/>
  <c r="R40" i="69"/>
  <c r="R51" i="68"/>
  <c r="R35" i="71"/>
  <c r="R19" i="68"/>
  <c r="J71" i="72"/>
  <c r="R46" i="66"/>
  <c r="R64" i="72"/>
  <c r="J29" i="68"/>
  <c r="R39" i="72"/>
  <c r="J16" i="70"/>
  <c r="R41" i="70"/>
  <c r="R27" i="69"/>
  <c r="J71" i="69"/>
  <c r="R64" i="68"/>
  <c r="R37" i="67"/>
  <c r="R16" i="69"/>
  <c r="R69" i="70"/>
  <c r="R62" i="66"/>
  <c r="R48" i="69"/>
  <c r="R51" i="66"/>
  <c r="R25" i="70"/>
  <c r="R58" i="67"/>
  <c r="R43" i="72"/>
  <c r="J59" i="66"/>
  <c r="R22" i="67"/>
  <c r="J22" i="69"/>
  <c r="J59" i="69"/>
  <c r="R33" i="70"/>
  <c r="J47" i="68"/>
  <c r="R71" i="68"/>
  <c r="R31" i="66"/>
  <c r="R47" i="72"/>
  <c r="J55" i="71"/>
  <c r="R60" i="66"/>
  <c r="R67" i="69"/>
  <c r="J21" i="73"/>
  <c r="R60" i="70"/>
  <c r="R25" i="68"/>
  <c r="J66" i="65"/>
  <c r="J45" i="67"/>
  <c r="J50" i="72"/>
  <c r="J52" i="69"/>
  <c r="J28" i="67"/>
  <c r="J31" i="73"/>
  <c r="J39" i="70"/>
  <c r="R38" i="68"/>
  <c r="R16" i="67"/>
  <c r="J61" i="67"/>
  <c r="J18" i="71"/>
  <c r="J26" i="68"/>
  <c r="R72" i="73"/>
  <c r="R30" i="71"/>
  <c r="J62" i="68"/>
  <c r="R23" i="72"/>
  <c r="J56" i="67"/>
  <c r="J55" i="73"/>
  <c r="R18" i="71"/>
  <c r="R66" i="68"/>
  <c r="R64" i="65"/>
  <c r="J56" i="71"/>
  <c r="J20" i="66"/>
  <c r="J50" i="66"/>
  <c r="J39" i="72"/>
  <c r="R41" i="69"/>
  <c r="J63" i="67"/>
  <c r="J49" i="70"/>
  <c r="J42" i="72"/>
  <c r="J34" i="70"/>
  <c r="J54" i="68"/>
  <c r="J65" i="73"/>
  <c r="R56" i="67"/>
  <c r="J57" i="69"/>
  <c r="J38" i="71"/>
  <c r="J70" i="72"/>
  <c r="J69" i="67"/>
  <c r="R45" i="65"/>
  <c r="R21" i="68"/>
  <c r="R58" i="72"/>
  <c r="R38" i="69"/>
  <c r="J72" i="73"/>
  <c r="J47" i="65"/>
  <c r="J60" i="65"/>
  <c r="J27" i="65"/>
  <c r="R34" i="65"/>
  <c r="R51" i="69"/>
  <c r="R56" i="69"/>
  <c r="R24" i="69"/>
  <c r="R33" i="71"/>
  <c r="R32" i="68"/>
  <c r="J60" i="72"/>
  <c r="R40" i="70"/>
  <c r="J69" i="71"/>
  <c r="R68" i="68"/>
  <c r="J16" i="73"/>
  <c r="R55" i="70"/>
  <c r="R47" i="69"/>
  <c r="R64" i="73"/>
  <c r="J39" i="68"/>
  <c r="R68" i="71"/>
  <c r="R65" i="67"/>
  <c r="J30" i="69"/>
  <c r="J55" i="68"/>
  <c r="R40" i="66"/>
  <c r="J31" i="68"/>
  <c r="R59" i="70"/>
  <c r="J64" i="70"/>
  <c r="R55" i="66"/>
  <c r="J24" i="72"/>
  <c r="R52" i="72"/>
  <c r="R57" i="67"/>
  <c r="J34" i="69"/>
  <c r="R19" i="67"/>
  <c r="R39" i="66"/>
  <c r="R27" i="67"/>
  <c r="R16" i="70"/>
  <c r="R20" i="70"/>
  <c r="R27" i="73"/>
  <c r="J31" i="69"/>
  <c r="J65" i="68"/>
  <c r="J41" i="68"/>
  <c r="R69" i="73"/>
  <c r="J59" i="70"/>
  <c r="R54" i="68"/>
  <c r="J54" i="72"/>
  <c r="J49" i="73"/>
  <c r="J15" i="71"/>
  <c r="R72" i="69"/>
  <c r="R69" i="66"/>
  <c r="J46" i="73"/>
  <c r="R18" i="70"/>
  <c r="J21" i="67"/>
  <c r="J24" i="67"/>
  <c r="R17" i="73"/>
  <c r="J20" i="71"/>
  <c r="J48" i="66"/>
  <c r="J23" i="73"/>
  <c r="J21" i="70"/>
  <c r="J38" i="68"/>
  <c r="J55" i="72"/>
  <c r="R25" i="66"/>
  <c r="R33" i="73"/>
  <c r="J25" i="70"/>
  <c r="J15" i="68"/>
  <c r="R55" i="65"/>
  <c r="J35" i="70"/>
  <c r="J61" i="73"/>
  <c r="J61" i="68"/>
  <c r="J26" i="71"/>
  <c r="R34" i="69"/>
  <c r="J48" i="67"/>
  <c r="J17" i="73"/>
  <c r="R15" i="72"/>
  <c r="J47" i="70"/>
  <c r="R69" i="68"/>
  <c r="J71" i="73"/>
  <c r="R40" i="65"/>
  <c r="R22" i="68"/>
  <c r="J66" i="70"/>
  <c r="R18" i="72"/>
  <c r="R57" i="73"/>
  <c r="J60" i="67"/>
  <c r="J31" i="67"/>
  <c r="R48" i="70"/>
  <c r="R36" i="67"/>
  <c r="R62" i="71"/>
  <c r="R15" i="65"/>
  <c r="J25" i="65"/>
  <c r="J73" i="71"/>
  <c r="R46" i="65"/>
  <c r="R67" i="72"/>
  <c r="R43" i="73"/>
  <c r="J39" i="69"/>
  <c r="R56" i="73"/>
  <c r="R57" i="71"/>
  <c r="R52" i="68"/>
  <c r="R33" i="72"/>
  <c r="J18" i="69"/>
  <c r="J59" i="71"/>
  <c r="R27" i="68"/>
  <c r="J69" i="73"/>
  <c r="R65" i="70"/>
  <c r="R15" i="73"/>
  <c r="R36" i="72"/>
  <c r="R47" i="68"/>
  <c r="R24" i="68"/>
  <c r="R51" i="67"/>
  <c r="R48" i="71"/>
  <c r="J17" i="68"/>
  <c r="R29" i="66"/>
  <c r="J60" i="68"/>
  <c r="R52" i="69"/>
  <c r="J65" i="69"/>
  <c r="J30" i="66"/>
  <c r="R45" i="71"/>
  <c r="R65" i="72"/>
  <c r="R53" i="67"/>
  <c r="R60" i="68"/>
  <c r="R38" i="67"/>
  <c r="R20" i="68"/>
  <c r="J54" i="67"/>
  <c r="R19" i="71"/>
  <c r="J19" i="68"/>
  <c r="J35" i="68"/>
  <c r="R41" i="67"/>
  <c r="J35" i="66"/>
  <c r="J25" i="67"/>
  <c r="J32" i="73"/>
  <c r="J55" i="70"/>
  <c r="J68" i="67"/>
  <c r="J22" i="68"/>
  <c r="R21" i="73"/>
  <c r="J72" i="71"/>
  <c r="J24" i="69"/>
  <c r="J33" i="69"/>
  <c r="R30" i="73"/>
  <c r="J70" i="70"/>
  <c r="J27" i="67"/>
  <c r="R54" i="65"/>
  <c r="J26" i="73"/>
  <c r="J33" i="70"/>
  <c r="J21" i="71"/>
  <c r="R45" i="73"/>
  <c r="J46" i="70"/>
  <c r="R72" i="67"/>
  <c r="J58" i="71"/>
  <c r="J67" i="66"/>
  <c r="J35" i="73"/>
  <c r="J27" i="70"/>
  <c r="R70" i="68"/>
  <c r="R20" i="65"/>
  <c r="J51" i="70"/>
  <c r="R57" i="66"/>
  <c r="R34" i="73"/>
  <c r="J64" i="71"/>
  <c r="R66" i="69"/>
  <c r="J64" i="66"/>
  <c r="J20" i="68"/>
  <c r="J27" i="72"/>
  <c r="J69" i="69"/>
  <c r="J41" i="67"/>
  <c r="R22" i="73"/>
  <c r="R43" i="70"/>
  <c r="J17" i="67"/>
  <c r="R23" i="65"/>
  <c r="R66" i="70"/>
  <c r="J18" i="73"/>
  <c r="J65" i="65"/>
  <c r="R40" i="67"/>
  <c r="R26" i="69"/>
  <c r="J15" i="73"/>
  <c r="R72" i="70"/>
  <c r="J39" i="65"/>
  <c r="R39" i="65"/>
  <c r="R58" i="65"/>
  <c r="J38" i="69"/>
  <c r="J51" i="71"/>
  <c r="R69" i="67"/>
  <c r="R24" i="66"/>
  <c r="R31" i="70"/>
  <c r="R44" i="71"/>
  <c r="J28" i="70"/>
  <c r="R16" i="72"/>
  <c r="R61" i="71"/>
  <c r="R42" i="66"/>
  <c r="J68" i="72"/>
  <c r="J29" i="67"/>
  <c r="R37" i="70"/>
  <c r="R23" i="71"/>
  <c r="R37" i="66"/>
  <c r="J67" i="71"/>
  <c r="R44" i="66"/>
  <c r="J36" i="72"/>
  <c r="R42" i="67"/>
  <c r="R56" i="71"/>
  <c r="R50" i="66"/>
  <c r="J25" i="72"/>
  <c r="R34" i="67"/>
  <c r="J56" i="66"/>
  <c r="J42" i="67"/>
  <c r="R17" i="71"/>
  <c r="R26" i="66"/>
  <c r="R41" i="72"/>
  <c r="R66" i="67"/>
  <c r="R40" i="73"/>
  <c r="J18" i="66"/>
  <c r="R44" i="73"/>
  <c r="J37" i="66"/>
  <c r="R18" i="66"/>
  <c r="R51" i="70"/>
  <c r="R59" i="67"/>
  <c r="J28" i="72"/>
  <c r="R50" i="73"/>
  <c r="R22" i="69"/>
  <c r="J60" i="66"/>
  <c r="R66" i="65"/>
  <c r="J22" i="73"/>
  <c r="R34" i="70"/>
  <c r="R34" i="68"/>
  <c r="J29" i="65"/>
  <c r="J62" i="72"/>
  <c r="R29" i="69"/>
  <c r="R21" i="65"/>
  <c r="J57" i="71"/>
  <c r="R69" i="72"/>
  <c r="R26" i="70"/>
  <c r="J27" i="69"/>
  <c r="R22" i="72"/>
  <c r="J53" i="69"/>
  <c r="R53" i="66"/>
  <c r="J44" i="69"/>
  <c r="J19" i="69"/>
  <c r="J30" i="72"/>
  <c r="R62" i="70"/>
  <c r="R24" i="67"/>
  <c r="J42" i="73"/>
  <c r="J72" i="68"/>
  <c r="R70" i="70"/>
  <c r="R26" i="73"/>
  <c r="R56" i="70"/>
  <c r="J68" i="68"/>
  <c r="J28" i="65"/>
  <c r="R24" i="72"/>
  <c r="R26" i="71"/>
  <c r="R37" i="69"/>
  <c r="J58" i="66"/>
  <c r="R46" i="70"/>
  <c r="J41" i="70"/>
  <c r="R57" i="68"/>
  <c r="J24" i="65"/>
  <c r="J52" i="67"/>
  <c r="R50" i="69"/>
  <c r="J16" i="71"/>
  <c r="J19" i="65"/>
  <c r="J18" i="68"/>
  <c r="R72" i="71"/>
  <c r="J26" i="65"/>
  <c r="R51" i="65"/>
  <c r="J15" i="65"/>
  <c r="J55" i="65"/>
  <c r="R20" i="69"/>
  <c r="J43" i="71"/>
  <c r="R21" i="67"/>
  <c r="R60" i="73"/>
  <c r="R60" i="69"/>
  <c r="R44" i="70"/>
  <c r="R61" i="70"/>
  <c r="R40" i="72"/>
  <c r="J32" i="70"/>
  <c r="R48" i="73"/>
  <c r="R68" i="72"/>
  <c r="R27" i="66"/>
  <c r="R28" i="68"/>
  <c r="R63" i="71"/>
  <c r="R56" i="66"/>
  <c r="R27" i="70"/>
  <c r="R66" i="66"/>
  <c r="R71" i="72"/>
  <c r="R17" i="67"/>
  <c r="R40" i="71"/>
  <c r="R38" i="66"/>
  <c r="R29" i="72"/>
  <c r="R25" i="67"/>
  <c r="R56" i="68"/>
  <c r="R49" i="67"/>
  <c r="R29" i="70"/>
  <c r="R20" i="66"/>
  <c r="R51" i="71"/>
  <c r="R35" i="66"/>
  <c r="J49" i="72"/>
  <c r="R19" i="66"/>
  <c r="R28" i="73"/>
  <c r="R45" i="72"/>
  <c r="R43" i="69"/>
  <c r="J24" i="68"/>
  <c r="J38" i="66"/>
  <c r="R38" i="65"/>
  <c r="J31" i="72"/>
  <c r="R33" i="69"/>
  <c r="R18" i="65"/>
  <c r="J21" i="65"/>
  <c r="J60" i="73"/>
  <c r="J48" i="70"/>
  <c r="R61" i="68"/>
  <c r="J49" i="67"/>
  <c r="J51" i="72"/>
  <c r="J36" i="69"/>
  <c r="R35" i="65"/>
  <c r="J33" i="68"/>
  <c r="J38" i="72"/>
  <c r="J17" i="69"/>
  <c r="J45" i="72"/>
  <c r="J35" i="72"/>
  <c r="J40" i="69"/>
  <c r="R52" i="65"/>
  <c r="J64" i="69"/>
  <c r="J61" i="70"/>
  <c r="R54" i="72"/>
  <c r="J49" i="69"/>
  <c r="J40" i="67"/>
  <c r="J66" i="73"/>
  <c r="J70" i="67"/>
  <c r="J71" i="67"/>
  <c r="J48" i="73"/>
  <c r="J37" i="70"/>
  <c r="R46" i="68"/>
  <c r="J26" i="66"/>
  <c r="J19" i="73"/>
  <c r="J46" i="71"/>
  <c r="R53" i="69"/>
  <c r="J69" i="66"/>
  <c r="R22" i="70"/>
  <c r="J50" i="73"/>
  <c r="J39" i="73"/>
  <c r="R52" i="67"/>
  <c r="J60" i="71"/>
  <c r="J56" i="69"/>
  <c r="J44" i="70"/>
  <c r="J62" i="66"/>
  <c r="J67" i="67"/>
  <c r="J50" i="70"/>
  <c r="J48" i="65"/>
  <c r="J38" i="65"/>
  <c r="R71" i="65"/>
  <c r="J73" i="66"/>
  <c r="R32" i="73"/>
  <c r="R71" i="71"/>
  <c r="R49" i="66"/>
  <c r="R16" i="73"/>
  <c r="J51" i="69"/>
  <c r="R20" i="73"/>
  <c r="R32" i="69"/>
  <c r="R60" i="71"/>
  <c r="R15" i="70"/>
  <c r="R31" i="69"/>
  <c r="R37" i="72"/>
  <c r="R35" i="68"/>
  <c r="R19" i="70"/>
  <c r="R47" i="71"/>
  <c r="J39" i="66"/>
  <c r="R71" i="70"/>
  <c r="J22" i="66"/>
  <c r="R25" i="72"/>
  <c r="R67" i="67"/>
  <c r="R71" i="73"/>
  <c r="J34" i="66"/>
  <c r="J27" i="71"/>
  <c r="J46" i="67"/>
  <c r="R21" i="66"/>
  <c r="R43" i="66"/>
  <c r="J72" i="70"/>
  <c r="J23" i="66"/>
  <c r="R21" i="71"/>
  <c r="R41" i="66"/>
  <c r="R43" i="71"/>
  <c r="J51" i="66"/>
  <c r="J57" i="73"/>
  <c r="J43" i="69"/>
  <c r="R59" i="72"/>
  <c r="R47" i="66"/>
  <c r="R71" i="69"/>
  <c r="J57" i="68"/>
  <c r="J22" i="72"/>
  <c r="R49" i="69"/>
  <c r="R43" i="65"/>
  <c r="J68" i="71"/>
  <c r="J64" i="73"/>
  <c r="J18" i="70"/>
  <c r="J39" i="67"/>
  <c r="J29" i="72"/>
  <c r="J28" i="71"/>
  <c r="R62" i="69"/>
  <c r="R56" i="65"/>
  <c r="J29" i="71"/>
  <c r="R50" i="72"/>
  <c r="R46" i="69"/>
  <c r="J29" i="73"/>
  <c r="J34" i="71"/>
  <c r="R57" i="69"/>
  <c r="R68" i="65"/>
  <c r="J50" i="69"/>
  <c r="J53" i="72"/>
  <c r="R38" i="71"/>
  <c r="J32" i="69"/>
  <c r="R64" i="67"/>
  <c r="J40" i="73"/>
  <c r="R15" i="67"/>
  <c r="J41" i="72"/>
  <c r="J19" i="72"/>
  <c r="R52" i="70"/>
  <c r="R17" i="68"/>
  <c r="J65" i="71"/>
  <c r="J36" i="73"/>
  <c r="J66" i="71"/>
  <c r="R18" i="68"/>
  <c r="R62" i="65"/>
  <c r="J48" i="69"/>
  <c r="R27" i="72"/>
  <c r="R30" i="70"/>
  <c r="J60" i="70"/>
  <c r="R69" i="69"/>
  <c r="R45" i="68"/>
  <c r="J62" i="70"/>
  <c r="J45" i="68"/>
  <c r="J70" i="66"/>
  <c r="J23" i="70"/>
  <c r="R22" i="65"/>
  <c r="R27" i="65"/>
  <c r="R48" i="65"/>
  <c r="J36" i="65"/>
  <c r="R30" i="66"/>
  <c r="R15" i="71"/>
  <c r="R44" i="68"/>
  <c r="R60" i="72"/>
  <c r="J27" i="68"/>
  <c r="R20" i="71"/>
  <c r="R48" i="66"/>
  <c r="R39" i="73"/>
  <c r="R59" i="69"/>
  <c r="R19" i="69"/>
  <c r="R61" i="72"/>
  <c r="R63" i="72"/>
  <c r="R39" i="68"/>
  <c r="R65" i="71"/>
  <c r="R58" i="66"/>
  <c r="J40" i="68"/>
  <c r="J44" i="66"/>
  <c r="R53" i="72"/>
  <c r="R54" i="67"/>
  <c r="R41" i="71"/>
  <c r="R52" i="66"/>
  <c r="J53" i="71"/>
  <c r="R47" i="67"/>
  <c r="R39" i="69"/>
  <c r="J31" i="66"/>
  <c r="J63" i="68"/>
  <c r="R31" i="68"/>
  <c r="R53" i="71"/>
  <c r="R71" i="66"/>
  <c r="J69" i="70"/>
  <c r="R65" i="66"/>
  <c r="R59" i="71"/>
  <c r="R32" i="66"/>
  <c r="R57" i="70"/>
  <c r="R34" i="66"/>
  <c r="R67" i="71"/>
  <c r="J17" i="71"/>
  <c r="J32" i="71"/>
  <c r="R70" i="69"/>
  <c r="R42" i="65"/>
  <c r="R29" i="65"/>
  <c r="J18" i="72"/>
  <c r="J37" i="69"/>
  <c r="R48" i="67"/>
  <c r="J25" i="69"/>
  <c r="R66" i="71"/>
  <c r="J30" i="68"/>
  <c r="J69" i="65"/>
  <c r="J25" i="66"/>
  <c r="R34" i="71"/>
  <c r="J42" i="69"/>
  <c r="J57" i="72"/>
  <c r="R70" i="71"/>
  <c r="R18" i="69"/>
  <c r="J42" i="65"/>
  <c r="R49" i="68"/>
  <c r="R24" i="73"/>
  <c r="R50" i="71"/>
  <c r="J72" i="69"/>
  <c r="J53" i="66"/>
  <c r="R34" i="72"/>
  <c r="J72" i="66"/>
  <c r="R17" i="70"/>
  <c r="J59" i="72"/>
  <c r="R38" i="70"/>
  <c r="R18" i="67"/>
  <c r="J41" i="71"/>
  <c r="J68" i="73"/>
  <c r="J23" i="71"/>
  <c r="R30" i="68"/>
  <c r="R30" i="65"/>
  <c r="R58" i="69"/>
  <c r="R58" i="71"/>
  <c r="J33" i="67"/>
  <c r="J64" i="72"/>
  <c r="J70" i="71"/>
  <c r="R41" i="68"/>
  <c r="J68" i="69"/>
  <c r="J29" i="69"/>
  <c r="J33" i="73"/>
  <c r="R20" i="67"/>
  <c r="R19" i="65"/>
  <c r="J43" i="65"/>
  <c r="J57" i="65"/>
  <c r="J34" i="65"/>
  <c r="R31" i="67"/>
  <c r="R39" i="71"/>
  <c r="J67" i="72"/>
  <c r="J15" i="67"/>
  <c r="J26" i="67"/>
  <c r="J34" i="67"/>
  <c r="R68" i="66"/>
  <c r="J54" i="66"/>
  <c r="J57" i="66"/>
  <c r="J41" i="69"/>
  <c r="J48" i="71"/>
  <c r="J43" i="70"/>
  <c r="J68" i="70"/>
  <c r="J23" i="67"/>
  <c r="R54" i="70"/>
  <c r="J28" i="73"/>
  <c r="R57" i="65"/>
  <c r="J44" i="67"/>
  <c r="J47" i="67"/>
  <c r="R72" i="66"/>
  <c r="R72" i="65"/>
  <c r="J32" i="65"/>
  <c r="J73" i="72"/>
  <c r="J30" i="65"/>
  <c r="J60" i="49"/>
  <c r="J70" i="49"/>
  <c r="J34" i="49"/>
  <c r="J36" i="49"/>
  <c r="J38" i="49"/>
  <c r="J48" i="49"/>
  <c r="R52" i="47"/>
  <c r="R60" i="47"/>
  <c r="R59" i="47"/>
  <c r="R21" i="47"/>
  <c r="J36" i="48"/>
  <c r="J21" i="46"/>
  <c r="R64" i="48"/>
  <c r="R65" i="49"/>
  <c r="J18" i="46"/>
  <c r="J41" i="48"/>
  <c r="J43" i="46"/>
  <c r="J20" i="48"/>
  <c r="J31" i="48"/>
  <c r="R53" i="49"/>
  <c r="J53" i="46"/>
  <c r="R36" i="46"/>
  <c r="J26" i="47"/>
  <c r="J66" i="48"/>
  <c r="J59" i="47"/>
  <c r="J16" i="47"/>
  <c r="R47" i="49"/>
  <c r="R49" i="48"/>
  <c r="J67" i="46"/>
  <c r="J35" i="48"/>
  <c r="R41" i="49"/>
  <c r="J43" i="48"/>
  <c r="R48" i="49"/>
  <c r="R34" i="48"/>
  <c r="J38" i="46"/>
  <c r="R17" i="46"/>
  <c r="R66" i="48"/>
  <c r="R46" i="49"/>
  <c r="J44" i="47"/>
  <c r="J29" i="48"/>
  <c r="J53" i="48"/>
  <c r="J40" i="47"/>
  <c r="J58" i="47"/>
  <c r="R30" i="49"/>
  <c r="R51" i="73"/>
  <c r="J49" i="71"/>
  <c r="R30" i="72"/>
  <c r="R56" i="47"/>
  <c r="R67" i="47"/>
  <c r="R70" i="47"/>
  <c r="J60" i="47"/>
  <c r="R23" i="48"/>
  <c r="J42" i="48"/>
  <c r="R32" i="49"/>
  <c r="R47" i="48"/>
  <c r="R25" i="49"/>
  <c r="R54" i="46"/>
  <c r="J61" i="48"/>
  <c r="R67" i="70"/>
  <c r="R33" i="66"/>
  <c r="R36" i="69"/>
  <c r="J26" i="69"/>
  <c r="J47" i="66"/>
  <c r="J33" i="66"/>
  <c r="R51" i="72"/>
  <c r="J65" i="70"/>
  <c r="J28" i="66"/>
  <c r="R44" i="67"/>
  <c r="R33" i="68"/>
  <c r="J18" i="67"/>
  <c r="J57" i="67"/>
  <c r="J17" i="70"/>
  <c r="R37" i="68"/>
  <c r="J63" i="73"/>
  <c r="J48" i="72"/>
  <c r="J52" i="73"/>
  <c r="R35" i="70"/>
  <c r="J16" i="68"/>
  <c r="R24" i="65"/>
  <c r="R16" i="65"/>
  <c r="J35" i="65"/>
  <c r="J59" i="65"/>
  <c r="J43" i="49"/>
  <c r="R40" i="47"/>
  <c r="R15" i="48"/>
  <c r="J27" i="49"/>
  <c r="J64" i="49"/>
  <c r="J63" i="49"/>
  <c r="R68" i="47"/>
  <c r="R50" i="47"/>
  <c r="R45" i="47"/>
  <c r="R30" i="47"/>
  <c r="R48" i="48"/>
  <c r="J40" i="46"/>
  <c r="J69" i="48"/>
  <c r="R23" i="46"/>
  <c r="J27" i="46"/>
  <c r="J50" i="48"/>
  <c r="J52" i="46"/>
  <c r="J24" i="48"/>
  <c r="R15" i="49"/>
  <c r="J70" i="47"/>
  <c r="J62" i="46"/>
  <c r="R53" i="46"/>
  <c r="R49" i="49"/>
  <c r="J19" i="48"/>
  <c r="R69" i="46"/>
  <c r="R18" i="46"/>
  <c r="R56" i="49"/>
  <c r="J71" i="48"/>
  <c r="J30" i="46"/>
  <c r="J26" i="48"/>
  <c r="R54" i="49"/>
  <c r="R55" i="49"/>
  <c r="R29" i="46"/>
  <c r="J19" i="46"/>
  <c r="R71" i="67"/>
  <c r="R55" i="47"/>
  <c r="J16" i="46"/>
  <c r="R19" i="73"/>
  <c r="R45" i="66"/>
  <c r="R68" i="69"/>
  <c r="R36" i="73"/>
  <c r="R40" i="68"/>
  <c r="R28" i="66"/>
  <c r="J21" i="72"/>
  <c r="J50" i="67"/>
  <c r="R17" i="72"/>
  <c r="J55" i="67"/>
  <c r="J70" i="68"/>
  <c r="J52" i="66"/>
  <c r="R65" i="65"/>
  <c r="J71" i="70"/>
  <c r="J46" i="68"/>
  <c r="J59" i="73"/>
  <c r="J41" i="73"/>
  <c r="J54" i="71"/>
  <c r="R54" i="69"/>
  <c r="J64" i="67"/>
  <c r="J63" i="65"/>
  <c r="J40" i="65"/>
  <c r="J72" i="65"/>
  <c r="J51" i="65"/>
  <c r="J23" i="49"/>
  <c r="J66" i="49"/>
  <c r="J30" i="49"/>
  <c r="J65" i="49"/>
  <c r="J32" i="49"/>
  <c r="R25" i="47"/>
  <c r="R63" i="47"/>
  <c r="R66" i="47"/>
  <c r="R19" i="47"/>
  <c r="R53" i="47"/>
  <c r="R38" i="48"/>
  <c r="R34" i="49"/>
  <c r="J39" i="48"/>
  <c r="R67" i="49"/>
  <c r="J36" i="46"/>
  <c r="R62" i="48"/>
  <c r="J61" i="46"/>
  <c r="R21" i="48"/>
  <c r="J18" i="47"/>
  <c r="R72" i="46"/>
  <c r="J63" i="46"/>
  <c r="R46" i="46"/>
  <c r="R39" i="46"/>
  <c r="R16" i="48"/>
  <c r="R57" i="49"/>
  <c r="R42" i="49"/>
  <c r="R24" i="49"/>
  <c r="J67" i="47"/>
  <c r="J31" i="46"/>
  <c r="R46" i="48"/>
  <c r="R33" i="48"/>
  <c r="J70" i="48"/>
  <c r="J24" i="46"/>
  <c r="R29" i="48"/>
  <c r="J46" i="46"/>
  <c r="J41" i="47"/>
  <c r="J51" i="47"/>
  <c r="R65" i="48"/>
  <c r="R49" i="46"/>
  <c r="J63" i="71"/>
  <c r="J56" i="68"/>
  <c r="R68" i="67"/>
  <c r="R31" i="72"/>
  <c r="J62" i="71"/>
  <c r="R22" i="71"/>
  <c r="J73" i="67"/>
  <c r="J29" i="49"/>
  <c r="J45" i="49"/>
  <c r="R72" i="47"/>
  <c r="J55" i="46"/>
  <c r="J56" i="47"/>
  <c r="J37" i="48"/>
  <c r="R60" i="48"/>
  <c r="R61" i="46"/>
  <c r="R47" i="46"/>
  <c r="J48" i="46"/>
  <c r="R36" i="70"/>
  <c r="R32" i="72"/>
  <c r="R23" i="68"/>
  <c r="J52" i="72"/>
  <c r="R35" i="69"/>
  <c r="R64" i="66"/>
  <c r="R56" i="72"/>
  <c r="J65" i="66"/>
  <c r="R23" i="70"/>
  <c r="J35" i="67"/>
  <c r="R58" i="68"/>
  <c r="J66" i="66"/>
  <c r="J33" i="72"/>
  <c r="J40" i="70"/>
  <c r="R32" i="67"/>
  <c r="R58" i="73"/>
  <c r="R53" i="65"/>
  <c r="J19" i="71"/>
  <c r="R62" i="68"/>
  <c r="J16" i="65"/>
  <c r="J44" i="65"/>
  <c r="J50" i="65"/>
  <c r="R59" i="65"/>
  <c r="J73" i="65"/>
  <c r="J51" i="49"/>
  <c r="J72" i="49"/>
  <c r="J50" i="49"/>
  <c r="J37" i="49"/>
  <c r="J47" i="49"/>
  <c r="R17" i="47"/>
  <c r="R58" i="47"/>
  <c r="R29" i="47"/>
  <c r="J73" i="49"/>
  <c r="R28" i="47"/>
  <c r="J50" i="47"/>
  <c r="R23" i="49"/>
  <c r="J23" i="48"/>
  <c r="J62" i="47"/>
  <c r="J45" i="46"/>
  <c r="J67" i="48"/>
  <c r="J70" i="46"/>
  <c r="J33" i="48"/>
  <c r="R28" i="46"/>
  <c r="J63" i="47"/>
  <c r="J72" i="46"/>
  <c r="J29" i="47"/>
  <c r="R16" i="46"/>
  <c r="J28" i="48"/>
  <c r="J52" i="47"/>
  <c r="J25" i="47"/>
  <c r="R18" i="49"/>
  <c r="R19" i="49"/>
  <c r="R60" i="49"/>
  <c r="J38" i="48"/>
  <c r="R56" i="48"/>
  <c r="R62" i="49"/>
  <c r="R27" i="49"/>
  <c r="R43" i="49"/>
  <c r="R67" i="48"/>
  <c r="J42" i="46"/>
  <c r="R69" i="49"/>
  <c r="J37" i="47"/>
  <c r="R34" i="46"/>
  <c r="J56" i="70"/>
  <c r="J45" i="66"/>
  <c r="R30" i="67"/>
  <c r="J61" i="72"/>
  <c r="R50" i="65"/>
  <c r="R25" i="73"/>
  <c r="R72" i="72"/>
  <c r="J43" i="72"/>
  <c r="J49" i="65"/>
  <c r="J58" i="49"/>
  <c r="J25" i="48"/>
  <c r="R18" i="48"/>
  <c r="J71" i="47"/>
  <c r="J53" i="47"/>
  <c r="R44" i="46"/>
  <c r="R44" i="49"/>
  <c r="R48" i="68"/>
  <c r="J24" i="70"/>
  <c r="R31" i="71"/>
  <c r="R55" i="73"/>
  <c r="J16" i="67"/>
  <c r="J20" i="67"/>
  <c r="R44" i="69"/>
  <c r="J38" i="67"/>
  <c r="R23" i="69"/>
  <c r="J53" i="65"/>
  <c r="J52" i="68"/>
  <c r="J21" i="69"/>
  <c r="R28" i="65"/>
  <c r="J51" i="73"/>
  <c r="R69" i="65"/>
  <c r="J22" i="65"/>
  <c r="J40" i="71"/>
  <c r="R62" i="72"/>
  <c r="R54" i="73"/>
  <c r="R38" i="72"/>
  <c r="R29" i="73"/>
  <c r="J73" i="70"/>
  <c r="J73" i="68"/>
  <c r="J73" i="69"/>
  <c r="R33" i="47"/>
  <c r="J41" i="49"/>
  <c r="J61" i="49"/>
  <c r="J57" i="49"/>
  <c r="J19" i="49"/>
  <c r="J53" i="49"/>
  <c r="R23" i="47"/>
  <c r="R18" i="47"/>
  <c r="R27" i="47"/>
  <c r="R20" i="47"/>
  <c r="T20" i="47" s="1"/>
  <c r="R60" i="46"/>
  <c r="J16" i="48"/>
  <c r="R28" i="49"/>
  <c r="R64" i="46"/>
  <c r="J54" i="46"/>
  <c r="J21" i="48"/>
  <c r="J65" i="46"/>
  <c r="R32" i="48"/>
  <c r="R51" i="48"/>
  <c r="R65" i="46"/>
  <c r="R52" i="49"/>
  <c r="J15" i="47"/>
  <c r="J25" i="46"/>
  <c r="R26" i="48"/>
  <c r="R62" i="46"/>
  <c r="R35" i="46"/>
  <c r="R35" i="49"/>
  <c r="R70" i="46"/>
  <c r="R59" i="49"/>
  <c r="R68" i="46"/>
  <c r="J62" i="48"/>
  <c r="R35" i="48"/>
  <c r="R72" i="49"/>
  <c r="R66" i="49"/>
  <c r="R45" i="48"/>
  <c r="J37" i="46"/>
  <c r="R45" i="49"/>
  <c r="R42" i="46"/>
  <c r="R70" i="49"/>
  <c r="R63" i="70"/>
  <c r="J41" i="65"/>
  <c r="J55" i="69"/>
  <c r="R26" i="65"/>
  <c r="J33" i="49"/>
  <c r="R34" i="47"/>
  <c r="R51" i="49"/>
  <c r="J35" i="47"/>
  <c r="J41" i="46"/>
  <c r="R71" i="46"/>
  <c r="R36" i="68"/>
  <c r="J52" i="70"/>
  <c r="R37" i="71"/>
  <c r="J72" i="72"/>
  <c r="R61" i="66"/>
  <c r="R29" i="67"/>
  <c r="R61" i="67"/>
  <c r="R63" i="67"/>
  <c r="J51" i="68"/>
  <c r="J49" i="68"/>
  <c r="J43" i="66"/>
  <c r="J45" i="70"/>
  <c r="R32" i="65"/>
  <c r="R46" i="72"/>
  <c r="J53" i="68"/>
  <c r="J53" i="67"/>
  <c r="J58" i="70"/>
  <c r="J30" i="71"/>
  <c r="J50" i="68"/>
  <c r="J50" i="71"/>
  <c r="J16" i="72"/>
  <c r="J17" i="65"/>
  <c r="J20" i="65"/>
  <c r="J23" i="65"/>
  <c r="J68" i="49"/>
  <c r="J21" i="49"/>
  <c r="R16" i="47"/>
  <c r="J22" i="49"/>
  <c r="R49" i="47"/>
  <c r="J44" i="49"/>
  <c r="R15" i="47"/>
  <c r="T15" i="47" s="1"/>
  <c r="J15" i="46"/>
  <c r="R37" i="47"/>
  <c r="R73" i="47"/>
  <c r="R63" i="46"/>
  <c r="R22" i="48"/>
  <c r="R20" i="46"/>
  <c r="J55" i="47"/>
  <c r="J64" i="46"/>
  <c r="R19" i="48"/>
  <c r="R16" i="49"/>
  <c r="R54" i="48"/>
  <c r="R45" i="46"/>
  <c r="R58" i="46"/>
  <c r="R22" i="49"/>
  <c r="J64" i="47"/>
  <c r="R42" i="48"/>
  <c r="R37" i="48"/>
  <c r="J45" i="47"/>
  <c r="J50" i="46"/>
  <c r="R69" i="48"/>
  <c r="R39" i="48"/>
  <c r="R59" i="48"/>
  <c r="R22" i="46"/>
  <c r="J69" i="47"/>
  <c r="J54" i="47"/>
  <c r="J68" i="47"/>
  <c r="R24" i="46"/>
  <c r="R58" i="48"/>
  <c r="R27" i="46"/>
  <c r="R41" i="46"/>
  <c r="J17" i="48"/>
  <c r="R51" i="46"/>
  <c r="R35" i="73"/>
  <c r="J30" i="67"/>
  <c r="J44" i="68"/>
  <c r="J65" i="72"/>
  <c r="R36" i="71"/>
  <c r="R67" i="68"/>
  <c r="R49" i="72"/>
  <c r="R59" i="73"/>
  <c r="R48" i="72"/>
  <c r="R55" i="71"/>
  <c r="R32" i="70"/>
  <c r="R28" i="69"/>
  <c r="J70" i="73"/>
  <c r="R42" i="73"/>
  <c r="J26" i="72"/>
  <c r="J54" i="73"/>
  <c r="R64" i="70"/>
  <c r="J58" i="72"/>
  <c r="R42" i="68"/>
  <c r="J36" i="68"/>
  <c r="R42" i="69"/>
  <c r="J47" i="73"/>
  <c r="J66" i="72"/>
  <c r="J24" i="66"/>
  <c r="R37" i="65"/>
  <c r="J56" i="65"/>
  <c r="J58" i="65"/>
  <c r="R57" i="47"/>
  <c r="J31" i="49"/>
  <c r="J26" i="49"/>
  <c r="J69" i="49"/>
  <c r="J62" i="49"/>
  <c r="J17" i="49"/>
  <c r="R54" i="47"/>
  <c r="R69" i="47"/>
  <c r="R36" i="47"/>
  <c r="R44" i="47"/>
  <c r="R50" i="48"/>
  <c r="J24" i="47"/>
  <c r="J51" i="48"/>
  <c r="J20" i="47"/>
  <c r="R50" i="46"/>
  <c r="R71" i="49"/>
  <c r="R15" i="46"/>
  <c r="R53" i="48"/>
  <c r="J68" i="48"/>
  <c r="R38" i="46"/>
  <c r="J26" i="46"/>
  <c r="R71" i="48"/>
  <c r="R64" i="49"/>
  <c r="R52" i="48"/>
  <c r="J63" i="48"/>
  <c r="R32" i="46"/>
  <c r="J22" i="46"/>
  <c r="R36" i="48"/>
  <c r="R26" i="46"/>
  <c r="J15" i="48"/>
  <c r="R59" i="46"/>
  <c r="J33" i="46"/>
  <c r="J57" i="46"/>
  <c r="J39" i="46"/>
  <c r="J17" i="47"/>
  <c r="R31" i="49"/>
  <c r="J72" i="48"/>
  <c r="J66" i="46"/>
  <c r="J55" i="48"/>
  <c r="R59" i="68"/>
  <c r="J32" i="72"/>
  <c r="J69" i="68"/>
  <c r="R62" i="67"/>
  <c r="R35" i="67"/>
  <c r="J15" i="70"/>
  <c r="J42" i="71"/>
  <c r="J30" i="70"/>
  <c r="R17" i="65"/>
  <c r="J58" i="67"/>
  <c r="R33" i="65"/>
  <c r="R36" i="65"/>
  <c r="R70" i="65"/>
  <c r="J49" i="49"/>
  <c r="R65" i="47"/>
  <c r="J67" i="49"/>
  <c r="R39" i="47"/>
  <c r="R51" i="47"/>
  <c r="R35" i="47"/>
  <c r="J65" i="48"/>
  <c r="J60" i="48"/>
  <c r="J43" i="68"/>
  <c r="R57" i="72"/>
  <c r="J45" i="73"/>
  <c r="R33" i="67"/>
  <c r="J71" i="68"/>
  <c r="J23" i="68"/>
  <c r="R45" i="67"/>
  <c r="R55" i="67"/>
  <c r="R70" i="67"/>
  <c r="R42" i="70"/>
  <c r="J22" i="71"/>
  <c r="R58" i="70"/>
  <c r="J26" i="70"/>
  <c r="J59" i="67"/>
  <c r="J63" i="70"/>
  <c r="J37" i="72"/>
  <c r="J55" i="66"/>
  <c r="R28" i="67"/>
  <c r="J16" i="66"/>
  <c r="J49" i="66"/>
  <c r="J71" i="65"/>
  <c r="J18" i="65"/>
  <c r="R25" i="65"/>
  <c r="R47" i="65"/>
  <c r="R64" i="47"/>
  <c r="J59" i="49"/>
  <c r="J54" i="49"/>
  <c r="J28" i="49"/>
  <c r="J71" i="49"/>
  <c r="J40" i="49"/>
  <c r="R61" i="47"/>
  <c r="R24" i="47"/>
  <c r="R31" i="47"/>
  <c r="R26" i="47"/>
  <c r="J56" i="48"/>
  <c r="R43" i="46"/>
  <c r="R55" i="48"/>
  <c r="R30" i="46"/>
  <c r="J57" i="47"/>
  <c r="R58" i="49"/>
  <c r="R66" i="46"/>
  <c r="J58" i="48"/>
  <c r="R72" i="48"/>
  <c r="J21" i="47"/>
  <c r="J35" i="46"/>
  <c r="J30" i="48"/>
  <c r="J32" i="48"/>
  <c r="J57" i="48"/>
  <c r="J42" i="47"/>
  <c r="J23" i="47"/>
  <c r="J23" i="46"/>
  <c r="J45" i="48"/>
  <c r="J33" i="47"/>
  <c r="J18" i="48"/>
  <c r="J20" i="46"/>
  <c r="J28" i="46"/>
  <c r="J60" i="46"/>
  <c r="R37" i="49"/>
  <c r="J29" i="46"/>
  <c r="R39" i="49"/>
  <c r="J44" i="48"/>
  <c r="J69" i="46"/>
  <c r="J66" i="47"/>
  <c r="J35" i="71"/>
  <c r="R26" i="67"/>
  <c r="J21" i="68"/>
  <c r="J21" i="66"/>
  <c r="R68" i="70"/>
  <c r="J43" i="67"/>
  <c r="R50" i="70"/>
  <c r="J27" i="66"/>
  <c r="R53" i="73"/>
  <c r="R63" i="65"/>
  <c r="J31" i="65"/>
  <c r="J35" i="49"/>
  <c r="J16" i="49"/>
  <c r="J25" i="49"/>
  <c r="R42" i="47"/>
  <c r="J58" i="46"/>
  <c r="R27" i="48"/>
  <c r="R52" i="71"/>
  <c r="R61" i="73"/>
  <c r="R65" i="69"/>
  <c r="J61" i="65"/>
  <c r="J39" i="49"/>
  <c r="R50" i="49"/>
  <c r="R63" i="49"/>
  <c r="R41" i="48"/>
  <c r="J27" i="48"/>
  <c r="J46" i="47"/>
  <c r="J34" i="47"/>
  <c r="R21" i="46"/>
  <c r="J31" i="71"/>
  <c r="R41" i="73"/>
  <c r="J61" i="66"/>
  <c r="J46" i="49"/>
  <c r="R20" i="48"/>
  <c r="J28" i="47"/>
  <c r="J48" i="48"/>
  <c r="R25" i="48"/>
  <c r="R21" i="49"/>
  <c r="J19" i="47"/>
  <c r="R17" i="48"/>
  <c r="J39" i="71"/>
  <c r="J62" i="73"/>
  <c r="R67" i="65"/>
  <c r="R41" i="47"/>
  <c r="J38" i="47"/>
  <c r="J43" i="47"/>
  <c r="R31" i="46"/>
  <c r="R61" i="48"/>
  <c r="J54" i="48"/>
  <c r="R61" i="49"/>
  <c r="R48" i="46"/>
  <c r="R55" i="69"/>
  <c r="J38" i="70"/>
  <c r="J67" i="73"/>
  <c r="J52" i="49"/>
  <c r="R33" i="46"/>
  <c r="J36" i="47"/>
  <c r="J65" i="47"/>
  <c r="J46" i="48"/>
  <c r="R40" i="46"/>
  <c r="J39" i="47"/>
  <c r="R26" i="49"/>
  <c r="J40" i="72"/>
  <c r="R63" i="69"/>
  <c r="J19" i="70"/>
  <c r="R37" i="73"/>
  <c r="J18" i="49"/>
  <c r="R22" i="47"/>
  <c r="J34" i="48"/>
  <c r="R19" i="46"/>
  <c r="J17" i="46"/>
  <c r="R40" i="48"/>
  <c r="J31" i="47"/>
  <c r="R29" i="49"/>
  <c r="R17" i="49"/>
  <c r="R55" i="68"/>
  <c r="R22" i="66"/>
  <c r="R42" i="72"/>
  <c r="J20" i="69"/>
  <c r="J56" i="49"/>
  <c r="R71" i="47"/>
  <c r="R44" i="48"/>
  <c r="R40" i="49"/>
  <c r="J44" i="46"/>
  <c r="R52" i="46"/>
  <c r="J49" i="46"/>
  <c r="J47" i="46"/>
  <c r="R28" i="48"/>
  <c r="R28" i="72"/>
  <c r="R29" i="71"/>
  <c r="J15" i="72"/>
  <c r="J62" i="67"/>
  <c r="J42" i="49"/>
  <c r="R62" i="47"/>
  <c r="J27" i="47"/>
  <c r="J40" i="48"/>
  <c r="R20" i="49"/>
  <c r="R55" i="46"/>
  <c r="J64" i="48"/>
  <c r="R33" i="49"/>
  <c r="J27" i="73"/>
  <c r="R31" i="48"/>
  <c r="J61" i="47"/>
  <c r="J52" i="48"/>
  <c r="R25" i="69"/>
  <c r="J47" i="48"/>
  <c r="J22" i="47"/>
  <c r="R57" i="48"/>
  <c r="R36" i="49"/>
  <c r="R21" i="72"/>
  <c r="J48" i="47"/>
  <c r="R44" i="72"/>
  <c r="J24" i="49"/>
  <c r="R67" i="46"/>
  <c r="J47" i="47"/>
  <c r="J68" i="65"/>
  <c r="R25" i="46"/>
  <c r="R56" i="46"/>
  <c r="J59" i="48"/>
  <c r="R38" i="73"/>
  <c r="J56" i="46"/>
  <c r="J34" i="68"/>
  <c r="J20" i="49"/>
  <c r="R37" i="46"/>
  <c r="J34" i="46"/>
  <c r="J71" i="46"/>
  <c r="J20" i="72"/>
  <c r="J70" i="69"/>
  <c r="J15" i="49"/>
  <c r="R57" i="46"/>
  <c r="J51" i="46"/>
  <c r="J64" i="68"/>
  <c r="R32" i="47"/>
  <c r="R43" i="48"/>
  <c r="R21" i="69"/>
  <c r="J30" i="47"/>
  <c r="R47" i="73"/>
  <c r="R68" i="49"/>
  <c r="J62" i="65"/>
  <c r="R46" i="47"/>
  <c r="J49" i="47"/>
  <c r="R48" i="47"/>
  <c r="R30" i="48"/>
  <c r="J55" i="49"/>
  <c r="J32" i="47"/>
  <c r="R43" i="47"/>
  <c r="J72" i="47"/>
  <c r="R68" i="48"/>
  <c r="J22" i="48"/>
  <c r="R52" i="73"/>
  <c r="R61" i="65"/>
  <c r="R47" i="47"/>
  <c r="J49" i="48"/>
  <c r="J59" i="46"/>
  <c r="R38" i="49"/>
  <c r="J68" i="46"/>
  <c r="J32" i="46"/>
  <c r="J33" i="65"/>
  <c r="R24" i="48"/>
  <c r="R18" i="73"/>
  <c r="J52" i="65"/>
  <c r="R38" i="47"/>
  <c r="R70" i="48"/>
  <c r="R63" i="48"/>
  <c r="R62" i="73"/>
  <c r="R66" i="73"/>
  <c r="I9" i="39"/>
  <c r="I11" i="39" s="1"/>
  <c r="K13" i="39" s="1"/>
  <c r="D45" i="52" s="1"/>
  <c r="F99" i="29"/>
  <c r="J96" i="29"/>
  <c r="D9" i="39"/>
  <c r="D35" i="52"/>
  <c r="K20" i="51"/>
  <c r="S21" i="51"/>
  <c r="K73" i="51"/>
  <c r="S133" i="51"/>
  <c r="S149" i="51"/>
  <c r="K33" i="51"/>
  <c r="K147" i="51"/>
  <c r="K93" i="51"/>
  <c r="K125" i="51"/>
  <c r="S23" i="51"/>
  <c r="S88" i="51"/>
  <c r="S34" i="51"/>
  <c r="S168" i="51"/>
  <c r="S39" i="51"/>
  <c r="S111" i="51"/>
  <c r="S177" i="51"/>
  <c r="S50" i="51"/>
  <c r="K114" i="51"/>
  <c r="K194" i="51"/>
  <c r="K135" i="51"/>
  <c r="K24" i="51"/>
  <c r="S44" i="51"/>
  <c r="K164" i="51"/>
  <c r="S172" i="51"/>
  <c r="S40" i="51"/>
  <c r="K129" i="51"/>
  <c r="S51" i="51"/>
  <c r="S74" i="51"/>
  <c r="S136" i="51"/>
  <c r="K101" i="51"/>
  <c r="S73" i="51"/>
  <c r="S142" i="51"/>
  <c r="K186" i="51"/>
  <c r="S30" i="51"/>
  <c r="S108" i="51"/>
  <c r="S167" i="51"/>
  <c r="K113" i="51"/>
  <c r="K47" i="51"/>
  <c r="K76" i="51"/>
  <c r="S127" i="51"/>
  <c r="S102" i="51"/>
  <c r="S26" i="51"/>
  <c r="K166" i="51"/>
  <c r="K187" i="51"/>
  <c r="K141" i="51"/>
  <c r="K159" i="51"/>
  <c r="S72" i="51"/>
  <c r="S29" i="51"/>
  <c r="K69" i="51"/>
  <c r="K110" i="51"/>
  <c r="S156" i="51"/>
  <c r="S47" i="51"/>
  <c r="K38" i="51"/>
  <c r="K167" i="51"/>
  <c r="S146" i="51"/>
  <c r="S62" i="51"/>
  <c r="K165" i="51"/>
  <c r="K83" i="51"/>
  <c r="S32" i="51"/>
  <c r="K67" i="51"/>
  <c r="S163" i="51"/>
  <c r="K54" i="51"/>
  <c r="S81" i="51"/>
  <c r="K178" i="51"/>
  <c r="K145" i="51"/>
  <c r="S178" i="51"/>
  <c r="S112" i="51"/>
  <c r="K163" i="51"/>
  <c r="S174" i="51"/>
  <c r="K37" i="51"/>
  <c r="S105" i="51"/>
  <c r="S93" i="51"/>
  <c r="S41" i="51"/>
  <c r="S80" i="51"/>
  <c r="S91" i="51"/>
  <c r="K155" i="51"/>
  <c r="S103" i="51"/>
  <c r="K30" i="51"/>
  <c r="S76" i="51"/>
  <c r="K104" i="51"/>
  <c r="S117" i="51"/>
  <c r="S59" i="51"/>
  <c r="K196" i="51"/>
  <c r="K78" i="51"/>
  <c r="K188" i="51"/>
  <c r="S49" i="51"/>
  <c r="S118" i="51"/>
  <c r="S35" i="51"/>
  <c r="S48" i="51"/>
  <c r="K55" i="51"/>
  <c r="K154" i="51"/>
  <c r="K189" i="51"/>
  <c r="S100" i="51"/>
  <c r="S191" i="51"/>
  <c r="S45" i="51"/>
  <c r="K137" i="51"/>
  <c r="K45" i="51"/>
  <c r="K140" i="51"/>
  <c r="S38" i="51"/>
  <c r="K49" i="51"/>
  <c r="S157" i="51"/>
  <c r="S124" i="51"/>
  <c r="S57" i="51"/>
  <c r="S126" i="51"/>
  <c r="K51" i="51"/>
  <c r="S182" i="51"/>
  <c r="S160" i="51"/>
  <c r="S164" i="51"/>
  <c r="S162" i="51"/>
  <c r="S196" i="51"/>
  <c r="K174" i="51"/>
  <c r="S75" i="51"/>
  <c r="S54" i="51"/>
  <c r="S70" i="51"/>
  <c r="K32" i="51"/>
  <c r="S128" i="51"/>
  <c r="K128" i="51"/>
  <c r="S153" i="51"/>
  <c r="S69" i="51"/>
  <c r="K172" i="51"/>
  <c r="S18" i="51"/>
  <c r="K71" i="51"/>
  <c r="K31" i="51"/>
  <c r="S190" i="51"/>
  <c r="K74" i="51"/>
  <c r="K70" i="51"/>
  <c r="K23" i="51"/>
  <c r="S96" i="51"/>
  <c r="K52" i="51"/>
  <c r="K94" i="51"/>
  <c r="S140" i="51"/>
  <c r="K156" i="51"/>
  <c r="S188" i="51"/>
  <c r="K80" i="51"/>
  <c r="K162" i="51"/>
  <c r="S66" i="51"/>
  <c r="S68" i="51"/>
  <c r="K27" i="51"/>
  <c r="S110" i="51"/>
  <c r="S82" i="51"/>
  <c r="K34" i="51"/>
  <c r="K116" i="51"/>
  <c r="K153" i="51"/>
  <c r="S170" i="51"/>
  <c r="K58" i="51"/>
  <c r="S84" i="51"/>
  <c r="S31" i="51"/>
  <c r="S120" i="51"/>
  <c r="S106" i="51"/>
  <c r="K152" i="51"/>
  <c r="K127" i="51"/>
  <c r="K179" i="51"/>
  <c r="K103" i="51"/>
  <c r="S165" i="51"/>
  <c r="K21" i="51"/>
  <c r="S46" i="51"/>
  <c r="S125" i="51"/>
  <c r="K46" i="51"/>
  <c r="S92" i="51"/>
  <c r="S176" i="51"/>
  <c r="K157" i="51"/>
  <c r="K42" i="51"/>
  <c r="K131" i="51"/>
  <c r="S25" i="51"/>
  <c r="K88" i="51"/>
  <c r="S129" i="51"/>
  <c r="K63" i="51"/>
  <c r="K17" i="51"/>
  <c r="K79" i="51"/>
  <c r="K193" i="51"/>
  <c r="S195" i="51"/>
  <c r="S33" i="51"/>
  <c r="S37" i="51"/>
  <c r="S28" i="51"/>
  <c r="K180" i="51"/>
  <c r="K29" i="51"/>
  <c r="S122" i="51"/>
  <c r="S166" i="51"/>
  <c r="K122" i="51"/>
  <c r="S171" i="51"/>
  <c r="S43" i="51"/>
  <c r="K106" i="51"/>
  <c r="K151" i="51"/>
  <c r="K98" i="51"/>
  <c r="K22" i="51"/>
  <c r="S186" i="51"/>
  <c r="K61" i="51"/>
  <c r="K84" i="51"/>
  <c r="S147" i="51"/>
  <c r="K121" i="51"/>
  <c r="K195" i="51"/>
  <c r="S85" i="51"/>
  <c r="S179" i="51"/>
  <c r="S55" i="51"/>
  <c r="S95" i="51"/>
  <c r="K138" i="51"/>
  <c r="S161" i="51"/>
  <c r="S98" i="51"/>
  <c r="K81" i="51"/>
  <c r="S90" i="51"/>
  <c r="S67" i="51"/>
  <c r="S187" i="51"/>
  <c r="K190" i="51"/>
  <c r="K168" i="51"/>
  <c r="K123" i="51"/>
  <c r="S134" i="51"/>
  <c r="S83" i="51"/>
  <c r="K43" i="51"/>
  <c r="S193" i="51"/>
  <c r="S141" i="51"/>
  <c r="S119" i="51"/>
  <c r="S65" i="51"/>
  <c r="K89" i="51"/>
  <c r="S121" i="51"/>
  <c r="S56" i="51"/>
  <c r="K177" i="51"/>
  <c r="S181" i="51"/>
  <c r="K39" i="51"/>
  <c r="S151" i="51"/>
  <c r="K82" i="51"/>
  <c r="K50" i="51"/>
  <c r="S99" i="51"/>
  <c r="S116" i="51"/>
  <c r="K158" i="51"/>
  <c r="K65" i="51"/>
  <c r="S159" i="51"/>
  <c r="K136" i="51"/>
  <c r="K173" i="51"/>
  <c r="K139" i="51"/>
  <c r="S79" i="51"/>
  <c r="S123" i="51"/>
  <c r="S185" i="51"/>
  <c r="K95" i="51"/>
  <c r="S143" i="51"/>
  <c r="S36" i="51"/>
  <c r="S77" i="51"/>
  <c r="S64" i="51"/>
  <c r="K87" i="51"/>
  <c r="K192" i="51"/>
  <c r="K119" i="51"/>
  <c r="S150" i="51"/>
  <c r="K72" i="51"/>
  <c r="K44" i="51"/>
  <c r="S145" i="51"/>
  <c r="K176" i="51"/>
  <c r="S17" i="51"/>
  <c r="K132" i="51"/>
  <c r="K100" i="51"/>
  <c r="K126" i="51"/>
  <c r="K124" i="51"/>
  <c r="K26" i="51"/>
  <c r="K191" i="51"/>
  <c r="S144" i="51"/>
  <c r="K120" i="51"/>
  <c r="S58" i="51"/>
  <c r="S89" i="51"/>
  <c r="K66" i="51"/>
  <c r="K25" i="51"/>
  <c r="K56" i="51"/>
  <c r="K169" i="51"/>
  <c r="S173" i="51"/>
  <c r="K171" i="51"/>
  <c r="K146" i="51"/>
  <c r="S107" i="51"/>
  <c r="K107" i="51"/>
  <c r="K75" i="51"/>
  <c r="S78" i="51"/>
  <c r="K28" i="51"/>
  <c r="K117" i="51"/>
  <c r="S52" i="51"/>
  <c r="S24" i="51"/>
  <c r="K160" i="51"/>
  <c r="K144" i="51"/>
  <c r="K60" i="51"/>
  <c r="S194" i="51"/>
  <c r="K133" i="51"/>
  <c r="S175" i="51"/>
  <c r="K18" i="51"/>
  <c r="S87" i="51"/>
  <c r="K184" i="51"/>
  <c r="S130" i="51"/>
  <c r="S20" i="51"/>
  <c r="K64" i="51"/>
  <c r="S19" i="51"/>
  <c r="K68" i="51"/>
  <c r="K36" i="51"/>
  <c r="K62" i="51"/>
  <c r="K109" i="51"/>
  <c r="K183" i="51"/>
  <c r="K115" i="51"/>
  <c r="K181" i="51"/>
  <c r="S113" i="51"/>
  <c r="S101" i="51"/>
  <c r="S152" i="51"/>
  <c r="K99" i="51"/>
  <c r="K108" i="51"/>
  <c r="K134" i="51"/>
  <c r="K86" i="51"/>
  <c r="S189" i="51"/>
  <c r="K90" i="51"/>
  <c r="S183" i="51"/>
  <c r="S169" i="51"/>
  <c r="K150" i="51"/>
  <c r="S61" i="51"/>
  <c r="S42" i="51"/>
  <c r="K97" i="51"/>
  <c r="S71" i="51"/>
  <c r="S148" i="51"/>
  <c r="S139" i="51"/>
  <c r="S138" i="51"/>
  <c r="K175" i="51"/>
  <c r="K77" i="51"/>
  <c r="S97" i="51"/>
  <c r="S192" i="51"/>
  <c r="S63" i="51"/>
  <c r="S155" i="51"/>
  <c r="K185" i="51"/>
  <c r="K96" i="51"/>
  <c r="K57" i="51"/>
  <c r="K130" i="51"/>
  <c r="S132" i="51"/>
  <c r="S114" i="51"/>
  <c r="S109" i="51"/>
  <c r="K118" i="51"/>
  <c r="K59" i="51"/>
  <c r="S184" i="51"/>
  <c r="K102" i="51"/>
  <c r="S158" i="51"/>
  <c r="S53" i="51"/>
  <c r="S115" i="51"/>
  <c r="K148" i="51"/>
  <c r="S135" i="51"/>
  <c r="K92" i="51"/>
  <c r="S60" i="51"/>
  <c r="K105" i="51"/>
  <c r="S86" i="51"/>
  <c r="K19" i="51"/>
  <c r="K35" i="51"/>
  <c r="K40" i="51"/>
  <c r="K161" i="51"/>
  <c r="K112" i="51"/>
  <c r="K53" i="51"/>
  <c r="K149" i="51"/>
  <c r="S131" i="51"/>
  <c r="S104" i="51"/>
  <c r="K41" i="51"/>
  <c r="S27" i="51"/>
  <c r="K143" i="51"/>
  <c r="K111" i="51"/>
  <c r="S137" i="51"/>
  <c r="K182" i="51"/>
  <c r="S180" i="51"/>
  <c r="K142" i="51"/>
  <c r="K48" i="51"/>
  <c r="S94" i="51"/>
  <c r="S22" i="51"/>
  <c r="S154" i="51"/>
  <c r="K91" i="51"/>
  <c r="K85" i="51"/>
  <c r="K170" i="51"/>
  <c r="J73" i="17"/>
  <c r="G14" i="19" s="1"/>
  <c r="F73" i="17"/>
  <c r="E14" i="19" s="1"/>
  <c r="L40" i="72" l="1"/>
  <c r="G41" i="81"/>
  <c r="H41" i="81" s="1"/>
  <c r="L21" i="68"/>
  <c r="G22" i="77"/>
  <c r="H22" i="77" s="1"/>
  <c r="L23" i="68"/>
  <c r="G24" i="77"/>
  <c r="H24" i="77" s="1"/>
  <c r="K49" i="81"/>
  <c r="L49" i="81" s="1"/>
  <c r="T48" i="72"/>
  <c r="K38" i="36"/>
  <c r="T37" i="48"/>
  <c r="K29" i="37"/>
  <c r="T28" i="49"/>
  <c r="K63" i="37"/>
  <c r="T62" i="49"/>
  <c r="G17" i="74"/>
  <c r="H17" i="74" s="1"/>
  <c r="L16" i="65"/>
  <c r="L37" i="48"/>
  <c r="G38" i="36"/>
  <c r="K63" i="36"/>
  <c r="T62" i="48"/>
  <c r="L52" i="46"/>
  <c r="G53" i="34"/>
  <c r="L47" i="66"/>
  <c r="G48" i="75"/>
  <c r="H48" i="75" s="1"/>
  <c r="L60" i="47"/>
  <c r="G61" i="35"/>
  <c r="T47" i="49"/>
  <c r="K48" i="37"/>
  <c r="L18" i="46"/>
  <c r="G19" i="34"/>
  <c r="G35" i="37"/>
  <c r="L34" i="49"/>
  <c r="K55" i="79"/>
  <c r="L55" i="79" s="1"/>
  <c r="T54" i="70"/>
  <c r="L67" i="72"/>
  <c r="G68" i="81"/>
  <c r="H68" i="81" s="1"/>
  <c r="G71" i="80"/>
  <c r="H71" i="80" s="1"/>
  <c r="L70" i="71"/>
  <c r="G60" i="81"/>
  <c r="H60" i="81" s="1"/>
  <c r="L59" i="72"/>
  <c r="G58" i="81"/>
  <c r="H58" i="81" s="1"/>
  <c r="L57" i="72"/>
  <c r="K54" i="80"/>
  <c r="L54" i="80" s="1"/>
  <c r="T53" i="71"/>
  <c r="G41" i="77"/>
  <c r="H41" i="77" s="1"/>
  <c r="L40" i="68"/>
  <c r="T60" i="72"/>
  <c r="K61" i="81"/>
  <c r="L61" i="81" s="1"/>
  <c r="T45" i="68"/>
  <c r="K46" i="77"/>
  <c r="L46" i="77" s="1"/>
  <c r="K53" i="79"/>
  <c r="L53" i="79" s="1"/>
  <c r="T52" i="70"/>
  <c r="G35" i="80"/>
  <c r="H35" i="80" s="1"/>
  <c r="L34" i="71"/>
  <c r="G69" i="80"/>
  <c r="H69" i="80" s="1"/>
  <c r="L68" i="71"/>
  <c r="K42" i="75"/>
  <c r="L42" i="75" s="1"/>
  <c r="T41" i="66"/>
  <c r="L51" i="69"/>
  <c r="G52" i="78"/>
  <c r="H52" i="78" s="1"/>
  <c r="K45" i="79"/>
  <c r="L45" i="79" s="1"/>
  <c r="T44" i="70"/>
  <c r="G29" i="74"/>
  <c r="H29" i="74" s="1"/>
  <c r="L28" i="65"/>
  <c r="T53" i="66"/>
  <c r="K54" i="75"/>
  <c r="L54" i="75" s="1"/>
  <c r="K35" i="79"/>
  <c r="L35" i="79" s="1"/>
  <c r="T34" i="70"/>
  <c r="G19" i="75"/>
  <c r="H19" i="75" s="1"/>
  <c r="L18" i="66"/>
  <c r="K43" i="76"/>
  <c r="L43" i="76" s="1"/>
  <c r="T42" i="67"/>
  <c r="G29" i="79"/>
  <c r="H29" i="79" s="1"/>
  <c r="L28" i="70"/>
  <c r="T26" i="69"/>
  <c r="K27" i="78"/>
  <c r="L27" i="78" s="1"/>
  <c r="L20" i="68"/>
  <c r="G21" i="77"/>
  <c r="H21" i="77" s="1"/>
  <c r="L58" i="71"/>
  <c r="G59" i="80"/>
  <c r="H59" i="80" s="1"/>
  <c r="L24" i="69"/>
  <c r="G25" i="78"/>
  <c r="H25" i="78" s="1"/>
  <c r="T19" i="71"/>
  <c r="K20" i="80"/>
  <c r="L20" i="80" s="1"/>
  <c r="T29" i="66"/>
  <c r="K30" i="75"/>
  <c r="L30" i="75" s="1"/>
  <c r="G19" i="78"/>
  <c r="H19" i="78" s="1"/>
  <c r="L18" i="69"/>
  <c r="T62" i="71"/>
  <c r="K63" i="80"/>
  <c r="L63" i="80" s="1"/>
  <c r="G48" i="79"/>
  <c r="H48" i="79" s="1"/>
  <c r="L47" i="70"/>
  <c r="T33" i="73"/>
  <c r="K34" i="82"/>
  <c r="L34" i="82" s="1"/>
  <c r="G47" i="82"/>
  <c r="H47" i="82" s="1"/>
  <c r="L46" i="73"/>
  <c r="K28" i="82"/>
  <c r="L28" i="82" s="1"/>
  <c r="T27" i="73"/>
  <c r="T59" i="70"/>
  <c r="K60" i="79"/>
  <c r="L60" i="79" s="1"/>
  <c r="T68" i="68"/>
  <c r="K69" i="77"/>
  <c r="L69" i="77" s="1"/>
  <c r="L47" i="65"/>
  <c r="G48" i="74"/>
  <c r="H48" i="74" s="1"/>
  <c r="L54" i="68"/>
  <c r="G55" i="77"/>
  <c r="H55" i="77" s="1"/>
  <c r="K19" i="80"/>
  <c r="L19" i="80" s="1"/>
  <c r="T18" i="71"/>
  <c r="L39" i="70"/>
  <c r="G40" i="79"/>
  <c r="H40" i="79" s="1"/>
  <c r="L55" i="71"/>
  <c r="G56" i="80"/>
  <c r="H56" i="80" s="1"/>
  <c r="K26" i="79"/>
  <c r="L26" i="79" s="1"/>
  <c r="T25" i="70"/>
  <c r="T39" i="72"/>
  <c r="K40" i="81"/>
  <c r="L40" i="81" s="1"/>
  <c r="G47" i="74"/>
  <c r="H47" i="74" s="1"/>
  <c r="L46" i="65"/>
  <c r="L45" i="65"/>
  <c r="G46" i="74"/>
  <c r="H46" i="74" s="1"/>
  <c r="G17" i="78"/>
  <c r="H17" i="78" s="1"/>
  <c r="L16" i="69"/>
  <c r="T26" i="68"/>
  <c r="K27" i="77"/>
  <c r="L27" i="77" s="1"/>
  <c r="T23" i="66"/>
  <c r="K24" i="75"/>
  <c r="L24" i="75" s="1"/>
  <c r="T39" i="67"/>
  <c r="K40" i="76"/>
  <c r="L40" i="76" s="1"/>
  <c r="G38" i="80"/>
  <c r="H38" i="80" s="1"/>
  <c r="L37" i="71"/>
  <c r="G38" i="74"/>
  <c r="H38" i="74" s="1"/>
  <c r="L37" i="65"/>
  <c r="L32" i="68"/>
  <c r="G33" i="77"/>
  <c r="H33" i="77" s="1"/>
  <c r="T70" i="66"/>
  <c r="K71" i="75"/>
  <c r="L71" i="75" s="1"/>
  <c r="T70" i="72"/>
  <c r="K71" i="81"/>
  <c r="L71" i="81" s="1"/>
  <c r="T50" i="67"/>
  <c r="K51" i="76"/>
  <c r="L51" i="76" s="1"/>
  <c r="K69" i="82"/>
  <c r="L69" i="82" s="1"/>
  <c r="T68" i="73"/>
  <c r="K25" i="79"/>
  <c r="L25" i="79" s="1"/>
  <c r="T24" i="70"/>
  <c r="L33" i="65"/>
  <c r="G34" i="74"/>
  <c r="H34" i="74" s="1"/>
  <c r="K44" i="36"/>
  <c r="T43" i="48"/>
  <c r="G35" i="77"/>
  <c r="H35" i="77" s="1"/>
  <c r="L34" i="68"/>
  <c r="T21" i="72"/>
  <c r="K22" i="81"/>
  <c r="L22" i="81" s="1"/>
  <c r="K56" i="34"/>
  <c r="T55" i="46"/>
  <c r="G50" i="34"/>
  <c r="L49" i="46"/>
  <c r="T29" i="49"/>
  <c r="K30" i="37"/>
  <c r="K27" i="37"/>
  <c r="T26" i="49"/>
  <c r="K62" i="37"/>
  <c r="T61" i="49"/>
  <c r="T21" i="49"/>
  <c r="K22" i="37"/>
  <c r="G28" i="36"/>
  <c r="L27" i="48"/>
  <c r="G26" i="37"/>
  <c r="L25" i="49"/>
  <c r="K27" i="76"/>
  <c r="L27" i="76" s="1"/>
  <c r="T26" i="67"/>
  <c r="G34" i="35"/>
  <c r="L33" i="47"/>
  <c r="K67" i="34"/>
  <c r="T66" i="46"/>
  <c r="G72" i="37"/>
  <c r="L71" i="49"/>
  <c r="G56" i="75"/>
  <c r="H56" i="75" s="1"/>
  <c r="L55" i="66"/>
  <c r="G72" i="77"/>
  <c r="H72" i="77" s="1"/>
  <c r="L71" i="68"/>
  <c r="G50" i="37"/>
  <c r="L49" i="49"/>
  <c r="L32" i="72"/>
  <c r="G33" i="81"/>
  <c r="H33" i="81" s="1"/>
  <c r="T26" i="46"/>
  <c r="K27" i="34"/>
  <c r="T15" i="46"/>
  <c r="R73" i="46"/>
  <c r="K16" i="34"/>
  <c r="G63" i="37"/>
  <c r="L62" i="49"/>
  <c r="L36" i="68"/>
  <c r="G37" i="77"/>
  <c r="H37" i="77" s="1"/>
  <c r="K60" i="82"/>
  <c r="L60" i="82" s="1"/>
  <c r="T59" i="73"/>
  <c r="T58" i="48"/>
  <c r="K59" i="36"/>
  <c r="T42" i="48"/>
  <c r="K43" i="36"/>
  <c r="K64" i="34"/>
  <c r="T63" i="46"/>
  <c r="L20" i="65"/>
  <c r="G21" i="74"/>
  <c r="H21" i="74" s="1"/>
  <c r="G44" i="75"/>
  <c r="H44" i="75" s="1"/>
  <c r="L43" i="66"/>
  <c r="G42" i="34"/>
  <c r="L41" i="46"/>
  <c r="G38" i="34"/>
  <c r="L37" i="46"/>
  <c r="T26" i="48"/>
  <c r="K27" i="36"/>
  <c r="L16" i="48"/>
  <c r="G17" i="36"/>
  <c r="G22" i="78"/>
  <c r="H22" i="78" s="1"/>
  <c r="L21" i="69"/>
  <c r="T44" i="49"/>
  <c r="K45" i="37"/>
  <c r="L61" i="72"/>
  <c r="G62" i="81"/>
  <c r="H62" i="81" s="1"/>
  <c r="K57" i="36"/>
  <c r="T56" i="48"/>
  <c r="T28" i="46"/>
  <c r="K29" i="34"/>
  <c r="K63" i="77"/>
  <c r="L63" i="77" s="1"/>
  <c r="T62" i="68"/>
  <c r="K57" i="81"/>
  <c r="L57" i="81" s="1"/>
  <c r="T56" i="72"/>
  <c r="G57" i="35"/>
  <c r="L56" i="47"/>
  <c r="K50" i="34"/>
  <c r="T49" i="46"/>
  <c r="K25" i="37"/>
  <c r="T24" i="49"/>
  <c r="G37" i="34"/>
  <c r="L36" i="46"/>
  <c r="L30" i="49"/>
  <c r="G31" i="37"/>
  <c r="L46" i="68"/>
  <c r="G47" i="77"/>
  <c r="H47" i="77" s="1"/>
  <c r="K69" i="78"/>
  <c r="L69" i="78" s="1"/>
  <c r="T68" i="69"/>
  <c r="G72" i="36"/>
  <c r="L71" i="48"/>
  <c r="L50" i="48"/>
  <c r="G51" i="36"/>
  <c r="G28" i="37"/>
  <c r="L27" i="49"/>
  <c r="L63" i="73"/>
  <c r="G64" i="82"/>
  <c r="H64" i="82" s="1"/>
  <c r="G27" i="78"/>
  <c r="H27" i="78" s="1"/>
  <c r="L26" i="69"/>
  <c r="T46" i="49"/>
  <c r="K47" i="37"/>
  <c r="G17" i="35"/>
  <c r="L16" i="47"/>
  <c r="T65" i="49"/>
  <c r="K66" i="37"/>
  <c r="G71" i="37"/>
  <c r="L70" i="49"/>
  <c r="L23" i="67"/>
  <c r="G24" i="76"/>
  <c r="H24" i="76" s="1"/>
  <c r="T39" i="71"/>
  <c r="K40" i="80"/>
  <c r="L40" i="80" s="1"/>
  <c r="L64" i="72"/>
  <c r="G65" i="81"/>
  <c r="H65" i="81" s="1"/>
  <c r="T17" i="70"/>
  <c r="K18" i="79"/>
  <c r="L18" i="79" s="1"/>
  <c r="G43" i="78"/>
  <c r="H43" i="78" s="1"/>
  <c r="L42" i="69"/>
  <c r="T70" i="69"/>
  <c r="K71" i="78"/>
  <c r="L71" i="78" s="1"/>
  <c r="T31" i="68"/>
  <c r="K32" i="77"/>
  <c r="L32" i="77" s="1"/>
  <c r="T58" i="66"/>
  <c r="K59" i="75"/>
  <c r="L59" i="75" s="1"/>
  <c r="K45" i="77"/>
  <c r="L45" i="77" s="1"/>
  <c r="T44" i="68"/>
  <c r="T69" i="69"/>
  <c r="K70" i="78"/>
  <c r="L70" i="78" s="1"/>
  <c r="L19" i="72"/>
  <c r="G20" i="81"/>
  <c r="H20" i="81" s="1"/>
  <c r="L29" i="73"/>
  <c r="G30" i="82"/>
  <c r="H30" i="82" s="1"/>
  <c r="K44" i="74"/>
  <c r="L44" i="74" s="1"/>
  <c r="T43" i="65"/>
  <c r="K22" i="80"/>
  <c r="L22" i="80" s="1"/>
  <c r="T21" i="71"/>
  <c r="T71" i="70"/>
  <c r="K72" i="79"/>
  <c r="L72" i="79" s="1"/>
  <c r="K17" i="82"/>
  <c r="L17" i="82" s="1"/>
  <c r="T16" i="73"/>
  <c r="L56" i="69"/>
  <c r="G57" i="78"/>
  <c r="H57" i="78" s="1"/>
  <c r="L37" i="70"/>
  <c r="G38" i="79"/>
  <c r="H38" i="79" s="1"/>
  <c r="L35" i="72"/>
  <c r="G36" i="81"/>
  <c r="H36" i="81" s="1"/>
  <c r="L21" i="65"/>
  <c r="G22" i="74"/>
  <c r="H22" i="74" s="1"/>
  <c r="K36" i="75"/>
  <c r="L36" i="75" s="1"/>
  <c r="T35" i="66"/>
  <c r="K67" i="75"/>
  <c r="L67" i="75" s="1"/>
  <c r="T66" i="66"/>
  <c r="K61" i="78"/>
  <c r="L61" i="78" s="1"/>
  <c r="T60" i="69"/>
  <c r="L16" i="71"/>
  <c r="G17" i="80"/>
  <c r="H17" i="80" s="1"/>
  <c r="L68" i="68"/>
  <c r="G69" i="77"/>
  <c r="H69" i="77" s="1"/>
  <c r="L53" i="69"/>
  <c r="G54" i="78"/>
  <c r="H54" i="78" s="1"/>
  <c r="G23" i="82"/>
  <c r="H23" i="82" s="1"/>
  <c r="L22" i="73"/>
  <c r="T40" i="73"/>
  <c r="K41" i="82"/>
  <c r="L41" i="82" s="1"/>
  <c r="L36" i="72"/>
  <c r="G37" i="81"/>
  <c r="H37" i="81" s="1"/>
  <c r="K45" i="80"/>
  <c r="L45" i="80" s="1"/>
  <c r="T44" i="71"/>
  <c r="K41" i="76"/>
  <c r="L41" i="76" s="1"/>
  <c r="T40" i="67"/>
  <c r="G65" i="75"/>
  <c r="H65" i="75" s="1"/>
  <c r="L64" i="66"/>
  <c r="T72" i="67"/>
  <c r="K73" i="76"/>
  <c r="L73" i="76" s="1"/>
  <c r="L72" i="71"/>
  <c r="G73" i="80"/>
  <c r="H73" i="80" s="1"/>
  <c r="G55" i="76"/>
  <c r="H55" i="76" s="1"/>
  <c r="L54" i="67"/>
  <c r="G18" i="77"/>
  <c r="H18" i="77" s="1"/>
  <c r="L17" i="68"/>
  <c r="T33" i="72"/>
  <c r="K34" i="81"/>
  <c r="L34" i="81" s="1"/>
  <c r="K37" i="76"/>
  <c r="L37" i="76" s="1"/>
  <c r="T36" i="67"/>
  <c r="K16" i="81"/>
  <c r="T15" i="72"/>
  <c r="R73" i="72"/>
  <c r="T25" i="66"/>
  <c r="K26" i="75"/>
  <c r="L26" i="75" s="1"/>
  <c r="K70" i="75"/>
  <c r="L70" i="75" s="1"/>
  <c r="T69" i="66"/>
  <c r="K21" i="79"/>
  <c r="L21" i="79" s="1"/>
  <c r="T20" i="70"/>
  <c r="L31" i="68"/>
  <c r="G32" i="77"/>
  <c r="H32" i="77" s="1"/>
  <c r="L69" i="71"/>
  <c r="G70" i="80"/>
  <c r="H70" i="80" s="1"/>
  <c r="G73" i="82"/>
  <c r="H73" i="82" s="1"/>
  <c r="L72" i="73"/>
  <c r="G35" i="79"/>
  <c r="H35" i="79" s="1"/>
  <c r="L34" i="70"/>
  <c r="G56" i="82"/>
  <c r="H56" i="82" s="1"/>
  <c r="L55" i="73"/>
  <c r="G32" i="82"/>
  <c r="H32" i="82" s="1"/>
  <c r="L31" i="73"/>
  <c r="K48" i="81"/>
  <c r="L48" i="81" s="1"/>
  <c r="T47" i="72"/>
  <c r="K52" i="75"/>
  <c r="L52" i="75" s="1"/>
  <c r="T51" i="66"/>
  <c r="L29" i="68"/>
  <c r="G30" i="77"/>
  <c r="H30" i="77" s="1"/>
  <c r="L70" i="65"/>
  <c r="G71" i="74"/>
  <c r="H71" i="74" s="1"/>
  <c r="L42" i="68"/>
  <c r="G43" i="77"/>
  <c r="H43" i="77" s="1"/>
  <c r="L44" i="71"/>
  <c r="G45" i="80"/>
  <c r="H45" i="80" s="1"/>
  <c r="G30" i="79"/>
  <c r="H30" i="79" s="1"/>
  <c r="L29" i="70"/>
  <c r="G37" i="75"/>
  <c r="H37" i="75" s="1"/>
  <c r="L36" i="66"/>
  <c r="L25" i="71"/>
  <c r="G26" i="80"/>
  <c r="H26" i="80" s="1"/>
  <c r="T20" i="72"/>
  <c r="K21" i="81"/>
  <c r="L21" i="81" s="1"/>
  <c r="K32" i="74"/>
  <c r="L32" i="74" s="1"/>
  <c r="T31" i="65"/>
  <c r="L66" i="69"/>
  <c r="G67" i="78"/>
  <c r="H67" i="78" s="1"/>
  <c r="K73" i="77"/>
  <c r="L73" i="77" s="1"/>
  <c r="T72" i="68"/>
  <c r="T35" i="72"/>
  <c r="K36" i="81"/>
  <c r="L36" i="81" s="1"/>
  <c r="T43" i="67"/>
  <c r="K44" i="76"/>
  <c r="L44" i="76" s="1"/>
  <c r="G46" i="80"/>
  <c r="H46" i="80" s="1"/>
  <c r="L45" i="71"/>
  <c r="L72" i="47"/>
  <c r="G73" i="35"/>
  <c r="G41" i="37"/>
  <c r="L40" i="49"/>
  <c r="T62" i="46"/>
  <c r="K63" i="34"/>
  <c r="G66" i="37"/>
  <c r="L65" i="49"/>
  <c r="L44" i="70"/>
  <c r="G45" i="79"/>
  <c r="H45" i="79" s="1"/>
  <c r="G33" i="34"/>
  <c r="L32" i="46"/>
  <c r="K37" i="37"/>
  <c r="T36" i="49"/>
  <c r="G55" i="36"/>
  <c r="L54" i="48"/>
  <c r="G29" i="37"/>
  <c r="L28" i="49"/>
  <c r="K71" i="74"/>
  <c r="L71" i="74" s="1"/>
  <c r="T70" i="65"/>
  <c r="G70" i="37"/>
  <c r="L69" i="49"/>
  <c r="G50" i="77"/>
  <c r="H50" i="77" s="1"/>
  <c r="L49" i="68"/>
  <c r="L33" i="48"/>
  <c r="G34" i="36"/>
  <c r="K65" i="75"/>
  <c r="L65" i="75" s="1"/>
  <c r="T64" i="66"/>
  <c r="G67" i="37"/>
  <c r="L66" i="49"/>
  <c r="T56" i="49"/>
  <c r="K57" i="37"/>
  <c r="L59" i="47"/>
  <c r="G60" i="35"/>
  <c r="L32" i="71"/>
  <c r="G33" i="80"/>
  <c r="H33" i="80" s="1"/>
  <c r="K19" i="74"/>
  <c r="L19" i="74" s="1"/>
  <c r="T18" i="65"/>
  <c r="G34" i="80"/>
  <c r="H34" i="80" s="1"/>
  <c r="L33" i="71"/>
  <c r="G45" i="34"/>
  <c r="L44" i="46"/>
  <c r="L54" i="49"/>
  <c r="G55" i="37"/>
  <c r="G23" i="34"/>
  <c r="L22" i="46"/>
  <c r="L26" i="49"/>
  <c r="G27" i="37"/>
  <c r="T67" i="68"/>
  <c r="K68" i="77"/>
  <c r="L68" i="77" s="1"/>
  <c r="K23" i="37"/>
  <c r="T22" i="49"/>
  <c r="G17" i="81"/>
  <c r="H17" i="81" s="1"/>
  <c r="L16" i="72"/>
  <c r="T51" i="49"/>
  <c r="K52" i="37"/>
  <c r="K67" i="37"/>
  <c r="T66" i="49"/>
  <c r="L15" i="47"/>
  <c r="G16" i="35"/>
  <c r="J73" i="47"/>
  <c r="G54" i="74"/>
  <c r="H54" i="74" s="1"/>
  <c r="L53" i="65"/>
  <c r="L45" i="66"/>
  <c r="G46" i="75"/>
  <c r="H46" i="75" s="1"/>
  <c r="K61" i="37"/>
  <c r="T60" i="49"/>
  <c r="G71" i="34"/>
  <c r="L70" i="46"/>
  <c r="L47" i="49"/>
  <c r="G48" i="37"/>
  <c r="K54" i="74"/>
  <c r="L54" i="74" s="1"/>
  <c r="T53" i="65"/>
  <c r="T35" i="69"/>
  <c r="K36" i="78"/>
  <c r="L36" i="78" s="1"/>
  <c r="G52" i="35"/>
  <c r="L51" i="47"/>
  <c r="K58" i="37"/>
  <c r="T57" i="49"/>
  <c r="G40" i="36"/>
  <c r="L39" i="48"/>
  <c r="G24" i="37"/>
  <c r="L23" i="49"/>
  <c r="T65" i="65"/>
  <c r="K66" i="74"/>
  <c r="L66" i="74" s="1"/>
  <c r="K20" i="82"/>
  <c r="L20" i="82" s="1"/>
  <c r="T19" i="73"/>
  <c r="T18" i="46"/>
  <c r="K19" i="34"/>
  <c r="K24" i="34"/>
  <c r="T23" i="46"/>
  <c r="G18" i="79"/>
  <c r="H18" i="79" s="1"/>
  <c r="L17" i="70"/>
  <c r="K34" i="75"/>
  <c r="L34" i="75" s="1"/>
  <c r="T33" i="66"/>
  <c r="T17" i="46"/>
  <c r="K18" i="34"/>
  <c r="G67" i="36"/>
  <c r="L66" i="48"/>
  <c r="L21" i="46"/>
  <c r="G22" i="34"/>
  <c r="L30" i="65"/>
  <c r="G31" i="74"/>
  <c r="H31" i="74" s="1"/>
  <c r="G44" i="79"/>
  <c r="H44" i="79" s="1"/>
  <c r="L43" i="70"/>
  <c r="L34" i="65"/>
  <c r="G35" i="74"/>
  <c r="H35" i="74" s="1"/>
  <c r="T58" i="71"/>
  <c r="K59" i="80"/>
  <c r="L59" i="80" s="1"/>
  <c r="T34" i="72"/>
  <c r="K35" i="81"/>
  <c r="L35" i="81" s="1"/>
  <c r="L25" i="66"/>
  <c r="G26" i="75"/>
  <c r="H26" i="75" s="1"/>
  <c r="G18" i="80"/>
  <c r="H18" i="80" s="1"/>
  <c r="L17" i="71"/>
  <c r="G32" i="75"/>
  <c r="H32" i="75" s="1"/>
  <c r="L31" i="66"/>
  <c r="T39" i="68"/>
  <c r="K40" i="77"/>
  <c r="L40" i="77" s="1"/>
  <c r="K31" i="75"/>
  <c r="L31" i="75" s="1"/>
  <c r="T30" i="66"/>
  <c r="K31" i="79"/>
  <c r="L31" i="79" s="1"/>
  <c r="T30" i="70"/>
  <c r="R73" i="67"/>
  <c r="T15" i="67"/>
  <c r="K16" i="76"/>
  <c r="K51" i="81"/>
  <c r="L51" i="81" s="1"/>
  <c r="T50" i="72"/>
  <c r="G23" i="81"/>
  <c r="H23" i="81" s="1"/>
  <c r="L22" i="72"/>
  <c r="G73" i="79"/>
  <c r="H73" i="79" s="1"/>
  <c r="L72" i="70"/>
  <c r="T47" i="71"/>
  <c r="K48" i="80"/>
  <c r="L48" i="80" s="1"/>
  <c r="T71" i="71"/>
  <c r="K72" i="80"/>
  <c r="L72" i="80" s="1"/>
  <c r="K53" i="76"/>
  <c r="L53" i="76" s="1"/>
  <c r="T52" i="67"/>
  <c r="G72" i="76"/>
  <c r="H72" i="76" s="1"/>
  <c r="L71" i="67"/>
  <c r="L17" i="69"/>
  <c r="G18" i="78"/>
  <c r="H18" i="78" s="1"/>
  <c r="T33" i="69"/>
  <c r="K34" i="78"/>
  <c r="L34" i="78" s="1"/>
  <c r="K21" i="75"/>
  <c r="L21" i="75" s="1"/>
  <c r="T20" i="66"/>
  <c r="T56" i="66"/>
  <c r="K57" i="75"/>
  <c r="L57" i="75" s="1"/>
  <c r="T21" i="67"/>
  <c r="K22" i="76"/>
  <c r="L22" i="76" s="1"/>
  <c r="G53" i="76"/>
  <c r="H53" i="76" s="1"/>
  <c r="L52" i="67"/>
  <c r="K27" i="82"/>
  <c r="L27" i="82" s="1"/>
  <c r="T26" i="73"/>
  <c r="G28" i="78"/>
  <c r="H28" i="78" s="1"/>
  <c r="L27" i="69"/>
  <c r="G61" i="75"/>
  <c r="H61" i="75" s="1"/>
  <c r="L60" i="66"/>
  <c r="K42" i="81"/>
  <c r="L42" i="81" s="1"/>
  <c r="T41" i="72"/>
  <c r="G68" i="80"/>
  <c r="H68" i="80" s="1"/>
  <c r="L67" i="71"/>
  <c r="K25" i="75"/>
  <c r="L25" i="75" s="1"/>
  <c r="T24" i="66"/>
  <c r="L18" i="73"/>
  <c r="G19" i="82"/>
  <c r="H19" i="82" s="1"/>
  <c r="G65" i="80"/>
  <c r="H65" i="80" s="1"/>
  <c r="L64" i="71"/>
  <c r="K46" i="82"/>
  <c r="L46" i="82" s="1"/>
  <c r="T45" i="73"/>
  <c r="G23" i="77"/>
  <c r="H23" i="77" s="1"/>
  <c r="L22" i="68"/>
  <c r="K39" i="76"/>
  <c r="L39" i="76" s="1"/>
  <c r="T38" i="67"/>
  <c r="T51" i="67"/>
  <c r="K52" i="76"/>
  <c r="L52" i="76" s="1"/>
  <c r="T57" i="71"/>
  <c r="K58" i="80"/>
  <c r="L58" i="80" s="1"/>
  <c r="L31" i="67"/>
  <c r="G32" i="76"/>
  <c r="H32" i="76" s="1"/>
  <c r="L48" i="67"/>
  <c r="G49" i="76"/>
  <c r="H49" i="76" s="1"/>
  <c r="L38" i="68"/>
  <c r="G39" i="77"/>
  <c r="H39" i="77" s="1"/>
  <c r="G16" i="80"/>
  <c r="L15" i="71"/>
  <c r="K28" i="76"/>
  <c r="L28" i="76" s="1"/>
  <c r="T27" i="67"/>
  <c r="G56" i="77"/>
  <c r="H56" i="77" s="1"/>
  <c r="L55" i="68"/>
  <c r="L60" i="72"/>
  <c r="G61" i="81"/>
  <c r="H61" i="81" s="1"/>
  <c r="T58" i="72"/>
  <c r="K59" i="81"/>
  <c r="L59" i="81" s="1"/>
  <c r="G50" i="79"/>
  <c r="H50" i="79" s="1"/>
  <c r="L49" i="70"/>
  <c r="T23" i="72"/>
  <c r="K24" i="81"/>
  <c r="L24" i="81" s="1"/>
  <c r="L52" i="69"/>
  <c r="G53" i="78"/>
  <c r="H53" i="78" s="1"/>
  <c r="K72" i="77"/>
  <c r="L72" i="77" s="1"/>
  <c r="T71" i="68"/>
  <c r="T62" i="66"/>
  <c r="K63" i="75"/>
  <c r="L63" i="75" s="1"/>
  <c r="K47" i="75"/>
  <c r="L47" i="75" s="1"/>
  <c r="T46" i="66"/>
  <c r="K61" i="76"/>
  <c r="L61" i="76" s="1"/>
  <c r="T60" i="67"/>
  <c r="G57" i="82"/>
  <c r="H57" i="82" s="1"/>
  <c r="L56" i="73"/>
  <c r="L72" i="67"/>
  <c r="G73" i="76"/>
  <c r="H73" i="76" s="1"/>
  <c r="L32" i="67"/>
  <c r="G33" i="76"/>
  <c r="H33" i="76" s="1"/>
  <c r="K24" i="76"/>
  <c r="L24" i="76" s="1"/>
  <c r="T23" i="67"/>
  <c r="L61" i="69"/>
  <c r="G62" i="78"/>
  <c r="H62" i="78" s="1"/>
  <c r="L63" i="72"/>
  <c r="G64" i="81"/>
  <c r="H64" i="81" s="1"/>
  <c r="K66" i="82"/>
  <c r="L66" i="82" s="1"/>
  <c r="T65" i="73"/>
  <c r="G23" i="79"/>
  <c r="H23" i="79" s="1"/>
  <c r="L22" i="70"/>
  <c r="G35" i="82"/>
  <c r="H35" i="82" s="1"/>
  <c r="L34" i="73"/>
  <c r="G64" i="78"/>
  <c r="H64" i="78" s="1"/>
  <c r="L63" i="69"/>
  <c r="K47" i="76"/>
  <c r="L47" i="76" s="1"/>
  <c r="T46" i="67"/>
  <c r="T16" i="66"/>
  <c r="K17" i="75"/>
  <c r="L17" i="75" s="1"/>
  <c r="T53" i="70"/>
  <c r="K54" i="79"/>
  <c r="L54" i="79" s="1"/>
  <c r="K49" i="34"/>
  <c r="T48" i="46"/>
  <c r="G46" i="79"/>
  <c r="H46" i="79" s="1"/>
  <c r="L45" i="70"/>
  <c r="T42" i="65"/>
  <c r="K43" i="74"/>
  <c r="L43" i="74" s="1"/>
  <c r="L45" i="48"/>
  <c r="G46" i="36"/>
  <c r="T71" i="49"/>
  <c r="K72" i="37"/>
  <c r="L25" i="46"/>
  <c r="G26" i="34"/>
  <c r="L38" i="48"/>
  <c r="G39" i="36"/>
  <c r="G20" i="80"/>
  <c r="H20" i="80" s="1"/>
  <c r="L19" i="71"/>
  <c r="K66" i="36"/>
  <c r="T65" i="48"/>
  <c r="L71" i="70"/>
  <c r="G72" i="79"/>
  <c r="H72" i="79" s="1"/>
  <c r="T15" i="48"/>
  <c r="R73" i="48"/>
  <c r="K16" i="36"/>
  <c r="T66" i="48"/>
  <c r="K67" i="36"/>
  <c r="G69" i="79"/>
  <c r="H69" i="79" s="1"/>
  <c r="L68" i="70"/>
  <c r="L33" i="67"/>
  <c r="G34" i="76"/>
  <c r="H34" i="76" s="1"/>
  <c r="T34" i="71"/>
  <c r="K35" i="80"/>
  <c r="L35" i="80" s="1"/>
  <c r="T65" i="71"/>
  <c r="K66" i="80"/>
  <c r="L66" i="80" s="1"/>
  <c r="G61" i="79"/>
  <c r="H61" i="79" s="1"/>
  <c r="L60" i="70"/>
  <c r="T46" i="69"/>
  <c r="K47" i="78"/>
  <c r="L47" i="78" s="1"/>
  <c r="L23" i="66"/>
  <c r="G24" i="75"/>
  <c r="H24" i="75" s="1"/>
  <c r="K50" i="75"/>
  <c r="L50" i="75" s="1"/>
  <c r="T49" i="66"/>
  <c r="L60" i="71"/>
  <c r="G61" i="80"/>
  <c r="H61" i="80" s="1"/>
  <c r="L48" i="73"/>
  <c r="G49" i="82"/>
  <c r="H49" i="82" s="1"/>
  <c r="L45" i="72"/>
  <c r="G46" i="81"/>
  <c r="H46" i="81" s="1"/>
  <c r="K52" i="80"/>
  <c r="L52" i="80" s="1"/>
  <c r="T51" i="71"/>
  <c r="T27" i="70"/>
  <c r="K28" i="79"/>
  <c r="L28" i="79" s="1"/>
  <c r="K51" i="78"/>
  <c r="L51" i="78" s="1"/>
  <c r="T50" i="69"/>
  <c r="K57" i="79"/>
  <c r="L57" i="79" s="1"/>
  <c r="T56" i="70"/>
  <c r="K23" i="81"/>
  <c r="L23" i="81" s="1"/>
  <c r="T22" i="72"/>
  <c r="K67" i="74"/>
  <c r="L67" i="74" s="1"/>
  <c r="T66" i="65"/>
  <c r="K67" i="76"/>
  <c r="L67" i="76" s="1"/>
  <c r="T66" i="67"/>
  <c r="K45" i="75"/>
  <c r="L45" i="75" s="1"/>
  <c r="T44" i="66"/>
  <c r="K32" i="79"/>
  <c r="L32" i="79" s="1"/>
  <c r="T31" i="70"/>
  <c r="G66" i="74"/>
  <c r="H66" i="74" s="1"/>
  <c r="L65" i="65"/>
  <c r="K67" i="78"/>
  <c r="L67" i="78" s="1"/>
  <c r="T66" i="69"/>
  <c r="G47" i="79"/>
  <c r="H47" i="79" s="1"/>
  <c r="L46" i="70"/>
  <c r="T21" i="73"/>
  <c r="K22" i="82"/>
  <c r="L22" i="82" s="1"/>
  <c r="T20" i="68"/>
  <c r="K21" i="77"/>
  <c r="L21" i="77" s="1"/>
  <c r="K49" i="80"/>
  <c r="L49" i="80" s="1"/>
  <c r="T48" i="71"/>
  <c r="T52" i="68"/>
  <c r="K53" i="77"/>
  <c r="L53" i="77" s="1"/>
  <c r="K49" i="79"/>
  <c r="L49" i="79" s="1"/>
  <c r="T48" i="70"/>
  <c r="G18" i="82"/>
  <c r="H18" i="82" s="1"/>
  <c r="L17" i="73"/>
  <c r="L55" i="72"/>
  <c r="G56" i="81"/>
  <c r="H56" i="81" s="1"/>
  <c r="K73" i="78"/>
  <c r="L73" i="78" s="1"/>
  <c r="T72" i="69"/>
  <c r="T16" i="70"/>
  <c r="K17" i="79"/>
  <c r="L17" i="79" s="1"/>
  <c r="T40" i="66"/>
  <c r="K41" i="75"/>
  <c r="L41" i="75" s="1"/>
  <c r="T40" i="70"/>
  <c r="K41" i="79"/>
  <c r="L41" i="79" s="1"/>
  <c r="K39" i="78"/>
  <c r="L39" i="78" s="1"/>
  <c r="T38" i="69"/>
  <c r="L42" i="72"/>
  <c r="G43" i="81"/>
  <c r="H43" i="81" s="1"/>
  <c r="G57" i="76"/>
  <c r="H57" i="76" s="1"/>
  <c r="L56" i="67"/>
  <c r="G29" i="76"/>
  <c r="H29" i="76" s="1"/>
  <c r="L28" i="67"/>
  <c r="K32" i="75"/>
  <c r="L32" i="75" s="1"/>
  <c r="T31" i="66"/>
  <c r="K49" i="78"/>
  <c r="L49" i="78" s="1"/>
  <c r="T48" i="69"/>
  <c r="K65" i="81"/>
  <c r="L65" i="81" s="1"/>
  <c r="T64" i="72"/>
  <c r="G25" i="82"/>
  <c r="H25" i="82" s="1"/>
  <c r="L24" i="73"/>
  <c r="G43" i="79"/>
  <c r="H43" i="79" s="1"/>
  <c r="L42" i="70"/>
  <c r="L30" i="73"/>
  <c r="G31" i="82"/>
  <c r="H31" i="82" s="1"/>
  <c r="L17" i="72"/>
  <c r="G18" i="81"/>
  <c r="H18" i="81" s="1"/>
  <c r="T47" i="70"/>
  <c r="K48" i="79"/>
  <c r="L48" i="79" s="1"/>
  <c r="K32" i="82"/>
  <c r="L32" i="82" s="1"/>
  <c r="T31" i="73"/>
  <c r="G69" i="34"/>
  <c r="L68" i="46"/>
  <c r="G56" i="37"/>
  <c r="L55" i="49"/>
  <c r="L64" i="68"/>
  <c r="G65" i="77"/>
  <c r="H65" i="77" s="1"/>
  <c r="T38" i="73"/>
  <c r="K39" i="82"/>
  <c r="L39" i="82" s="1"/>
  <c r="T57" i="48"/>
  <c r="K58" i="36"/>
  <c r="L40" i="48"/>
  <c r="G41" i="36"/>
  <c r="T40" i="48"/>
  <c r="K41" i="36"/>
  <c r="K41" i="34"/>
  <c r="T40" i="46"/>
  <c r="T61" i="48"/>
  <c r="K62" i="36"/>
  <c r="G49" i="36"/>
  <c r="L48" i="48"/>
  <c r="T63" i="49"/>
  <c r="K64" i="37"/>
  <c r="L35" i="49"/>
  <c r="G36" i="37"/>
  <c r="G67" i="35"/>
  <c r="L66" i="47"/>
  <c r="G24" i="34"/>
  <c r="L23" i="46"/>
  <c r="L57" i="47"/>
  <c r="G58" i="35"/>
  <c r="L63" i="70"/>
  <c r="G64" i="79"/>
  <c r="H64" i="79" s="1"/>
  <c r="L45" i="73"/>
  <c r="G46" i="82"/>
  <c r="H46" i="82" s="1"/>
  <c r="T36" i="65"/>
  <c r="K37" i="74"/>
  <c r="L37" i="74" s="1"/>
  <c r="L55" i="48"/>
  <c r="G56" i="36"/>
  <c r="K51" i="34"/>
  <c r="T50" i="46"/>
  <c r="G59" i="81"/>
  <c r="H59" i="81" s="1"/>
  <c r="L58" i="72"/>
  <c r="L68" i="47"/>
  <c r="G69" i="35"/>
  <c r="G52" i="77"/>
  <c r="H52" i="77" s="1"/>
  <c r="L51" i="68"/>
  <c r="L53" i="47"/>
  <c r="G54" i="35"/>
  <c r="T38" i="49"/>
  <c r="K39" i="37"/>
  <c r="K31" i="36"/>
  <c r="T30" i="48"/>
  <c r="G52" i="34"/>
  <c r="L51" i="46"/>
  <c r="G60" i="36"/>
  <c r="L59" i="48"/>
  <c r="L22" i="47"/>
  <c r="G23" i="35"/>
  <c r="L27" i="47"/>
  <c r="G28" i="35"/>
  <c r="K41" i="37"/>
  <c r="T40" i="49"/>
  <c r="G18" i="34"/>
  <c r="L17" i="46"/>
  <c r="G47" i="36"/>
  <c r="L46" i="48"/>
  <c r="K32" i="34"/>
  <c r="T31" i="46"/>
  <c r="L28" i="47"/>
  <c r="G29" i="35"/>
  <c r="T50" i="49"/>
  <c r="K51" i="37"/>
  <c r="G32" i="74"/>
  <c r="H32" i="74" s="1"/>
  <c r="L31" i="65"/>
  <c r="G70" i="34"/>
  <c r="L69" i="46"/>
  <c r="L23" i="47"/>
  <c r="G24" i="35"/>
  <c r="T30" i="46"/>
  <c r="K31" i="34"/>
  <c r="G60" i="37"/>
  <c r="L59" i="49"/>
  <c r="G60" i="76"/>
  <c r="H60" i="76" s="1"/>
  <c r="L59" i="67"/>
  <c r="K58" i="81"/>
  <c r="L58" i="81" s="1"/>
  <c r="T57" i="72"/>
  <c r="T33" i="65"/>
  <c r="K34" i="74"/>
  <c r="L34" i="74" s="1"/>
  <c r="G67" i="34"/>
  <c r="L66" i="46"/>
  <c r="K33" i="34"/>
  <c r="T32" i="46"/>
  <c r="G21" i="35"/>
  <c r="L20" i="47"/>
  <c r="G32" i="37"/>
  <c r="L31" i="49"/>
  <c r="T64" i="70"/>
  <c r="K65" i="79"/>
  <c r="L65" i="79" s="1"/>
  <c r="T36" i="71"/>
  <c r="K37" i="80"/>
  <c r="L37" i="80" s="1"/>
  <c r="L54" i="47"/>
  <c r="G55" i="35"/>
  <c r="T58" i="46"/>
  <c r="K59" i="34"/>
  <c r="L15" i="46"/>
  <c r="G16" i="34"/>
  <c r="H16" i="34" s="1"/>
  <c r="J73" i="46"/>
  <c r="L50" i="71"/>
  <c r="G51" i="80"/>
  <c r="H51" i="80" s="1"/>
  <c r="T63" i="67"/>
  <c r="K64" i="76"/>
  <c r="L64" i="76" s="1"/>
  <c r="T72" i="49"/>
  <c r="K73" i="37"/>
  <c r="T52" i="49"/>
  <c r="K53" i="37"/>
  <c r="T29" i="73"/>
  <c r="K30" i="82"/>
  <c r="L30" i="82" s="1"/>
  <c r="K24" i="78"/>
  <c r="L24" i="78" s="1"/>
  <c r="T23" i="69"/>
  <c r="L71" i="47"/>
  <c r="G72" i="35"/>
  <c r="L56" i="70"/>
  <c r="G57" i="79"/>
  <c r="H57" i="79" s="1"/>
  <c r="K20" i="37"/>
  <c r="T19" i="49"/>
  <c r="L67" i="48"/>
  <c r="G68" i="36"/>
  <c r="G38" i="37"/>
  <c r="L37" i="49"/>
  <c r="K59" i="82"/>
  <c r="L59" i="82" s="1"/>
  <c r="T58" i="73"/>
  <c r="G53" i="81"/>
  <c r="H53" i="81" s="1"/>
  <c r="L52" i="72"/>
  <c r="G46" i="37"/>
  <c r="L45" i="49"/>
  <c r="G42" i="35"/>
  <c r="L41" i="47"/>
  <c r="K17" i="36"/>
  <c r="T16" i="48"/>
  <c r="T34" i="49"/>
  <c r="K35" i="37"/>
  <c r="L51" i="65"/>
  <c r="G52" i="74"/>
  <c r="H52" i="74" s="1"/>
  <c r="L52" i="66"/>
  <c r="G53" i="75"/>
  <c r="H53" i="75" s="1"/>
  <c r="G17" i="34"/>
  <c r="L16" i="46"/>
  <c r="T69" i="46"/>
  <c r="K70" i="34"/>
  <c r="L69" i="48"/>
  <c r="G70" i="36"/>
  <c r="G44" i="37"/>
  <c r="L43" i="49"/>
  <c r="L57" i="67"/>
  <c r="G58" i="76"/>
  <c r="H58" i="76" s="1"/>
  <c r="K68" i="79"/>
  <c r="L68" i="79" s="1"/>
  <c r="T67" i="70"/>
  <c r="T30" i="72"/>
  <c r="K31" i="81"/>
  <c r="L31" i="81" s="1"/>
  <c r="G39" i="34"/>
  <c r="L38" i="46"/>
  <c r="L26" i="47"/>
  <c r="G27" i="35"/>
  <c r="L36" i="48"/>
  <c r="G37" i="36"/>
  <c r="G49" i="80"/>
  <c r="H49" i="80" s="1"/>
  <c r="L48" i="71"/>
  <c r="L57" i="65"/>
  <c r="G58" i="74"/>
  <c r="H58" i="74" s="1"/>
  <c r="T58" i="69"/>
  <c r="K59" i="78"/>
  <c r="L59" i="78" s="1"/>
  <c r="G54" i="75"/>
  <c r="H54" i="75" s="1"/>
  <c r="L53" i="66"/>
  <c r="L69" i="65"/>
  <c r="G70" i="74"/>
  <c r="H70" i="74" s="1"/>
  <c r="T67" i="71"/>
  <c r="K68" i="80"/>
  <c r="L68" i="80" s="1"/>
  <c r="K40" i="78"/>
  <c r="L40" i="78" s="1"/>
  <c r="T39" i="69"/>
  <c r="T63" i="72"/>
  <c r="K64" i="81"/>
  <c r="L64" i="81" s="1"/>
  <c r="L36" i="65"/>
  <c r="G37" i="74"/>
  <c r="H37" i="74" s="1"/>
  <c r="T27" i="72"/>
  <c r="K28" i="81"/>
  <c r="L28" i="81" s="1"/>
  <c r="G41" i="82"/>
  <c r="H41" i="82" s="1"/>
  <c r="L40" i="73"/>
  <c r="G30" i="80"/>
  <c r="H30" i="80" s="1"/>
  <c r="L29" i="71"/>
  <c r="G58" i="77"/>
  <c r="H58" i="77" s="1"/>
  <c r="L57" i="68"/>
  <c r="K44" i="75"/>
  <c r="L44" i="75" s="1"/>
  <c r="T43" i="66"/>
  <c r="K20" i="79"/>
  <c r="L20" i="79" s="1"/>
  <c r="T19" i="70"/>
  <c r="K33" i="82"/>
  <c r="L33" i="82" s="1"/>
  <c r="T32" i="73"/>
  <c r="L39" i="73"/>
  <c r="G40" i="82"/>
  <c r="H40" i="82" s="1"/>
  <c r="L70" i="67"/>
  <c r="G71" i="76"/>
  <c r="H71" i="76" s="1"/>
  <c r="G39" i="81"/>
  <c r="H39" i="81" s="1"/>
  <c r="L38" i="72"/>
  <c r="L31" i="72"/>
  <c r="G32" i="81"/>
  <c r="H32" i="81" s="1"/>
  <c r="K30" i="79"/>
  <c r="L30" i="79" s="1"/>
  <c r="T29" i="70"/>
  <c r="K64" i="80"/>
  <c r="L64" i="80" s="1"/>
  <c r="T63" i="71"/>
  <c r="L43" i="71"/>
  <c r="G44" i="80"/>
  <c r="H44" i="80" s="1"/>
  <c r="G25" i="74"/>
  <c r="H25" i="74" s="1"/>
  <c r="L24" i="65"/>
  <c r="K71" i="79"/>
  <c r="L71" i="79" s="1"/>
  <c r="T70" i="70"/>
  <c r="T26" i="70"/>
  <c r="K27" i="79"/>
  <c r="L27" i="79" s="1"/>
  <c r="K23" i="78"/>
  <c r="L23" i="78" s="1"/>
  <c r="T22" i="69"/>
  <c r="K27" i="75"/>
  <c r="L27" i="75" s="1"/>
  <c r="T26" i="66"/>
  <c r="K38" i="75"/>
  <c r="L38" i="75" s="1"/>
  <c r="T37" i="66"/>
  <c r="K70" i="76"/>
  <c r="L70" i="76" s="1"/>
  <c r="T69" i="67"/>
  <c r="K67" i="79"/>
  <c r="L67" i="79" s="1"/>
  <c r="T66" i="70"/>
  <c r="T34" i="73"/>
  <c r="K35" i="82"/>
  <c r="L35" i="82" s="1"/>
  <c r="G22" i="80"/>
  <c r="H22" i="80" s="1"/>
  <c r="L21" i="71"/>
  <c r="L68" i="67"/>
  <c r="G69" i="76"/>
  <c r="H69" i="76" s="1"/>
  <c r="T60" i="68"/>
  <c r="K61" i="77"/>
  <c r="L61" i="77" s="1"/>
  <c r="T24" i="68"/>
  <c r="K25" i="77"/>
  <c r="L25" i="77" s="1"/>
  <c r="K57" i="82"/>
  <c r="L57" i="82" s="1"/>
  <c r="T56" i="73"/>
  <c r="L60" i="67"/>
  <c r="G61" i="76"/>
  <c r="H61" i="76" s="1"/>
  <c r="T34" i="69"/>
  <c r="K35" i="78"/>
  <c r="L35" i="78" s="1"/>
  <c r="L21" i="70"/>
  <c r="G22" i="79"/>
  <c r="H22" i="79" s="1"/>
  <c r="L49" i="73"/>
  <c r="G50" i="82"/>
  <c r="H50" i="82" s="1"/>
  <c r="T39" i="66"/>
  <c r="K40" i="75"/>
  <c r="L40" i="75" s="1"/>
  <c r="G31" i="78"/>
  <c r="H31" i="78" s="1"/>
  <c r="L30" i="69"/>
  <c r="T32" i="68"/>
  <c r="K33" i="77"/>
  <c r="L33" i="77" s="1"/>
  <c r="T21" i="68"/>
  <c r="K22" i="77"/>
  <c r="L22" i="77" s="1"/>
  <c r="L63" i="67"/>
  <c r="G64" i="76"/>
  <c r="H64" i="76" s="1"/>
  <c r="L62" i="68"/>
  <c r="G63" i="77"/>
  <c r="H63" i="77" s="1"/>
  <c r="G51" i="81"/>
  <c r="H51" i="81" s="1"/>
  <c r="L50" i="72"/>
  <c r="L47" i="68"/>
  <c r="G48" i="77"/>
  <c r="H48" i="77" s="1"/>
  <c r="T69" i="70"/>
  <c r="K70" i="79"/>
  <c r="L70" i="79" s="1"/>
  <c r="L71" i="72"/>
  <c r="G72" i="81"/>
  <c r="H72" i="81" s="1"/>
  <c r="T19" i="72"/>
  <c r="K20" i="81"/>
  <c r="L20" i="81" s="1"/>
  <c r="K28" i="80"/>
  <c r="L28" i="80" s="1"/>
  <c r="T27" i="71"/>
  <c r="L43" i="73"/>
  <c r="G44" i="82"/>
  <c r="H44" i="82" s="1"/>
  <c r="G47" i="78"/>
  <c r="H47" i="78" s="1"/>
  <c r="L46" i="69"/>
  <c r="G72" i="75"/>
  <c r="H72" i="75" s="1"/>
  <c r="L71" i="66"/>
  <c r="T67" i="66"/>
  <c r="K68" i="75"/>
  <c r="L68" i="75" s="1"/>
  <c r="K24" i="82"/>
  <c r="L24" i="82" s="1"/>
  <c r="T23" i="73"/>
  <c r="G61" i="78"/>
  <c r="H61" i="78" s="1"/>
  <c r="L60" i="69"/>
  <c r="K47" i="82"/>
  <c r="L47" i="82" s="1"/>
  <c r="T46" i="73"/>
  <c r="K51" i="77"/>
  <c r="L51" i="77" s="1"/>
  <c r="T50" i="68"/>
  <c r="G37" i="76"/>
  <c r="H37" i="76" s="1"/>
  <c r="L36" i="67"/>
  <c r="K65" i="78"/>
  <c r="L65" i="78" s="1"/>
  <c r="T64" i="69"/>
  <c r="G21" i="79"/>
  <c r="H21" i="79" s="1"/>
  <c r="L20" i="70"/>
  <c r="T63" i="73"/>
  <c r="K64" i="82"/>
  <c r="L64" i="82" s="1"/>
  <c r="L64" i="48"/>
  <c r="G65" i="36"/>
  <c r="L69" i="68"/>
  <c r="G70" i="77"/>
  <c r="H70" i="77" s="1"/>
  <c r="G60" i="82"/>
  <c r="H60" i="82" s="1"/>
  <c r="L59" i="73"/>
  <c r="G23" i="75"/>
  <c r="H23" i="75" s="1"/>
  <c r="L22" i="66"/>
  <c r="K26" i="36"/>
  <c r="T25" i="48"/>
  <c r="K43" i="77"/>
  <c r="L43" i="77" s="1"/>
  <c r="T42" i="68"/>
  <c r="K31" i="76"/>
  <c r="L31" i="76" s="1"/>
  <c r="T30" i="67"/>
  <c r="L27" i="46"/>
  <c r="G28" i="34"/>
  <c r="L39" i="66"/>
  <c r="G40" i="75"/>
  <c r="H40" i="75" s="1"/>
  <c r="L15" i="69"/>
  <c r="G16" i="78"/>
  <c r="T66" i="73"/>
  <c r="K67" i="82"/>
  <c r="L67" i="82" s="1"/>
  <c r="G60" i="34"/>
  <c r="L59" i="46"/>
  <c r="K58" i="34"/>
  <c r="T57" i="46"/>
  <c r="K57" i="34"/>
  <c r="T56" i="46"/>
  <c r="G48" i="36"/>
  <c r="L47" i="48"/>
  <c r="T44" i="48"/>
  <c r="K45" i="36"/>
  <c r="K20" i="34"/>
  <c r="T19" i="46"/>
  <c r="G66" i="35"/>
  <c r="L65" i="47"/>
  <c r="G44" i="35"/>
  <c r="L43" i="47"/>
  <c r="K21" i="36"/>
  <c r="T20" i="48"/>
  <c r="G40" i="37"/>
  <c r="L39" i="49"/>
  <c r="T63" i="65"/>
  <c r="K64" i="74"/>
  <c r="L64" i="74" s="1"/>
  <c r="G45" i="36"/>
  <c r="L44" i="48"/>
  <c r="G43" i="35"/>
  <c r="L42" i="47"/>
  <c r="K56" i="36"/>
  <c r="T55" i="48"/>
  <c r="L26" i="70"/>
  <c r="G27" i="79"/>
  <c r="H27" i="79" s="1"/>
  <c r="L43" i="68"/>
  <c r="G44" i="77"/>
  <c r="H44" i="77" s="1"/>
  <c r="G59" i="76"/>
  <c r="H59" i="76" s="1"/>
  <c r="L58" i="67"/>
  <c r="L72" i="48"/>
  <c r="G73" i="36"/>
  <c r="L63" i="48"/>
  <c r="G64" i="36"/>
  <c r="L51" i="48"/>
  <c r="G52" i="36"/>
  <c r="G55" i="82"/>
  <c r="H55" i="82" s="1"/>
  <c r="L54" i="73"/>
  <c r="G66" i="81"/>
  <c r="H66" i="81" s="1"/>
  <c r="L65" i="72"/>
  <c r="G70" i="35"/>
  <c r="L69" i="47"/>
  <c r="T45" i="46"/>
  <c r="K46" i="34"/>
  <c r="G51" i="77"/>
  <c r="H51" i="77" s="1"/>
  <c r="L50" i="68"/>
  <c r="T61" i="67"/>
  <c r="K62" i="76"/>
  <c r="L62" i="76" s="1"/>
  <c r="G34" i="37"/>
  <c r="L33" i="49"/>
  <c r="T35" i="48"/>
  <c r="K36" i="36"/>
  <c r="K66" i="34"/>
  <c r="T65" i="46"/>
  <c r="T38" i="72"/>
  <c r="K39" i="81"/>
  <c r="L39" i="81" s="1"/>
  <c r="G39" i="76"/>
  <c r="H39" i="76" s="1"/>
  <c r="L38" i="67"/>
  <c r="T18" i="48"/>
  <c r="K19" i="36"/>
  <c r="T34" i="46"/>
  <c r="K35" i="34"/>
  <c r="K19" i="37"/>
  <c r="T18" i="49"/>
  <c r="G46" i="34"/>
  <c r="L45" i="46"/>
  <c r="G51" i="37"/>
  <c r="L50" i="49"/>
  <c r="T32" i="67"/>
  <c r="K33" i="76"/>
  <c r="L33" i="76" s="1"/>
  <c r="K24" i="77"/>
  <c r="L24" i="77" s="1"/>
  <c r="T23" i="68"/>
  <c r="G30" i="37"/>
  <c r="L29" i="49"/>
  <c r="L46" i="46"/>
  <c r="G47" i="34"/>
  <c r="T39" i="46"/>
  <c r="K40" i="34"/>
  <c r="K39" i="36"/>
  <c r="T38" i="48"/>
  <c r="G73" i="74"/>
  <c r="H73" i="74" s="1"/>
  <c r="L72" i="65"/>
  <c r="G71" i="77"/>
  <c r="H71" i="77" s="1"/>
  <c r="L70" i="68"/>
  <c r="G20" i="36"/>
  <c r="L19" i="48"/>
  <c r="G41" i="34"/>
  <c r="L40" i="46"/>
  <c r="L59" i="65"/>
  <c r="G60" i="74"/>
  <c r="H60" i="74" s="1"/>
  <c r="G19" i="76"/>
  <c r="H19" i="76" s="1"/>
  <c r="L18" i="67"/>
  <c r="L61" i="48"/>
  <c r="G62" i="36"/>
  <c r="G50" i="80"/>
  <c r="H50" i="80" s="1"/>
  <c r="L49" i="71"/>
  <c r="K35" i="36"/>
  <c r="T34" i="48"/>
  <c r="K37" i="34"/>
  <c r="T36" i="46"/>
  <c r="L32" i="65"/>
  <c r="G33" i="74"/>
  <c r="H33" i="74" s="1"/>
  <c r="G42" i="78"/>
  <c r="H42" i="78" s="1"/>
  <c r="L41" i="69"/>
  <c r="L43" i="65"/>
  <c r="G44" i="74"/>
  <c r="H44" i="74" s="1"/>
  <c r="T30" i="65"/>
  <c r="K31" i="74"/>
  <c r="L31" i="74" s="1"/>
  <c r="L72" i="69"/>
  <c r="G73" i="78"/>
  <c r="H73" i="78" s="1"/>
  <c r="G31" i="77"/>
  <c r="H31" i="77" s="1"/>
  <c r="L30" i="68"/>
  <c r="T34" i="66"/>
  <c r="K35" i="75"/>
  <c r="L35" i="75" s="1"/>
  <c r="T47" i="67"/>
  <c r="K48" i="76"/>
  <c r="L48" i="76" s="1"/>
  <c r="T61" i="72"/>
  <c r="K62" i="81"/>
  <c r="L62" i="81" s="1"/>
  <c r="T48" i="65"/>
  <c r="K49" i="74"/>
  <c r="L49" i="74" s="1"/>
  <c r="L48" i="69"/>
  <c r="G49" i="78"/>
  <c r="H49" i="78" s="1"/>
  <c r="K65" i="76"/>
  <c r="L65" i="76" s="1"/>
  <c r="T64" i="67"/>
  <c r="K57" i="74"/>
  <c r="L57" i="74" s="1"/>
  <c r="T56" i="65"/>
  <c r="T71" i="69"/>
  <c r="K72" i="78"/>
  <c r="L72" i="78" s="1"/>
  <c r="K22" i="75"/>
  <c r="L22" i="75" s="1"/>
  <c r="T21" i="66"/>
  <c r="K36" i="77"/>
  <c r="L36" i="77" s="1"/>
  <c r="T35" i="68"/>
  <c r="G51" i="82"/>
  <c r="H51" i="82" s="1"/>
  <c r="L50" i="73"/>
  <c r="L66" i="73"/>
  <c r="G67" i="82"/>
  <c r="H67" i="82" s="1"/>
  <c r="G34" i="77"/>
  <c r="H34" i="77" s="1"/>
  <c r="L33" i="68"/>
  <c r="T38" i="65"/>
  <c r="K39" i="74"/>
  <c r="L39" i="74" s="1"/>
  <c r="T49" i="67"/>
  <c r="K50" i="76"/>
  <c r="L50" i="76" s="1"/>
  <c r="T28" i="68"/>
  <c r="K29" i="77"/>
  <c r="L29" i="77" s="1"/>
  <c r="T20" i="69"/>
  <c r="K21" i="78"/>
  <c r="L21" i="78" s="1"/>
  <c r="T57" i="68"/>
  <c r="K58" i="77"/>
  <c r="L58" i="77" s="1"/>
  <c r="L72" i="68"/>
  <c r="G73" i="77"/>
  <c r="H73" i="77" s="1"/>
  <c r="T69" i="72"/>
  <c r="K70" i="81"/>
  <c r="L70" i="81" s="1"/>
  <c r="T50" i="73"/>
  <c r="K51" i="82"/>
  <c r="L51" i="82" s="1"/>
  <c r="K18" i="80"/>
  <c r="L18" i="80" s="1"/>
  <c r="T17" i="71"/>
  <c r="K24" i="80"/>
  <c r="L24" i="80" s="1"/>
  <c r="T23" i="71"/>
  <c r="L51" i="71"/>
  <c r="G52" i="80"/>
  <c r="H52" i="80" s="1"/>
  <c r="T23" i="65"/>
  <c r="K24" i="74"/>
  <c r="L24" i="74" s="1"/>
  <c r="T57" i="66"/>
  <c r="K58" i="75"/>
  <c r="L58" i="75" s="1"/>
  <c r="L33" i="70"/>
  <c r="G34" i="79"/>
  <c r="H34" i="79" s="1"/>
  <c r="L55" i="70"/>
  <c r="G56" i="79"/>
  <c r="H56" i="79" s="1"/>
  <c r="T53" i="67"/>
  <c r="K54" i="76"/>
  <c r="L54" i="76" s="1"/>
  <c r="T47" i="68"/>
  <c r="K48" i="77"/>
  <c r="L48" i="77" s="1"/>
  <c r="L39" i="69"/>
  <c r="G40" i="78"/>
  <c r="H40" i="78" s="1"/>
  <c r="T57" i="73"/>
  <c r="K58" i="82"/>
  <c r="L58" i="82" s="1"/>
  <c r="G27" i="80"/>
  <c r="H27" i="80" s="1"/>
  <c r="L26" i="71"/>
  <c r="G24" i="82"/>
  <c r="H24" i="82" s="1"/>
  <c r="L23" i="73"/>
  <c r="G55" i="81"/>
  <c r="H55" i="81" s="1"/>
  <c r="L54" i="72"/>
  <c r="T19" i="67"/>
  <c r="K20" i="76"/>
  <c r="L20" i="76" s="1"/>
  <c r="T65" i="67"/>
  <c r="K66" i="76"/>
  <c r="L66" i="76" s="1"/>
  <c r="T33" i="71"/>
  <c r="K34" i="80"/>
  <c r="L34" i="80" s="1"/>
  <c r="K46" i="74"/>
  <c r="L46" i="74" s="1"/>
  <c r="T45" i="65"/>
  <c r="K42" i="78"/>
  <c r="L42" i="78" s="1"/>
  <c r="T41" i="69"/>
  <c r="K31" i="80"/>
  <c r="L31" i="80" s="1"/>
  <c r="T30" i="71"/>
  <c r="G46" i="76"/>
  <c r="H46" i="76" s="1"/>
  <c r="L45" i="67"/>
  <c r="T33" i="70"/>
  <c r="K34" i="79"/>
  <c r="L34" i="79" s="1"/>
  <c r="T16" i="69"/>
  <c r="K17" i="78"/>
  <c r="L17" i="78" s="1"/>
  <c r="K20" i="77"/>
  <c r="L20" i="77" s="1"/>
  <c r="T19" i="68"/>
  <c r="K30" i="77"/>
  <c r="L30" i="77" s="1"/>
  <c r="T29" i="68"/>
  <c r="L66" i="67"/>
  <c r="G67" i="76"/>
  <c r="H67" i="76" s="1"/>
  <c r="L28" i="68"/>
  <c r="G29" i="77"/>
  <c r="H29" i="77" s="1"/>
  <c r="L46" i="72"/>
  <c r="G47" i="81"/>
  <c r="H47" i="81" s="1"/>
  <c r="T15" i="68"/>
  <c r="K16" i="77"/>
  <c r="R73" i="68"/>
  <c r="T39" i="70"/>
  <c r="K40" i="79"/>
  <c r="L40" i="79" s="1"/>
  <c r="K68" i="82"/>
  <c r="L68" i="82" s="1"/>
  <c r="T67" i="73"/>
  <c r="L58" i="73"/>
  <c r="G59" i="82"/>
  <c r="H59" i="82" s="1"/>
  <c r="G26" i="77"/>
  <c r="H26" i="77" s="1"/>
  <c r="L25" i="68"/>
  <c r="T49" i="73"/>
  <c r="K50" i="82"/>
  <c r="L50" i="82" s="1"/>
  <c r="G59" i="78"/>
  <c r="H59" i="78" s="1"/>
  <c r="L58" i="69"/>
  <c r="L32" i="66"/>
  <c r="G33" i="75"/>
  <c r="H33" i="75" s="1"/>
  <c r="G20" i="75"/>
  <c r="H20" i="75" s="1"/>
  <c r="L19" i="66"/>
  <c r="K17" i="77"/>
  <c r="L17" i="77" s="1"/>
  <c r="T16" i="68"/>
  <c r="T21" i="69"/>
  <c r="K22" i="78"/>
  <c r="L22" i="78" s="1"/>
  <c r="L17" i="49"/>
  <c r="G18" i="37"/>
  <c r="L67" i="47"/>
  <c r="G68" i="35"/>
  <c r="T71" i="72"/>
  <c r="K72" i="81"/>
  <c r="L72" i="81" s="1"/>
  <c r="T20" i="49"/>
  <c r="K21" i="37"/>
  <c r="T41" i="48"/>
  <c r="K42" i="36"/>
  <c r="T59" i="68"/>
  <c r="K60" i="77"/>
  <c r="L60" i="77" s="1"/>
  <c r="K25" i="34"/>
  <c r="T24" i="46"/>
  <c r="T60" i="46"/>
  <c r="K61" i="34"/>
  <c r="K43" i="37"/>
  <c r="T42" i="49"/>
  <c r="T45" i="66"/>
  <c r="K46" i="75"/>
  <c r="L46" i="75" s="1"/>
  <c r="T37" i="68"/>
  <c r="K38" i="77"/>
  <c r="L38" i="77" s="1"/>
  <c r="G61" i="37"/>
  <c r="L60" i="49"/>
  <c r="L72" i="66"/>
  <c r="G73" i="75"/>
  <c r="H73" i="75" s="1"/>
  <c r="L63" i="68"/>
  <c r="G64" i="77"/>
  <c r="H64" i="77" s="1"/>
  <c r="T49" i="69"/>
  <c r="K50" i="78"/>
  <c r="L50" i="78" s="1"/>
  <c r="T60" i="73"/>
  <c r="K61" i="82"/>
  <c r="L61" i="82" s="1"/>
  <c r="T59" i="66"/>
  <c r="K60" i="75"/>
  <c r="L60" i="75" s="1"/>
  <c r="T62" i="73"/>
  <c r="K63" i="82"/>
  <c r="L63" i="82" s="1"/>
  <c r="L49" i="48"/>
  <c r="G50" i="36"/>
  <c r="L49" i="47"/>
  <c r="G50" i="35"/>
  <c r="L15" i="49"/>
  <c r="G16" i="37"/>
  <c r="K26" i="34"/>
  <c r="T25" i="46"/>
  <c r="T25" i="69"/>
  <c r="K26" i="78"/>
  <c r="L26" i="78" s="1"/>
  <c r="L42" i="49"/>
  <c r="G43" i="37"/>
  <c r="G35" i="36"/>
  <c r="L34" i="48"/>
  <c r="G37" i="35"/>
  <c r="L36" i="47"/>
  <c r="L38" i="47"/>
  <c r="G39" i="35"/>
  <c r="G47" i="37"/>
  <c r="L46" i="49"/>
  <c r="L61" i="65"/>
  <c r="G62" i="74"/>
  <c r="H62" i="74" s="1"/>
  <c r="K54" i="82"/>
  <c r="L54" i="82" s="1"/>
  <c r="T53" i="73"/>
  <c r="K40" i="37"/>
  <c r="T39" i="49"/>
  <c r="L57" i="48"/>
  <c r="G58" i="36"/>
  <c r="K44" i="34"/>
  <c r="T43" i="46"/>
  <c r="K48" i="74"/>
  <c r="L48" i="74" s="1"/>
  <c r="T47" i="65"/>
  <c r="T58" i="70"/>
  <c r="K59" i="79"/>
  <c r="L59" i="79" s="1"/>
  <c r="L60" i="48"/>
  <c r="G61" i="36"/>
  <c r="T17" i="65"/>
  <c r="K18" i="74"/>
  <c r="L18" i="74" s="1"/>
  <c r="T31" i="49"/>
  <c r="K32" i="37"/>
  <c r="T52" i="48"/>
  <c r="K53" i="36"/>
  <c r="L24" i="47"/>
  <c r="G25" i="35"/>
  <c r="L58" i="65"/>
  <c r="G59" i="74"/>
  <c r="H59" i="74" s="1"/>
  <c r="L26" i="72"/>
  <c r="G27" i="81"/>
  <c r="H27" i="81" s="1"/>
  <c r="G45" i="77"/>
  <c r="H45" i="77" s="1"/>
  <c r="L44" i="68"/>
  <c r="T22" i="46"/>
  <c r="K23" i="34"/>
  <c r="K55" i="36"/>
  <c r="T54" i="48"/>
  <c r="L44" i="49"/>
  <c r="G45" i="37"/>
  <c r="G31" i="80"/>
  <c r="H31" i="80" s="1"/>
  <c r="L30" i="71"/>
  <c r="K30" i="76"/>
  <c r="L30" i="76" s="1"/>
  <c r="T29" i="67"/>
  <c r="T26" i="65"/>
  <c r="K27" i="74"/>
  <c r="L27" i="74" s="1"/>
  <c r="G63" i="36"/>
  <c r="L62" i="48"/>
  <c r="T51" i="48"/>
  <c r="K52" i="36"/>
  <c r="K55" i="82"/>
  <c r="L55" i="82" s="1"/>
  <c r="T54" i="73"/>
  <c r="T44" i="69"/>
  <c r="K45" i="78"/>
  <c r="L45" i="78" s="1"/>
  <c r="L25" i="48"/>
  <c r="G26" i="36"/>
  <c r="L37" i="47"/>
  <c r="G38" i="35"/>
  <c r="L25" i="47"/>
  <c r="G26" i="35"/>
  <c r="L62" i="47"/>
  <c r="G63" i="35"/>
  <c r="G73" i="37"/>
  <c r="L72" i="49"/>
  <c r="G41" i="79"/>
  <c r="H41" i="79" s="1"/>
  <c r="L40" i="70"/>
  <c r="K33" i="81"/>
  <c r="L33" i="81" s="1"/>
  <c r="T32" i="72"/>
  <c r="T29" i="48"/>
  <c r="K30" i="36"/>
  <c r="K47" i="34"/>
  <c r="T46" i="46"/>
  <c r="L40" i="65"/>
  <c r="G41" i="74"/>
  <c r="H41" i="74" s="1"/>
  <c r="L55" i="67"/>
  <c r="G56" i="76"/>
  <c r="H56" i="76" s="1"/>
  <c r="K72" i="76"/>
  <c r="L72" i="76" s="1"/>
  <c r="T71" i="67"/>
  <c r="T49" i="49"/>
  <c r="K50" i="37"/>
  <c r="T48" i="48"/>
  <c r="K49" i="36"/>
  <c r="L35" i="65"/>
  <c r="G36" i="74"/>
  <c r="H36" i="74" s="1"/>
  <c r="K34" i="77"/>
  <c r="L34" i="77" s="1"/>
  <c r="T33" i="68"/>
  <c r="T54" i="46"/>
  <c r="K55" i="34"/>
  <c r="T51" i="73"/>
  <c r="K52" i="82"/>
  <c r="L52" i="82" s="1"/>
  <c r="K49" i="37"/>
  <c r="T48" i="49"/>
  <c r="L53" i="46"/>
  <c r="G54" i="34"/>
  <c r="T72" i="65"/>
  <c r="K73" i="74"/>
  <c r="L73" i="74" s="1"/>
  <c r="L57" i="66"/>
  <c r="G58" i="75"/>
  <c r="H58" i="75" s="1"/>
  <c r="T19" i="65"/>
  <c r="K20" i="74"/>
  <c r="L20" i="74" s="1"/>
  <c r="T30" i="68"/>
  <c r="K31" i="77"/>
  <c r="L31" i="77" s="1"/>
  <c r="K51" i="80"/>
  <c r="L51" i="80" s="1"/>
  <c r="T50" i="71"/>
  <c r="K67" i="80"/>
  <c r="L67" i="80" s="1"/>
  <c r="T66" i="71"/>
  <c r="K58" i="79"/>
  <c r="L58" i="79" s="1"/>
  <c r="T57" i="70"/>
  <c r="L53" i="71"/>
  <c r="G54" i="80"/>
  <c r="H54" i="80" s="1"/>
  <c r="T19" i="69"/>
  <c r="K20" i="78"/>
  <c r="L20" i="78" s="1"/>
  <c r="T27" i="65"/>
  <c r="K28" i="74"/>
  <c r="L28" i="74" s="1"/>
  <c r="T62" i="65"/>
  <c r="K63" i="74"/>
  <c r="L63" i="74" s="1"/>
  <c r="G33" i="78"/>
  <c r="H33" i="78" s="1"/>
  <c r="L32" i="69"/>
  <c r="K63" i="78"/>
  <c r="L63" i="78" s="1"/>
  <c r="T62" i="69"/>
  <c r="K48" i="75"/>
  <c r="L48" i="75" s="1"/>
  <c r="T47" i="66"/>
  <c r="L46" i="67"/>
  <c r="G47" i="76"/>
  <c r="H47" i="76" s="1"/>
  <c r="K38" i="81"/>
  <c r="L38" i="81" s="1"/>
  <c r="T37" i="72"/>
  <c r="T71" i="65"/>
  <c r="K72" i="74"/>
  <c r="L72" i="74" s="1"/>
  <c r="K23" i="79"/>
  <c r="L23" i="79" s="1"/>
  <c r="T22" i="70"/>
  <c r="L40" i="67"/>
  <c r="G41" i="76"/>
  <c r="H41" i="76" s="1"/>
  <c r="T35" i="65"/>
  <c r="K36" i="74"/>
  <c r="L36" i="74" s="1"/>
  <c r="L38" i="66"/>
  <c r="G39" i="75"/>
  <c r="H39" i="75" s="1"/>
  <c r="K57" i="77"/>
  <c r="L57" i="77" s="1"/>
  <c r="T56" i="68"/>
  <c r="T27" i="66"/>
  <c r="K28" i="75"/>
  <c r="L28" i="75" s="1"/>
  <c r="G56" i="74"/>
  <c r="H56" i="74" s="1"/>
  <c r="L55" i="65"/>
  <c r="L41" i="70"/>
  <c r="G42" i="79"/>
  <c r="H42" i="79" s="1"/>
  <c r="G43" i="82"/>
  <c r="H43" i="82" s="1"/>
  <c r="L42" i="73"/>
  <c r="G58" i="80"/>
  <c r="H58" i="80" s="1"/>
  <c r="L57" i="71"/>
  <c r="G29" i="81"/>
  <c r="H29" i="81" s="1"/>
  <c r="L28" i="72"/>
  <c r="L42" i="67"/>
  <c r="G43" i="76"/>
  <c r="H43" i="76" s="1"/>
  <c r="K38" i="79"/>
  <c r="L38" i="79" s="1"/>
  <c r="T37" i="70"/>
  <c r="L38" i="69"/>
  <c r="G39" i="78"/>
  <c r="H39" i="78" s="1"/>
  <c r="G18" i="76"/>
  <c r="H18" i="76" s="1"/>
  <c r="L17" i="67"/>
  <c r="L51" i="70"/>
  <c r="G52" i="79"/>
  <c r="H52" i="79" s="1"/>
  <c r="L26" i="73"/>
  <c r="G27" i="82"/>
  <c r="H27" i="82" s="1"/>
  <c r="L32" i="73"/>
  <c r="G33" i="82"/>
  <c r="H33" i="82" s="1"/>
  <c r="K66" i="81"/>
  <c r="L66" i="81" s="1"/>
  <c r="T65" i="72"/>
  <c r="T36" i="72"/>
  <c r="K37" i="81"/>
  <c r="L37" i="81" s="1"/>
  <c r="T43" i="73"/>
  <c r="K44" i="82"/>
  <c r="L44" i="82" s="1"/>
  <c r="T18" i="72"/>
  <c r="K19" i="81"/>
  <c r="L19" i="81" s="1"/>
  <c r="G62" i="77"/>
  <c r="H62" i="77" s="1"/>
  <c r="L61" i="68"/>
  <c r="L48" i="66"/>
  <c r="G49" i="75"/>
  <c r="H49" i="75" s="1"/>
  <c r="K55" i="77"/>
  <c r="L55" i="77" s="1"/>
  <c r="T54" i="68"/>
  <c r="L34" i="69"/>
  <c r="G35" i="78"/>
  <c r="H35" i="78" s="1"/>
  <c r="T68" i="71"/>
  <c r="K69" i="80"/>
  <c r="L69" i="80" s="1"/>
  <c r="T24" i="69"/>
  <c r="K25" i="78"/>
  <c r="L25" i="78" s="1"/>
  <c r="L69" i="67"/>
  <c r="G70" i="76"/>
  <c r="H70" i="76" s="1"/>
  <c r="G40" i="81"/>
  <c r="H40" i="81" s="1"/>
  <c r="L39" i="72"/>
  <c r="T72" i="73"/>
  <c r="K73" i="82"/>
  <c r="L73" i="82" s="1"/>
  <c r="L66" i="65"/>
  <c r="G67" i="74"/>
  <c r="H67" i="74" s="1"/>
  <c r="L59" i="69"/>
  <c r="G60" i="78"/>
  <c r="H60" i="78" s="1"/>
  <c r="T37" i="67"/>
  <c r="K38" i="76"/>
  <c r="L38" i="76" s="1"/>
  <c r="T35" i="71"/>
  <c r="K36" i="80"/>
  <c r="L36" i="80" s="1"/>
  <c r="G64" i="75"/>
  <c r="H64" i="75" s="1"/>
  <c r="L63" i="66"/>
  <c r="G55" i="78"/>
  <c r="H55" i="78" s="1"/>
  <c r="L54" i="69"/>
  <c r="L24" i="71"/>
  <c r="G25" i="80"/>
  <c r="H25" i="80" s="1"/>
  <c r="G54" i="82"/>
  <c r="H54" i="82" s="1"/>
  <c r="L53" i="73"/>
  <c r="L68" i="66"/>
  <c r="G69" i="75"/>
  <c r="H69" i="75" s="1"/>
  <c r="L61" i="71"/>
  <c r="G62" i="80"/>
  <c r="H62" i="80" s="1"/>
  <c r="T49" i="70"/>
  <c r="K50" i="79"/>
  <c r="L50" i="79" s="1"/>
  <c r="T30" i="69"/>
  <c r="K31" i="78"/>
  <c r="L31" i="78" s="1"/>
  <c r="L51" i="67"/>
  <c r="G52" i="76"/>
  <c r="H52" i="76" s="1"/>
  <c r="L28" i="69"/>
  <c r="G29" i="78"/>
  <c r="H29" i="78" s="1"/>
  <c r="L23" i="72"/>
  <c r="G24" i="81"/>
  <c r="H24" i="81" s="1"/>
  <c r="K16" i="78"/>
  <c r="T15" i="69"/>
  <c r="R73" i="69"/>
  <c r="T69" i="71"/>
  <c r="K70" i="80"/>
  <c r="L70" i="80" s="1"/>
  <c r="G21" i="82"/>
  <c r="H21" i="82" s="1"/>
  <c r="L20" i="73"/>
  <c r="K25" i="36"/>
  <c r="T24" i="48"/>
  <c r="T28" i="67"/>
  <c r="K29" i="76"/>
  <c r="L29" i="76" s="1"/>
  <c r="T28" i="65"/>
  <c r="K29" i="74"/>
  <c r="L29" i="74" s="1"/>
  <c r="G31" i="34"/>
  <c r="L30" i="46"/>
  <c r="L40" i="69"/>
  <c r="G41" i="78"/>
  <c r="H41" i="78" s="1"/>
  <c r="L32" i="47"/>
  <c r="G33" i="35"/>
  <c r="T58" i="49"/>
  <c r="K59" i="37"/>
  <c r="L17" i="65"/>
  <c r="G18" i="74"/>
  <c r="H18" i="74" s="1"/>
  <c r="K68" i="37"/>
  <c r="T67" i="49"/>
  <c r="T15" i="71"/>
  <c r="K16" i="80"/>
  <c r="R73" i="71"/>
  <c r="G67" i="77"/>
  <c r="H67" i="77" s="1"/>
  <c r="L66" i="68"/>
  <c r="K64" i="36"/>
  <c r="T63" i="48"/>
  <c r="G71" i="78"/>
  <c r="H71" i="78" s="1"/>
  <c r="L70" i="69"/>
  <c r="L68" i="65"/>
  <c r="G69" i="74"/>
  <c r="H69" i="74" s="1"/>
  <c r="L52" i="48"/>
  <c r="G53" i="36"/>
  <c r="L62" i="67"/>
  <c r="G63" i="76"/>
  <c r="H63" i="76" s="1"/>
  <c r="G57" i="37"/>
  <c r="L56" i="49"/>
  <c r="K34" i="34"/>
  <c r="T33" i="46"/>
  <c r="L61" i="66"/>
  <c r="G62" i="75"/>
  <c r="H62" i="75" s="1"/>
  <c r="T65" i="69"/>
  <c r="K66" i="78"/>
  <c r="L66" i="78" s="1"/>
  <c r="L27" i="66"/>
  <c r="G28" i="75"/>
  <c r="H28" i="75" s="1"/>
  <c r="G30" i="34"/>
  <c r="L29" i="46"/>
  <c r="L32" i="48"/>
  <c r="G33" i="36"/>
  <c r="L56" i="48"/>
  <c r="G57" i="36"/>
  <c r="T25" i="65"/>
  <c r="K26" i="74"/>
  <c r="L26" i="74" s="1"/>
  <c r="G23" i="80"/>
  <c r="H23" i="80" s="1"/>
  <c r="L22" i="71"/>
  <c r="L65" i="48"/>
  <c r="G66" i="36"/>
  <c r="L30" i="70"/>
  <c r="G31" i="79"/>
  <c r="H31" i="79" s="1"/>
  <c r="L17" i="47"/>
  <c r="G18" i="35"/>
  <c r="T64" i="49"/>
  <c r="K65" i="37"/>
  <c r="T50" i="48"/>
  <c r="K51" i="36"/>
  <c r="L56" i="65"/>
  <c r="G57" i="74"/>
  <c r="H57" i="74" s="1"/>
  <c r="K43" i="82"/>
  <c r="L43" i="82" s="1"/>
  <c r="T42" i="73"/>
  <c r="G31" i="76"/>
  <c r="H31" i="76" s="1"/>
  <c r="L30" i="67"/>
  <c r="T59" i="48"/>
  <c r="K60" i="36"/>
  <c r="T16" i="49"/>
  <c r="K17" i="37"/>
  <c r="L58" i="70"/>
  <c r="G59" i="79"/>
  <c r="H59" i="79" s="1"/>
  <c r="T61" i="66"/>
  <c r="K62" i="75"/>
  <c r="L62" i="75" s="1"/>
  <c r="L55" i="69"/>
  <c r="G56" i="78"/>
  <c r="H56" i="78" s="1"/>
  <c r="T68" i="46"/>
  <c r="K69" i="34"/>
  <c r="T32" i="48"/>
  <c r="K33" i="36"/>
  <c r="G54" i="37"/>
  <c r="L53" i="49"/>
  <c r="T62" i="72"/>
  <c r="K63" i="81"/>
  <c r="L63" i="81" s="1"/>
  <c r="L20" i="67"/>
  <c r="G21" i="76"/>
  <c r="H21" i="76" s="1"/>
  <c r="G59" i="37"/>
  <c r="L58" i="49"/>
  <c r="K70" i="37"/>
  <c r="T69" i="49"/>
  <c r="G53" i="35"/>
  <c r="L52" i="47"/>
  <c r="L23" i="48"/>
  <c r="G24" i="36"/>
  <c r="G52" i="37"/>
  <c r="L51" i="49"/>
  <c r="G34" i="81"/>
  <c r="H34" i="81" s="1"/>
  <c r="L33" i="72"/>
  <c r="T36" i="70"/>
  <c r="K37" i="79"/>
  <c r="L37" i="79" s="1"/>
  <c r="T22" i="71"/>
  <c r="K23" i="80"/>
  <c r="L23" i="80" s="1"/>
  <c r="G25" i="34"/>
  <c r="L24" i="46"/>
  <c r="L63" i="46"/>
  <c r="G64" i="34"/>
  <c r="L63" i="65"/>
  <c r="G64" i="74"/>
  <c r="H64" i="74" s="1"/>
  <c r="T17" i="72"/>
  <c r="K18" i="81"/>
  <c r="L18" i="81" s="1"/>
  <c r="L19" i="46"/>
  <c r="G20" i="34"/>
  <c r="T53" i="46"/>
  <c r="K54" i="34"/>
  <c r="T16" i="65"/>
  <c r="K17" i="74"/>
  <c r="L17" i="74" s="1"/>
  <c r="T44" i="67"/>
  <c r="K45" i="76"/>
  <c r="L45" i="76" s="1"/>
  <c r="K26" i="37"/>
  <c r="T25" i="49"/>
  <c r="K31" i="37"/>
  <c r="T30" i="49"/>
  <c r="G44" i="36"/>
  <c r="L43" i="48"/>
  <c r="K54" i="37"/>
  <c r="T53" i="49"/>
  <c r="T72" i="66"/>
  <c r="K73" i="75"/>
  <c r="L73" i="75" s="1"/>
  <c r="L54" i="66"/>
  <c r="G55" i="75"/>
  <c r="H55" i="75" s="1"/>
  <c r="K21" i="76"/>
  <c r="L21" i="76" s="1"/>
  <c r="T20" i="67"/>
  <c r="L23" i="71"/>
  <c r="G24" i="80"/>
  <c r="H24" i="80" s="1"/>
  <c r="T24" i="73"/>
  <c r="K25" i="82"/>
  <c r="L25" i="82" s="1"/>
  <c r="G26" i="78"/>
  <c r="H26" i="78" s="1"/>
  <c r="L25" i="69"/>
  <c r="T32" i="66"/>
  <c r="K33" i="75"/>
  <c r="L33" i="75" s="1"/>
  <c r="T52" i="66"/>
  <c r="K53" i="75"/>
  <c r="L53" i="75" s="1"/>
  <c r="K60" i="78"/>
  <c r="L60" i="78" s="1"/>
  <c r="T59" i="69"/>
  <c r="T22" i="65"/>
  <c r="K23" i="74"/>
  <c r="L23" i="74" s="1"/>
  <c r="K19" i="77"/>
  <c r="L19" i="77" s="1"/>
  <c r="T18" i="68"/>
  <c r="T38" i="71"/>
  <c r="K39" i="80"/>
  <c r="L39" i="80" s="1"/>
  <c r="L28" i="71"/>
  <c r="G29" i="80"/>
  <c r="H29" i="80" s="1"/>
  <c r="T59" i="72"/>
  <c r="K60" i="81"/>
  <c r="L60" i="81" s="1"/>
  <c r="L27" i="71"/>
  <c r="G28" i="80"/>
  <c r="H28" i="80" s="1"/>
  <c r="K32" i="78"/>
  <c r="L32" i="78" s="1"/>
  <c r="T31" i="69"/>
  <c r="G39" i="74"/>
  <c r="H39" i="74" s="1"/>
  <c r="L38" i="65"/>
  <c r="L69" i="66"/>
  <c r="G70" i="75"/>
  <c r="H70" i="75" s="1"/>
  <c r="L49" i="69"/>
  <c r="G50" i="78"/>
  <c r="H50" i="78" s="1"/>
  <c r="L36" i="69"/>
  <c r="G37" i="78"/>
  <c r="H37" i="78" s="1"/>
  <c r="L24" i="68"/>
  <c r="G25" i="77"/>
  <c r="H25" i="77" s="1"/>
  <c r="T25" i="67"/>
  <c r="K26" i="76"/>
  <c r="L26" i="76" s="1"/>
  <c r="K69" i="81"/>
  <c r="L69" i="81" s="1"/>
  <c r="T68" i="72"/>
  <c r="L15" i="65"/>
  <c r="G16" i="74"/>
  <c r="T46" i="70"/>
  <c r="K47" i="79"/>
  <c r="L47" i="79" s="1"/>
  <c r="T24" i="67"/>
  <c r="K25" i="76"/>
  <c r="L25" i="76" s="1"/>
  <c r="T21" i="65"/>
  <c r="K22" i="74"/>
  <c r="L22" i="74" s="1"/>
  <c r="T59" i="67"/>
  <c r="K60" i="76"/>
  <c r="L60" i="76" s="1"/>
  <c r="L56" i="66"/>
  <c r="G57" i="75"/>
  <c r="H57" i="75" s="1"/>
  <c r="G30" i="76"/>
  <c r="H30" i="76" s="1"/>
  <c r="L29" i="67"/>
  <c r="T58" i="65"/>
  <c r="K59" i="74"/>
  <c r="L59" i="74" s="1"/>
  <c r="T43" i="70"/>
  <c r="K44" i="79"/>
  <c r="L44" i="79" s="1"/>
  <c r="T20" i="65"/>
  <c r="K21" i="74"/>
  <c r="L21" i="74" s="1"/>
  <c r="K55" i="74"/>
  <c r="L55" i="74" s="1"/>
  <c r="T54" i="65"/>
  <c r="G26" i="76"/>
  <c r="H26" i="76" s="1"/>
  <c r="L25" i="67"/>
  <c r="T45" i="71"/>
  <c r="K46" i="80"/>
  <c r="L46" i="80" s="1"/>
  <c r="K16" i="82"/>
  <c r="T15" i="73"/>
  <c r="R73" i="73"/>
  <c r="T67" i="72"/>
  <c r="K68" i="81"/>
  <c r="L68" i="81" s="1"/>
  <c r="G67" i="79"/>
  <c r="H67" i="79" s="1"/>
  <c r="L66" i="70"/>
  <c r="G62" i="82"/>
  <c r="H62" i="82" s="1"/>
  <c r="L61" i="73"/>
  <c r="L20" i="71"/>
  <c r="G21" i="80"/>
  <c r="H21" i="80" s="1"/>
  <c r="L59" i="70"/>
  <c r="G60" i="79"/>
  <c r="H60" i="79" s="1"/>
  <c r="T57" i="67"/>
  <c r="K58" i="76"/>
  <c r="L58" i="76" s="1"/>
  <c r="L39" i="68"/>
  <c r="G40" i="77"/>
  <c r="H40" i="77" s="1"/>
  <c r="T56" i="69"/>
  <c r="K57" i="78"/>
  <c r="L57" i="78" s="1"/>
  <c r="G71" i="81"/>
  <c r="H71" i="81" s="1"/>
  <c r="L70" i="72"/>
  <c r="L50" i="66"/>
  <c r="G51" i="75"/>
  <c r="H51" i="75" s="1"/>
  <c r="L26" i="68"/>
  <c r="G27" i="77"/>
  <c r="H27" i="77" s="1"/>
  <c r="K26" i="77"/>
  <c r="L26" i="77" s="1"/>
  <c r="T25" i="68"/>
  <c r="L22" i="69"/>
  <c r="G23" i="78"/>
  <c r="H23" i="78" s="1"/>
  <c r="K65" i="77"/>
  <c r="L65" i="77" s="1"/>
  <c r="T64" i="68"/>
  <c r="K52" i="77"/>
  <c r="L52" i="77" s="1"/>
  <c r="T51" i="68"/>
  <c r="T65" i="68"/>
  <c r="K66" i="77"/>
  <c r="L66" i="77" s="1"/>
  <c r="K67" i="81"/>
  <c r="L67" i="81" s="1"/>
  <c r="T66" i="72"/>
  <c r="L44" i="73"/>
  <c r="G45" i="82"/>
  <c r="H45" i="82" s="1"/>
  <c r="L54" i="65"/>
  <c r="G55" i="74"/>
  <c r="H55" i="74" s="1"/>
  <c r="G54" i="79"/>
  <c r="H54" i="79" s="1"/>
  <c r="L53" i="70"/>
  <c r="L59" i="68"/>
  <c r="G60" i="77"/>
  <c r="H60" i="77" s="1"/>
  <c r="L47" i="71"/>
  <c r="G48" i="80"/>
  <c r="H48" i="80" s="1"/>
  <c r="G23" i="76"/>
  <c r="H23" i="76" s="1"/>
  <c r="L22" i="67"/>
  <c r="G63" i="78"/>
  <c r="H63" i="78" s="1"/>
  <c r="L62" i="69"/>
  <c r="K47" i="80"/>
  <c r="L47" i="80" s="1"/>
  <c r="T46" i="71"/>
  <c r="G38" i="76"/>
  <c r="H38" i="76" s="1"/>
  <c r="L37" i="67"/>
  <c r="L29" i="66"/>
  <c r="G30" i="75"/>
  <c r="H30" i="75" s="1"/>
  <c r="T45" i="70"/>
  <c r="K46" i="79"/>
  <c r="L46" i="79" s="1"/>
  <c r="T63" i="68"/>
  <c r="K64" i="77"/>
  <c r="L64" i="77" s="1"/>
  <c r="G21" i="37"/>
  <c r="L20" i="49"/>
  <c r="G48" i="34"/>
  <c r="L47" i="46"/>
  <c r="G20" i="35"/>
  <c r="L19" i="47"/>
  <c r="L58" i="48"/>
  <c r="G59" i="36"/>
  <c r="T53" i="48"/>
  <c r="K54" i="36"/>
  <c r="K28" i="34"/>
  <c r="T27" i="46"/>
  <c r="K72" i="34"/>
  <c r="T71" i="46"/>
  <c r="T48" i="68"/>
  <c r="K49" i="77"/>
  <c r="L49" i="77" s="1"/>
  <c r="G64" i="80"/>
  <c r="H64" i="80" s="1"/>
  <c r="L63" i="71"/>
  <c r="L44" i="47"/>
  <c r="G45" i="35"/>
  <c r="T46" i="68"/>
  <c r="K47" i="77"/>
  <c r="L47" i="77" s="1"/>
  <c r="G32" i="35"/>
  <c r="L31" i="47"/>
  <c r="L64" i="47"/>
  <c r="G65" i="35"/>
  <c r="T28" i="71"/>
  <c r="K29" i="80"/>
  <c r="L29" i="80" s="1"/>
  <c r="K71" i="36"/>
  <c r="T70" i="48"/>
  <c r="K62" i="74"/>
  <c r="L62" i="74" s="1"/>
  <c r="T61" i="65"/>
  <c r="L62" i="65"/>
  <c r="G63" i="74"/>
  <c r="H63" i="74" s="1"/>
  <c r="L20" i="72"/>
  <c r="G21" i="81"/>
  <c r="H21" i="81" s="1"/>
  <c r="L47" i="47"/>
  <c r="G48" i="35"/>
  <c r="L61" i="47"/>
  <c r="G62" i="35"/>
  <c r="L15" i="72"/>
  <c r="G16" i="81"/>
  <c r="L20" i="69"/>
  <c r="G21" i="78"/>
  <c r="H21" i="78" s="1"/>
  <c r="L18" i="49"/>
  <c r="G19" i="37"/>
  <c r="G53" i="37"/>
  <c r="L52" i="49"/>
  <c r="T67" i="65"/>
  <c r="K68" i="74"/>
  <c r="L68" i="74" s="1"/>
  <c r="T41" i="73"/>
  <c r="K42" i="82"/>
  <c r="L42" i="82" s="1"/>
  <c r="T61" i="73"/>
  <c r="K62" i="82"/>
  <c r="L62" i="82" s="1"/>
  <c r="T50" i="70"/>
  <c r="K51" i="79"/>
  <c r="L51" i="79" s="1"/>
  <c r="K38" i="37"/>
  <c r="T37" i="49"/>
  <c r="G31" i="36"/>
  <c r="L30" i="48"/>
  <c r="G19" i="74"/>
  <c r="H19" i="74" s="1"/>
  <c r="L18" i="65"/>
  <c r="K43" i="79"/>
  <c r="L43" i="79" s="1"/>
  <c r="T42" i="70"/>
  <c r="G43" i="80"/>
  <c r="H43" i="80" s="1"/>
  <c r="L42" i="71"/>
  <c r="G40" i="34"/>
  <c r="L39" i="46"/>
  <c r="T71" i="48"/>
  <c r="K72" i="36"/>
  <c r="T37" i="65"/>
  <c r="K38" i="74"/>
  <c r="L38" i="74" s="1"/>
  <c r="G71" i="82"/>
  <c r="H71" i="82" s="1"/>
  <c r="L70" i="73"/>
  <c r="K36" i="82"/>
  <c r="L36" i="82" s="1"/>
  <c r="T35" i="73"/>
  <c r="T39" i="48"/>
  <c r="K40" i="36"/>
  <c r="T19" i="48"/>
  <c r="K20" i="36"/>
  <c r="L22" i="49"/>
  <c r="G23" i="37"/>
  <c r="L53" i="67"/>
  <c r="G54" i="76"/>
  <c r="H54" i="76" s="1"/>
  <c r="L72" i="72"/>
  <c r="G73" i="81"/>
  <c r="H73" i="81" s="1"/>
  <c r="L41" i="65"/>
  <c r="G42" i="74"/>
  <c r="H42" i="74" s="1"/>
  <c r="T59" i="49"/>
  <c r="K60" i="37"/>
  <c r="G66" i="34"/>
  <c r="L65" i="46"/>
  <c r="L19" i="49"/>
  <c r="G20" i="37"/>
  <c r="L40" i="71"/>
  <c r="G41" i="80"/>
  <c r="H41" i="80" s="1"/>
  <c r="L16" i="67"/>
  <c r="G17" i="76"/>
  <c r="H17" i="76" s="1"/>
  <c r="G50" i="74"/>
  <c r="H50" i="74" s="1"/>
  <c r="L49" i="65"/>
  <c r="L42" i="46"/>
  <c r="G43" i="34"/>
  <c r="L28" i="48"/>
  <c r="G29" i="36"/>
  <c r="T23" i="49"/>
  <c r="K24" i="37"/>
  <c r="G67" i="75"/>
  <c r="H67" i="75" s="1"/>
  <c r="L66" i="66"/>
  <c r="G49" i="34"/>
  <c r="L48" i="46"/>
  <c r="L62" i="71"/>
  <c r="G63" i="80"/>
  <c r="H63" i="80" s="1"/>
  <c r="G71" i="36"/>
  <c r="L70" i="48"/>
  <c r="K73" i="34"/>
  <c r="T72" i="46"/>
  <c r="L64" i="67"/>
  <c r="G65" i="76"/>
  <c r="H65" i="76" s="1"/>
  <c r="L50" i="67"/>
  <c r="G51" i="76"/>
  <c r="H51" i="76" s="1"/>
  <c r="T29" i="46"/>
  <c r="K30" i="34"/>
  <c r="G63" i="34"/>
  <c r="L62" i="46"/>
  <c r="T24" i="65"/>
  <c r="K25" i="74"/>
  <c r="L25" i="74" s="1"/>
  <c r="G29" i="75"/>
  <c r="H29" i="75" s="1"/>
  <c r="L28" i="66"/>
  <c r="K48" i="36"/>
  <c r="T47" i="48"/>
  <c r="L58" i="47"/>
  <c r="G59" i="35"/>
  <c r="T41" i="49"/>
  <c r="K42" i="37"/>
  <c r="G32" i="36"/>
  <c r="L31" i="48"/>
  <c r="G48" i="76"/>
  <c r="H48" i="76" s="1"/>
  <c r="L47" i="67"/>
  <c r="K69" i="75"/>
  <c r="L69" i="75" s="1"/>
  <c r="T68" i="66"/>
  <c r="G34" i="82"/>
  <c r="H34" i="82" s="1"/>
  <c r="L33" i="73"/>
  <c r="L68" i="73"/>
  <c r="G69" i="82"/>
  <c r="H69" i="82" s="1"/>
  <c r="T49" i="68"/>
  <c r="K50" i="77"/>
  <c r="L50" i="77" s="1"/>
  <c r="T48" i="67"/>
  <c r="K49" i="76"/>
  <c r="L49" i="76" s="1"/>
  <c r="T59" i="71"/>
  <c r="K60" i="80"/>
  <c r="L60" i="80" s="1"/>
  <c r="T41" i="71"/>
  <c r="K42" i="80"/>
  <c r="L42" i="80" s="1"/>
  <c r="T39" i="73"/>
  <c r="K40" i="82"/>
  <c r="L40" i="82" s="1"/>
  <c r="G24" i="79"/>
  <c r="H24" i="79" s="1"/>
  <c r="L23" i="70"/>
  <c r="L66" i="71"/>
  <c r="G67" i="80"/>
  <c r="H67" i="80" s="1"/>
  <c r="L53" i="72"/>
  <c r="G54" i="81"/>
  <c r="H54" i="81" s="1"/>
  <c r="L29" i="72"/>
  <c r="G30" i="81"/>
  <c r="H30" i="81" s="1"/>
  <c r="L43" i="69"/>
  <c r="G44" i="78"/>
  <c r="H44" i="78" s="1"/>
  <c r="G35" i="75"/>
  <c r="H35" i="75" s="1"/>
  <c r="L34" i="66"/>
  <c r="K16" i="79"/>
  <c r="T15" i="70"/>
  <c r="R73" i="70"/>
  <c r="L48" i="65"/>
  <c r="G49" i="74"/>
  <c r="H49" i="74" s="1"/>
  <c r="T53" i="69"/>
  <c r="K54" i="78"/>
  <c r="L54" i="78" s="1"/>
  <c r="T54" i="72"/>
  <c r="K55" i="81"/>
  <c r="L55" i="81" s="1"/>
  <c r="G52" i="81"/>
  <c r="H52" i="81" s="1"/>
  <c r="L51" i="72"/>
  <c r="K44" i="78"/>
  <c r="L44" i="78" s="1"/>
  <c r="T43" i="69"/>
  <c r="K30" i="81"/>
  <c r="L30" i="81" s="1"/>
  <c r="T29" i="72"/>
  <c r="K49" i="82"/>
  <c r="L49" i="82" s="1"/>
  <c r="T48" i="73"/>
  <c r="K52" i="74"/>
  <c r="L52" i="74" s="1"/>
  <c r="T51" i="65"/>
  <c r="G59" i="75"/>
  <c r="H59" i="75" s="1"/>
  <c r="L58" i="66"/>
  <c r="T62" i="70"/>
  <c r="K63" i="79"/>
  <c r="L63" i="79" s="1"/>
  <c r="K30" i="78"/>
  <c r="L30" i="78" s="1"/>
  <c r="T29" i="69"/>
  <c r="K52" i="79"/>
  <c r="L52" i="79" s="1"/>
  <c r="T51" i="70"/>
  <c r="K35" i="76"/>
  <c r="L35" i="76" s="1"/>
  <c r="T34" i="67"/>
  <c r="G69" i="81"/>
  <c r="H69" i="81" s="1"/>
  <c r="L68" i="72"/>
  <c r="T39" i="65"/>
  <c r="K40" i="74"/>
  <c r="L40" i="74" s="1"/>
  <c r="T22" i="73"/>
  <c r="K23" i="82"/>
  <c r="L23" i="82" s="1"/>
  <c r="T70" i="68"/>
  <c r="K71" i="77"/>
  <c r="L71" i="77" s="1"/>
  <c r="L27" i="67"/>
  <c r="G28" i="76"/>
  <c r="H28" i="76" s="1"/>
  <c r="L35" i="66"/>
  <c r="G36" i="75"/>
  <c r="H36" i="75" s="1"/>
  <c r="G31" i="75"/>
  <c r="H31" i="75" s="1"/>
  <c r="L30" i="66"/>
  <c r="K66" i="79"/>
  <c r="L66" i="79" s="1"/>
  <c r="T65" i="70"/>
  <c r="K47" i="74"/>
  <c r="L47" i="74" s="1"/>
  <c r="T46" i="65"/>
  <c r="K23" i="77"/>
  <c r="L23" i="77" s="1"/>
  <c r="T22" i="68"/>
  <c r="L35" i="70"/>
  <c r="G36" i="79"/>
  <c r="H36" i="79" s="1"/>
  <c r="T17" i="73"/>
  <c r="K18" i="82"/>
  <c r="L18" i="82" s="1"/>
  <c r="K70" i="82"/>
  <c r="L70" i="82" s="1"/>
  <c r="T69" i="73"/>
  <c r="K53" i="81"/>
  <c r="L53" i="81" s="1"/>
  <c r="T52" i="72"/>
  <c r="K65" i="82"/>
  <c r="L65" i="82" s="1"/>
  <c r="T64" i="73"/>
  <c r="T51" i="69"/>
  <c r="K52" i="78"/>
  <c r="L52" i="78" s="1"/>
  <c r="L38" i="71"/>
  <c r="G39" i="80"/>
  <c r="H39" i="80" s="1"/>
  <c r="G21" i="75"/>
  <c r="H21" i="75" s="1"/>
  <c r="L20" i="66"/>
  <c r="G19" i="80"/>
  <c r="H19" i="80" s="1"/>
  <c r="L18" i="71"/>
  <c r="T60" i="70"/>
  <c r="K61" i="79"/>
  <c r="L61" i="79" s="1"/>
  <c r="K23" i="76"/>
  <c r="L23" i="76" s="1"/>
  <c r="T22" i="67"/>
  <c r="G72" i="78"/>
  <c r="H72" i="78" s="1"/>
  <c r="L71" i="69"/>
  <c r="K41" i="78"/>
  <c r="L41" i="78" s="1"/>
  <c r="T40" i="69"/>
  <c r="L38" i="73"/>
  <c r="G39" i="82"/>
  <c r="H39" i="82" s="1"/>
  <c r="T41" i="65"/>
  <c r="K42" i="74"/>
  <c r="L42" i="74" s="1"/>
  <c r="T53" i="68"/>
  <c r="K54" i="77"/>
  <c r="L54" i="77" s="1"/>
  <c r="T17" i="69"/>
  <c r="K18" i="78"/>
  <c r="L18" i="78" s="1"/>
  <c r="T63" i="66"/>
  <c r="K64" i="75"/>
  <c r="L64" i="75" s="1"/>
  <c r="L41" i="66"/>
  <c r="G42" i="75"/>
  <c r="H42" i="75" s="1"/>
  <c r="G66" i="76"/>
  <c r="H66" i="76" s="1"/>
  <c r="L65" i="67"/>
  <c r="L56" i="72"/>
  <c r="G57" i="81"/>
  <c r="H57" i="81" s="1"/>
  <c r="K27" i="81"/>
  <c r="L27" i="81" s="1"/>
  <c r="T26" i="72"/>
  <c r="L25" i="73"/>
  <c r="G26" i="82"/>
  <c r="H26" i="82" s="1"/>
  <c r="T44" i="65"/>
  <c r="K45" i="74"/>
  <c r="L45" i="74" s="1"/>
  <c r="L57" i="70"/>
  <c r="G58" i="79"/>
  <c r="H58" i="79" s="1"/>
  <c r="T43" i="68"/>
  <c r="K44" i="77"/>
  <c r="L44" i="77" s="1"/>
  <c r="K65" i="80"/>
  <c r="L65" i="80" s="1"/>
  <c r="T64" i="71"/>
  <c r="L46" i="47"/>
  <c r="G47" i="35"/>
  <c r="K23" i="36"/>
  <c r="T22" i="48"/>
  <c r="T50" i="65"/>
  <c r="K51" i="74"/>
  <c r="L51" i="74" s="1"/>
  <c r="T36" i="73"/>
  <c r="K37" i="82"/>
  <c r="L37" i="82" s="1"/>
  <c r="G20" i="74"/>
  <c r="H20" i="74" s="1"/>
  <c r="L19" i="65"/>
  <c r="J102" i="29"/>
  <c r="K102" i="29" s="1"/>
  <c r="D12" i="52"/>
  <c r="G57" i="34"/>
  <c r="L56" i="46"/>
  <c r="L39" i="47"/>
  <c r="G40" i="35"/>
  <c r="G17" i="37"/>
  <c r="L16" i="49"/>
  <c r="L37" i="72"/>
  <c r="G38" i="81"/>
  <c r="H38" i="81" s="1"/>
  <c r="T36" i="48"/>
  <c r="K37" i="36"/>
  <c r="K50" i="81"/>
  <c r="L50" i="81" s="1"/>
  <c r="T49" i="72"/>
  <c r="L35" i="47"/>
  <c r="G36" i="35"/>
  <c r="L52" i="68"/>
  <c r="G53" i="77"/>
  <c r="H53" i="77" s="1"/>
  <c r="G56" i="34"/>
  <c r="L55" i="46"/>
  <c r="K37" i="78"/>
  <c r="L37" i="78" s="1"/>
  <c r="T36" i="69"/>
  <c r="G42" i="81"/>
  <c r="H42" i="81" s="1"/>
  <c r="L41" i="72"/>
  <c r="L64" i="65"/>
  <c r="G65" i="74"/>
  <c r="H65" i="74" s="1"/>
  <c r="K53" i="82"/>
  <c r="L53" i="82" s="1"/>
  <c r="T52" i="73"/>
  <c r="T68" i="49"/>
  <c r="K69" i="37"/>
  <c r="G72" i="34"/>
  <c r="L71" i="46"/>
  <c r="K68" i="34"/>
  <c r="T67" i="46"/>
  <c r="T31" i="48"/>
  <c r="K32" i="36"/>
  <c r="T29" i="71"/>
  <c r="K30" i="80"/>
  <c r="L30" i="80" s="1"/>
  <c r="T42" i="72"/>
  <c r="K43" i="81"/>
  <c r="L43" i="81" s="1"/>
  <c r="T37" i="73"/>
  <c r="K38" i="82"/>
  <c r="L38" i="82" s="1"/>
  <c r="L67" i="73"/>
  <c r="G68" i="82"/>
  <c r="H68" i="82" s="1"/>
  <c r="G63" i="82"/>
  <c r="H63" i="82" s="1"/>
  <c r="L62" i="73"/>
  <c r="G32" i="80"/>
  <c r="H32" i="80" s="1"/>
  <c r="L31" i="71"/>
  <c r="K53" i="80"/>
  <c r="L53" i="80" s="1"/>
  <c r="T52" i="71"/>
  <c r="L43" i="67"/>
  <c r="G44" i="76"/>
  <c r="H44" i="76" s="1"/>
  <c r="G61" i="34"/>
  <c r="L60" i="46"/>
  <c r="L35" i="46"/>
  <c r="G36" i="34"/>
  <c r="L71" i="65"/>
  <c r="G72" i="74"/>
  <c r="H72" i="74" s="1"/>
  <c r="T70" i="67"/>
  <c r="K71" i="76"/>
  <c r="L71" i="76" s="1"/>
  <c r="L15" i="70"/>
  <c r="G16" i="79"/>
  <c r="L57" i="46"/>
  <c r="G58" i="34"/>
  <c r="G27" i="34"/>
  <c r="L26" i="46"/>
  <c r="G25" i="75"/>
  <c r="H25" i="75" s="1"/>
  <c r="L24" i="66"/>
  <c r="T28" i="69"/>
  <c r="K29" i="78"/>
  <c r="L29" i="78" s="1"/>
  <c r="K52" i="34"/>
  <c r="T51" i="46"/>
  <c r="T69" i="48"/>
  <c r="K70" i="36"/>
  <c r="G65" i="34"/>
  <c r="L64" i="46"/>
  <c r="L53" i="68"/>
  <c r="G54" i="77"/>
  <c r="H54" i="77" s="1"/>
  <c r="T37" i="71"/>
  <c r="K38" i="80"/>
  <c r="L38" i="80" s="1"/>
  <c r="K64" i="79"/>
  <c r="L64" i="79" s="1"/>
  <c r="T63" i="70"/>
  <c r="T70" i="46"/>
  <c r="K71" i="34"/>
  <c r="G22" i="36"/>
  <c r="L21" i="48"/>
  <c r="G58" i="37"/>
  <c r="L57" i="49"/>
  <c r="G23" i="74"/>
  <c r="H23" i="74" s="1"/>
  <c r="L22" i="65"/>
  <c r="K56" i="82"/>
  <c r="L56" i="82" s="1"/>
  <c r="T55" i="73"/>
  <c r="L43" i="72"/>
  <c r="G44" i="81"/>
  <c r="H44" i="81" s="1"/>
  <c r="K68" i="36"/>
  <c r="T67" i="48"/>
  <c r="K17" i="34"/>
  <c r="T16" i="46"/>
  <c r="G51" i="35"/>
  <c r="L50" i="47"/>
  <c r="K60" i="74"/>
  <c r="L60" i="74" s="1"/>
  <c r="T59" i="65"/>
  <c r="K59" i="77"/>
  <c r="L59" i="77" s="1"/>
  <c r="T58" i="68"/>
  <c r="T47" i="46"/>
  <c r="K48" i="34"/>
  <c r="T31" i="72"/>
  <c r="K32" i="81"/>
  <c r="L32" i="81" s="1"/>
  <c r="K34" i="36"/>
  <c r="T33" i="48"/>
  <c r="L18" i="47"/>
  <c r="G19" i="35"/>
  <c r="T54" i="69"/>
  <c r="K55" i="78"/>
  <c r="L55" i="78" s="1"/>
  <c r="L21" i="72"/>
  <c r="G22" i="81"/>
  <c r="H22" i="81" s="1"/>
  <c r="K56" i="37"/>
  <c r="T55" i="49"/>
  <c r="G71" i="35"/>
  <c r="L70" i="47"/>
  <c r="L16" i="68"/>
  <c r="G17" i="77"/>
  <c r="H17" i="77" s="1"/>
  <c r="L65" i="70"/>
  <c r="G66" i="79"/>
  <c r="H66" i="79" s="1"/>
  <c r="T32" i="49"/>
  <c r="K33" i="37"/>
  <c r="L40" i="47"/>
  <c r="G41" i="35"/>
  <c r="G36" i="36"/>
  <c r="L35" i="48"/>
  <c r="L20" i="48"/>
  <c r="G21" i="36"/>
  <c r="G49" i="37"/>
  <c r="L48" i="49"/>
  <c r="L44" i="67"/>
  <c r="G45" i="76"/>
  <c r="H45" i="76" s="1"/>
  <c r="G35" i="76"/>
  <c r="H35" i="76" s="1"/>
  <c r="L34" i="67"/>
  <c r="L29" i="69"/>
  <c r="G30" i="78"/>
  <c r="H30" i="78" s="1"/>
  <c r="L41" i="71"/>
  <c r="G42" i="80"/>
  <c r="H42" i="80" s="1"/>
  <c r="L42" i="65"/>
  <c r="G43" i="74"/>
  <c r="H43" i="74" s="1"/>
  <c r="L37" i="69"/>
  <c r="G38" i="78"/>
  <c r="H38" i="78" s="1"/>
  <c r="T65" i="66"/>
  <c r="K66" i="75"/>
  <c r="L66" i="75" s="1"/>
  <c r="T54" i="67"/>
  <c r="K55" i="76"/>
  <c r="L55" i="76" s="1"/>
  <c r="T48" i="66"/>
  <c r="K49" i="75"/>
  <c r="L49" i="75" s="1"/>
  <c r="L70" i="66"/>
  <c r="G71" i="75"/>
  <c r="H71" i="75" s="1"/>
  <c r="L36" i="73"/>
  <c r="G37" i="82"/>
  <c r="H37" i="82" s="1"/>
  <c r="L50" i="69"/>
  <c r="G51" i="78"/>
  <c r="H51" i="78" s="1"/>
  <c r="G40" i="76"/>
  <c r="H40" i="76" s="1"/>
  <c r="L39" i="67"/>
  <c r="L57" i="73"/>
  <c r="G58" i="82"/>
  <c r="H58" i="82" s="1"/>
  <c r="T71" i="73"/>
  <c r="K72" i="82"/>
  <c r="L72" i="82" s="1"/>
  <c r="K61" i="80"/>
  <c r="L61" i="80" s="1"/>
  <c r="T60" i="71"/>
  <c r="L50" i="70"/>
  <c r="G51" i="79"/>
  <c r="H51" i="79" s="1"/>
  <c r="L46" i="71"/>
  <c r="G47" i="80"/>
  <c r="H47" i="80" s="1"/>
  <c r="G62" i="79"/>
  <c r="H62" i="79" s="1"/>
  <c r="L61" i="70"/>
  <c r="G50" i="76"/>
  <c r="H50" i="76" s="1"/>
  <c r="L49" i="67"/>
  <c r="T45" i="72"/>
  <c r="K46" i="81"/>
  <c r="L46" i="81" s="1"/>
  <c r="T38" i="66"/>
  <c r="K39" i="75"/>
  <c r="L39" i="75" s="1"/>
  <c r="L32" i="70"/>
  <c r="G33" i="79"/>
  <c r="H33" i="79" s="1"/>
  <c r="G27" i="74"/>
  <c r="H27" i="74" s="1"/>
  <c r="L26" i="65"/>
  <c r="K38" i="78"/>
  <c r="L38" i="78" s="1"/>
  <c r="T37" i="69"/>
  <c r="L30" i="72"/>
  <c r="G31" i="81"/>
  <c r="H31" i="81" s="1"/>
  <c r="G63" i="81"/>
  <c r="H63" i="81" s="1"/>
  <c r="L62" i="72"/>
  <c r="K19" i="75"/>
  <c r="L19" i="75" s="1"/>
  <c r="T18" i="66"/>
  <c r="G26" i="81"/>
  <c r="H26" i="81" s="1"/>
  <c r="L25" i="72"/>
  <c r="K43" i="75"/>
  <c r="L43" i="75" s="1"/>
  <c r="T42" i="66"/>
  <c r="G40" i="74"/>
  <c r="H40" i="74" s="1"/>
  <c r="L39" i="65"/>
  <c r="L41" i="67"/>
  <c r="G42" i="76"/>
  <c r="H42" i="76" s="1"/>
  <c r="L27" i="70"/>
  <c r="G28" i="79"/>
  <c r="H28" i="79" s="1"/>
  <c r="L70" i="70"/>
  <c r="G71" i="79"/>
  <c r="H71" i="79" s="1"/>
  <c r="K42" i="76"/>
  <c r="L42" i="76" s="1"/>
  <c r="T41" i="67"/>
  <c r="G66" i="78"/>
  <c r="H66" i="78" s="1"/>
  <c r="L65" i="69"/>
  <c r="L69" i="73"/>
  <c r="G70" i="82"/>
  <c r="H70" i="82" s="1"/>
  <c r="T40" i="65"/>
  <c r="K41" i="74"/>
  <c r="L41" i="74" s="1"/>
  <c r="T55" i="65"/>
  <c r="K56" i="74"/>
  <c r="L56" i="74" s="1"/>
  <c r="L24" i="67"/>
  <c r="G25" i="76"/>
  <c r="H25" i="76" s="1"/>
  <c r="L41" i="68"/>
  <c r="G42" i="77"/>
  <c r="H42" i="77" s="1"/>
  <c r="G25" i="81"/>
  <c r="H25" i="81" s="1"/>
  <c r="L24" i="72"/>
  <c r="T47" i="69"/>
  <c r="K48" i="78"/>
  <c r="L48" i="78" s="1"/>
  <c r="T34" i="65"/>
  <c r="K35" i="74"/>
  <c r="L35" i="74" s="1"/>
  <c r="L57" i="69"/>
  <c r="G58" i="78"/>
  <c r="H58" i="78" s="1"/>
  <c r="L56" i="71"/>
  <c r="G57" i="80"/>
  <c r="H57" i="80" s="1"/>
  <c r="L61" i="67"/>
  <c r="G62" i="76"/>
  <c r="H62" i="76" s="1"/>
  <c r="L21" i="73"/>
  <c r="G22" i="82"/>
  <c r="H22" i="82" s="1"/>
  <c r="L59" i="66"/>
  <c r="G60" i="75"/>
  <c r="H60" i="75" s="1"/>
  <c r="K28" i="78"/>
  <c r="L28" i="78" s="1"/>
  <c r="T27" i="69"/>
  <c r="K29" i="79"/>
  <c r="L29" i="79" s="1"/>
  <c r="T28" i="70"/>
  <c r="G48" i="81"/>
  <c r="H48" i="81" s="1"/>
  <c r="L47" i="72"/>
  <c r="L44" i="72"/>
  <c r="G45" i="81"/>
  <c r="H45" i="81" s="1"/>
  <c r="K43" i="80"/>
  <c r="L43" i="80" s="1"/>
  <c r="T42" i="71"/>
  <c r="G68" i="79"/>
  <c r="H68" i="79" s="1"/>
  <c r="L67" i="70"/>
  <c r="G20" i="76"/>
  <c r="H20" i="76" s="1"/>
  <c r="L19" i="67"/>
  <c r="L35" i="69"/>
  <c r="G36" i="78"/>
  <c r="H36" i="78" s="1"/>
  <c r="T49" i="71"/>
  <c r="K50" i="80"/>
  <c r="L50" i="80" s="1"/>
  <c r="L37" i="68"/>
  <c r="G38" i="77"/>
  <c r="H38" i="77" s="1"/>
  <c r="L37" i="73"/>
  <c r="G38" i="82"/>
  <c r="H38" i="82" s="1"/>
  <c r="K46" i="78"/>
  <c r="L46" i="78" s="1"/>
  <c r="T45" i="69"/>
  <c r="K62" i="78"/>
  <c r="L62" i="78" s="1"/>
  <c r="T61" i="69"/>
  <c r="K22" i="79"/>
  <c r="L22" i="79" s="1"/>
  <c r="T21" i="70"/>
  <c r="T17" i="66"/>
  <c r="K18" i="75"/>
  <c r="L18" i="75" s="1"/>
  <c r="R73" i="66"/>
  <c r="K16" i="75"/>
  <c r="T15" i="66"/>
  <c r="L48" i="47"/>
  <c r="G49" i="35"/>
  <c r="L15" i="48"/>
  <c r="J73" i="48"/>
  <c r="G16" i="36"/>
  <c r="L23" i="65"/>
  <c r="G24" i="74"/>
  <c r="H24" i="74" s="1"/>
  <c r="G64" i="35"/>
  <c r="L63" i="47"/>
  <c r="L48" i="72"/>
  <c r="G49" i="81"/>
  <c r="H49" i="81" s="1"/>
  <c r="L60" i="73"/>
  <c r="G61" i="82"/>
  <c r="H61" i="82" s="1"/>
  <c r="L35" i="71"/>
  <c r="G36" i="80"/>
  <c r="H36" i="80" s="1"/>
  <c r="T45" i="48"/>
  <c r="K46" i="36"/>
  <c r="K65" i="36"/>
  <c r="T64" i="48"/>
  <c r="L52" i="71"/>
  <c r="G53" i="80"/>
  <c r="H53" i="80" s="1"/>
  <c r="L52" i="65"/>
  <c r="G53" i="74"/>
  <c r="H53" i="74" s="1"/>
  <c r="L22" i="48"/>
  <c r="G23" i="36"/>
  <c r="T47" i="73"/>
  <c r="K48" i="82"/>
  <c r="L48" i="82" s="1"/>
  <c r="G35" i="34"/>
  <c r="L34" i="46"/>
  <c r="L24" i="49"/>
  <c r="G25" i="37"/>
  <c r="L27" i="73"/>
  <c r="G28" i="82"/>
  <c r="H28" i="82" s="1"/>
  <c r="T28" i="72"/>
  <c r="K29" i="81"/>
  <c r="L29" i="81" s="1"/>
  <c r="T22" i="66"/>
  <c r="K23" i="75"/>
  <c r="L23" i="75" s="1"/>
  <c r="L19" i="70"/>
  <c r="G20" i="79"/>
  <c r="H20" i="79" s="1"/>
  <c r="L38" i="70"/>
  <c r="G39" i="79"/>
  <c r="H39" i="79" s="1"/>
  <c r="L39" i="71"/>
  <c r="G40" i="80"/>
  <c r="H40" i="80" s="1"/>
  <c r="T21" i="46"/>
  <c r="K22" i="34"/>
  <c r="T27" i="48"/>
  <c r="K28" i="36"/>
  <c r="K69" i="79"/>
  <c r="L69" i="79" s="1"/>
  <c r="T68" i="70"/>
  <c r="G29" i="34"/>
  <c r="L28" i="46"/>
  <c r="G22" i="35"/>
  <c r="L21" i="47"/>
  <c r="G50" i="75"/>
  <c r="H50" i="75" s="1"/>
  <c r="L49" i="66"/>
  <c r="K56" i="76"/>
  <c r="L56" i="76" s="1"/>
  <c r="T55" i="67"/>
  <c r="T35" i="67"/>
  <c r="K36" i="76"/>
  <c r="L36" i="76" s="1"/>
  <c r="G34" i="34"/>
  <c r="L33" i="46"/>
  <c r="T38" i="46"/>
  <c r="K39" i="34"/>
  <c r="G67" i="81"/>
  <c r="H67" i="81" s="1"/>
  <c r="L66" i="72"/>
  <c r="T32" i="70"/>
  <c r="K33" i="79"/>
  <c r="L33" i="79" s="1"/>
  <c r="L17" i="48"/>
  <c r="G18" i="36"/>
  <c r="G51" i="34"/>
  <c r="L50" i="46"/>
  <c r="G56" i="35"/>
  <c r="L55" i="47"/>
  <c r="G22" i="37"/>
  <c r="L21" i="49"/>
  <c r="T46" i="72"/>
  <c r="K47" i="81"/>
  <c r="L47" i="81" s="1"/>
  <c r="L52" i="70"/>
  <c r="G53" i="79"/>
  <c r="H53" i="79" s="1"/>
  <c r="T70" i="49"/>
  <c r="K71" i="37"/>
  <c r="K36" i="37"/>
  <c r="T35" i="49"/>
  <c r="L54" i="46"/>
  <c r="G55" i="34"/>
  <c r="L61" i="49"/>
  <c r="G62" i="37"/>
  <c r="K70" i="74"/>
  <c r="L70" i="74" s="1"/>
  <c r="T69" i="65"/>
  <c r="K32" i="80"/>
  <c r="L32" i="80" s="1"/>
  <c r="T31" i="71"/>
  <c r="K73" i="81"/>
  <c r="L73" i="81" s="1"/>
  <c r="T72" i="72"/>
  <c r="K44" i="37"/>
  <c r="T43" i="49"/>
  <c r="L29" i="47"/>
  <c r="G30" i="35"/>
  <c r="L50" i="65"/>
  <c r="G51" i="74"/>
  <c r="H51" i="74" s="1"/>
  <c r="G36" i="76"/>
  <c r="H36" i="76" s="1"/>
  <c r="L35" i="67"/>
  <c r="K62" i="34"/>
  <c r="T61" i="46"/>
  <c r="T68" i="67"/>
  <c r="K69" i="76"/>
  <c r="L69" i="76" s="1"/>
  <c r="T46" i="48"/>
  <c r="K47" i="36"/>
  <c r="K22" i="36"/>
  <c r="T21" i="48"/>
  <c r="L54" i="71"/>
  <c r="G55" i="80"/>
  <c r="H55" i="80" s="1"/>
  <c r="T28" i="66"/>
  <c r="K29" i="75"/>
  <c r="L29" i="75" s="1"/>
  <c r="T54" i="49"/>
  <c r="K55" i="37"/>
  <c r="T15" i="49"/>
  <c r="K16" i="37"/>
  <c r="R73" i="49"/>
  <c r="T35" i="70"/>
  <c r="K36" i="79"/>
  <c r="L36" i="79" s="1"/>
  <c r="T51" i="72"/>
  <c r="K52" i="81"/>
  <c r="L52" i="81" s="1"/>
  <c r="G43" i="36"/>
  <c r="L42" i="48"/>
  <c r="L53" i="48"/>
  <c r="G54" i="36"/>
  <c r="G68" i="34"/>
  <c r="L67" i="46"/>
  <c r="G44" i="34"/>
  <c r="L43" i="46"/>
  <c r="G39" i="37"/>
  <c r="L38" i="49"/>
  <c r="T57" i="65"/>
  <c r="K58" i="74"/>
  <c r="L58" i="74" s="1"/>
  <c r="G27" i="76"/>
  <c r="H27" i="76" s="1"/>
  <c r="L26" i="67"/>
  <c r="L68" i="69"/>
  <c r="G69" i="78"/>
  <c r="H69" i="78" s="1"/>
  <c r="T18" i="67"/>
  <c r="K19" i="76"/>
  <c r="L19" i="76" s="1"/>
  <c r="T18" i="69"/>
  <c r="K19" i="78"/>
  <c r="L19" i="78" s="1"/>
  <c r="G19" i="81"/>
  <c r="H19" i="81" s="1"/>
  <c r="L18" i="72"/>
  <c r="G70" i="79"/>
  <c r="H70" i="79" s="1"/>
  <c r="L69" i="70"/>
  <c r="T53" i="72"/>
  <c r="K54" i="81"/>
  <c r="L54" i="81" s="1"/>
  <c r="K21" i="80"/>
  <c r="L21" i="80" s="1"/>
  <c r="T20" i="71"/>
  <c r="G46" i="77"/>
  <c r="H46" i="77" s="1"/>
  <c r="L45" i="68"/>
  <c r="G66" i="80"/>
  <c r="H66" i="80" s="1"/>
  <c r="L65" i="71"/>
  <c r="T68" i="65"/>
  <c r="K69" i="74"/>
  <c r="L69" i="74" s="1"/>
  <c r="L18" i="70"/>
  <c r="G19" i="79"/>
  <c r="H19" i="79" s="1"/>
  <c r="L51" i="66"/>
  <c r="G52" i="75"/>
  <c r="H52" i="75" s="1"/>
  <c r="T67" i="67"/>
  <c r="K68" i="76"/>
  <c r="L68" i="76" s="1"/>
  <c r="K33" i="78"/>
  <c r="L33" i="78" s="1"/>
  <c r="T32" i="69"/>
  <c r="L67" i="67"/>
  <c r="G68" i="76"/>
  <c r="H68" i="76" s="1"/>
  <c r="L19" i="73"/>
  <c r="G20" i="82"/>
  <c r="H20" i="82" s="1"/>
  <c r="L64" i="69"/>
  <c r="G65" i="78"/>
  <c r="H65" i="78" s="1"/>
  <c r="K62" i="77"/>
  <c r="L62" i="77" s="1"/>
  <c r="T61" i="68"/>
  <c r="K29" i="82"/>
  <c r="L29" i="82" s="1"/>
  <c r="T28" i="73"/>
  <c r="K41" i="80"/>
  <c r="L41" i="80" s="1"/>
  <c r="T40" i="71"/>
  <c r="T40" i="72"/>
  <c r="K41" i="81"/>
  <c r="L41" i="81" s="1"/>
  <c r="K73" i="80"/>
  <c r="L73" i="80" s="1"/>
  <c r="T72" i="71"/>
  <c r="K27" i="80"/>
  <c r="L27" i="80" s="1"/>
  <c r="T26" i="71"/>
  <c r="G20" i="78"/>
  <c r="H20" i="78" s="1"/>
  <c r="L19" i="69"/>
  <c r="G30" i="74"/>
  <c r="H30" i="74" s="1"/>
  <c r="L29" i="65"/>
  <c r="G38" i="75"/>
  <c r="H38" i="75" s="1"/>
  <c r="L37" i="66"/>
  <c r="K51" i="75"/>
  <c r="L51" i="75" s="1"/>
  <c r="T50" i="66"/>
  <c r="K62" i="80"/>
  <c r="L62" i="80" s="1"/>
  <c r="T61" i="71"/>
  <c r="T72" i="70"/>
  <c r="K73" i="79"/>
  <c r="L73" i="79" s="1"/>
  <c r="L69" i="69"/>
  <c r="G70" i="78"/>
  <c r="H70" i="78" s="1"/>
  <c r="L35" i="73"/>
  <c r="G36" i="82"/>
  <c r="H36" i="82" s="1"/>
  <c r="T30" i="73"/>
  <c r="K31" i="82"/>
  <c r="L31" i="82" s="1"/>
  <c r="L35" i="68"/>
  <c r="G36" i="77"/>
  <c r="H36" i="77" s="1"/>
  <c r="K53" i="78"/>
  <c r="L53" i="78" s="1"/>
  <c r="T52" i="69"/>
  <c r="K28" i="77"/>
  <c r="L28" i="77" s="1"/>
  <c r="T27" i="68"/>
  <c r="L25" i="65"/>
  <c r="G26" i="74"/>
  <c r="H26" i="74" s="1"/>
  <c r="G72" i="82"/>
  <c r="H72" i="82" s="1"/>
  <c r="L71" i="73"/>
  <c r="L15" i="68"/>
  <c r="G16" i="77"/>
  <c r="L21" i="67"/>
  <c r="G22" i="76"/>
  <c r="H22" i="76" s="1"/>
  <c r="G66" i="77"/>
  <c r="H66" i="77" s="1"/>
  <c r="L65" i="68"/>
  <c r="T55" i="66"/>
  <c r="K56" i="75"/>
  <c r="L56" i="75" s="1"/>
  <c r="T55" i="70"/>
  <c r="K56" i="79"/>
  <c r="L56" i="79" s="1"/>
  <c r="L27" i="65"/>
  <c r="G28" i="74"/>
  <c r="H28" i="74" s="1"/>
  <c r="T56" i="67"/>
  <c r="K57" i="76"/>
  <c r="L57" i="76" s="1"/>
  <c r="T64" i="65"/>
  <c r="K65" i="74"/>
  <c r="L65" i="74" s="1"/>
  <c r="T16" i="67"/>
  <c r="K17" i="76"/>
  <c r="L17" i="76" s="1"/>
  <c r="K68" i="78"/>
  <c r="L68" i="78" s="1"/>
  <c r="T67" i="69"/>
  <c r="T43" i="72"/>
  <c r="K44" i="81"/>
  <c r="L44" i="81" s="1"/>
  <c r="K42" i="79"/>
  <c r="L42" i="79" s="1"/>
  <c r="T41" i="70"/>
  <c r="T60" i="65"/>
  <c r="K61" i="74"/>
  <c r="L61" i="74" s="1"/>
  <c r="G32" i="79"/>
  <c r="H32" i="79" s="1"/>
  <c r="L31" i="70"/>
  <c r="T54" i="71"/>
  <c r="K55" i="80"/>
  <c r="L55" i="80" s="1"/>
  <c r="L45" i="69"/>
  <c r="G46" i="78"/>
  <c r="H46" i="78" s="1"/>
  <c r="G24" i="78"/>
  <c r="H24" i="78" s="1"/>
  <c r="L23" i="69"/>
  <c r="L17" i="66"/>
  <c r="G18" i="75"/>
  <c r="H18" i="75" s="1"/>
  <c r="K17" i="80"/>
  <c r="L17" i="80" s="1"/>
  <c r="T16" i="71"/>
  <c r="T32" i="71"/>
  <c r="K33" i="80"/>
  <c r="L33" i="80" s="1"/>
  <c r="T70" i="73"/>
  <c r="K71" i="82"/>
  <c r="L71" i="82" s="1"/>
  <c r="G41" i="75"/>
  <c r="H41" i="75" s="1"/>
  <c r="L40" i="66"/>
  <c r="G37" i="80"/>
  <c r="H37" i="80" s="1"/>
  <c r="L36" i="71"/>
  <c r="L54" i="70"/>
  <c r="G55" i="79"/>
  <c r="H55" i="79" s="1"/>
  <c r="L67" i="68"/>
  <c r="G68" i="77"/>
  <c r="H68" i="77" s="1"/>
  <c r="L47" i="69"/>
  <c r="G48" i="78"/>
  <c r="H48" i="78" s="1"/>
  <c r="T25" i="71"/>
  <c r="K26" i="80"/>
  <c r="L26" i="80" s="1"/>
  <c r="K18" i="37"/>
  <c r="T17" i="49"/>
  <c r="L18" i="48"/>
  <c r="G19" i="36"/>
  <c r="K43" i="78"/>
  <c r="L43" i="78" s="1"/>
  <c r="T42" i="69"/>
  <c r="T45" i="49"/>
  <c r="K46" i="37"/>
  <c r="G66" i="75"/>
  <c r="H66" i="75" s="1"/>
  <c r="L65" i="66"/>
  <c r="L64" i="49"/>
  <c r="G65" i="37"/>
  <c r="G50" i="81"/>
  <c r="H50" i="81" s="1"/>
  <c r="L49" i="72"/>
  <c r="T52" i="46"/>
  <c r="K53" i="34"/>
  <c r="T33" i="67"/>
  <c r="K34" i="76"/>
  <c r="L34" i="76" s="1"/>
  <c r="T44" i="46"/>
  <c r="K45" i="34"/>
  <c r="K32" i="76"/>
  <c r="L32" i="76" s="1"/>
  <c r="T31" i="67"/>
  <c r="L71" i="71"/>
  <c r="G72" i="80"/>
  <c r="H72" i="80" s="1"/>
  <c r="K19" i="82"/>
  <c r="L19" i="82" s="1"/>
  <c r="T18" i="73"/>
  <c r="T68" i="48"/>
  <c r="K69" i="36"/>
  <c r="L30" i="47"/>
  <c r="G31" i="35"/>
  <c r="K38" i="34"/>
  <c r="T37" i="46"/>
  <c r="T44" i="72"/>
  <c r="K45" i="81"/>
  <c r="L45" i="81" s="1"/>
  <c r="T33" i="49"/>
  <c r="K34" i="37"/>
  <c r="T28" i="48"/>
  <c r="K29" i="36"/>
  <c r="T55" i="68"/>
  <c r="K56" i="77"/>
  <c r="L56" i="77" s="1"/>
  <c r="K64" i="78"/>
  <c r="L64" i="78" s="1"/>
  <c r="T63" i="69"/>
  <c r="K56" i="78"/>
  <c r="L56" i="78" s="1"/>
  <c r="T55" i="69"/>
  <c r="K18" i="36"/>
  <c r="T17" i="48"/>
  <c r="L34" i="47"/>
  <c r="G35" i="35"/>
  <c r="L58" i="46"/>
  <c r="G59" i="34"/>
  <c r="L21" i="66"/>
  <c r="G22" i="75"/>
  <c r="H22" i="75" s="1"/>
  <c r="L20" i="46"/>
  <c r="G21" i="34"/>
  <c r="T72" i="48"/>
  <c r="K73" i="36"/>
  <c r="L16" i="66"/>
  <c r="G17" i="75"/>
  <c r="H17" i="75" s="1"/>
  <c r="T45" i="67"/>
  <c r="K46" i="76"/>
  <c r="L46" i="76" s="1"/>
  <c r="G68" i="37"/>
  <c r="L67" i="49"/>
  <c r="K63" i="76"/>
  <c r="L63" i="76" s="1"/>
  <c r="T62" i="67"/>
  <c r="T59" i="46"/>
  <c r="K60" i="34"/>
  <c r="L68" i="48"/>
  <c r="G69" i="36"/>
  <c r="G48" i="82"/>
  <c r="H48" i="82" s="1"/>
  <c r="L47" i="73"/>
  <c r="K56" i="80"/>
  <c r="L56" i="80" s="1"/>
  <c r="T55" i="71"/>
  <c r="K42" i="34"/>
  <c r="T41" i="46"/>
  <c r="L45" i="47"/>
  <c r="G46" i="35"/>
  <c r="T20" i="46"/>
  <c r="K21" i="34"/>
  <c r="L68" i="49"/>
  <c r="G69" i="37"/>
  <c r="K33" i="74"/>
  <c r="L33" i="74" s="1"/>
  <c r="T32" i="65"/>
  <c r="K37" i="77"/>
  <c r="L37" i="77" s="1"/>
  <c r="T36" i="68"/>
  <c r="K43" i="34"/>
  <c r="T42" i="46"/>
  <c r="T35" i="46"/>
  <c r="K36" i="34"/>
  <c r="T64" i="46"/>
  <c r="K65" i="34"/>
  <c r="G42" i="37"/>
  <c r="L41" i="49"/>
  <c r="L51" i="73"/>
  <c r="G52" i="82"/>
  <c r="H52" i="82" s="1"/>
  <c r="L24" i="70"/>
  <c r="G25" i="79"/>
  <c r="H25" i="79" s="1"/>
  <c r="T25" i="73"/>
  <c r="K26" i="82"/>
  <c r="L26" i="82" s="1"/>
  <c r="T27" i="49"/>
  <c r="K28" i="37"/>
  <c r="L72" i="46"/>
  <c r="G73" i="34"/>
  <c r="G45" i="74"/>
  <c r="H45" i="74" s="1"/>
  <c r="L44" i="65"/>
  <c r="K24" i="79"/>
  <c r="L24" i="79" s="1"/>
  <c r="T23" i="70"/>
  <c r="T60" i="48"/>
  <c r="K61" i="36"/>
  <c r="L56" i="68"/>
  <c r="G57" i="77"/>
  <c r="H57" i="77" s="1"/>
  <c r="G32" i="34"/>
  <c r="L31" i="46"/>
  <c r="G62" i="34"/>
  <c r="L61" i="46"/>
  <c r="G33" i="37"/>
  <c r="L32" i="49"/>
  <c r="G42" i="82"/>
  <c r="H42" i="82" s="1"/>
  <c r="L41" i="73"/>
  <c r="K41" i="77"/>
  <c r="L41" i="77" s="1"/>
  <c r="T40" i="68"/>
  <c r="G27" i="36"/>
  <c r="L26" i="48"/>
  <c r="L24" i="48"/>
  <c r="G25" i="36"/>
  <c r="G64" i="37"/>
  <c r="L63" i="49"/>
  <c r="G53" i="82"/>
  <c r="H53" i="82" s="1"/>
  <c r="L52" i="73"/>
  <c r="L33" i="66"/>
  <c r="G34" i="75"/>
  <c r="H34" i="75" s="1"/>
  <c r="K24" i="36"/>
  <c r="T23" i="48"/>
  <c r="L29" i="48"/>
  <c r="G30" i="36"/>
  <c r="K50" i="36"/>
  <c r="T49" i="48"/>
  <c r="L41" i="48"/>
  <c r="G42" i="36"/>
  <c r="G37" i="37"/>
  <c r="L36" i="49"/>
  <c r="G29" i="82"/>
  <c r="H29" i="82" s="1"/>
  <c r="L28" i="73"/>
  <c r="G16" i="76"/>
  <c r="L15" i="67"/>
  <c r="T41" i="68"/>
  <c r="K42" i="77"/>
  <c r="L42" i="77" s="1"/>
  <c r="T38" i="70"/>
  <c r="K39" i="79"/>
  <c r="L39" i="79" s="1"/>
  <c r="T70" i="71"/>
  <c r="K71" i="80"/>
  <c r="L71" i="80" s="1"/>
  <c r="T29" i="65"/>
  <c r="K30" i="74"/>
  <c r="L30" i="74" s="1"/>
  <c r="T71" i="66"/>
  <c r="K72" i="75"/>
  <c r="L72" i="75" s="1"/>
  <c r="L44" i="66"/>
  <c r="G45" i="75"/>
  <c r="H45" i="75" s="1"/>
  <c r="L27" i="68"/>
  <c r="G28" i="77"/>
  <c r="H28" i="77" s="1"/>
  <c r="L62" i="70"/>
  <c r="G63" i="79"/>
  <c r="H63" i="79" s="1"/>
  <c r="K18" i="77"/>
  <c r="L18" i="77" s="1"/>
  <c r="T17" i="68"/>
  <c r="K58" i="78"/>
  <c r="L58" i="78" s="1"/>
  <c r="T57" i="69"/>
  <c r="L64" i="73"/>
  <c r="G65" i="82"/>
  <c r="H65" i="82" s="1"/>
  <c r="K44" i="80"/>
  <c r="L44" i="80" s="1"/>
  <c r="T43" i="71"/>
  <c r="K26" i="81"/>
  <c r="L26" i="81" s="1"/>
  <c r="T25" i="72"/>
  <c r="K21" i="82"/>
  <c r="L21" i="82" s="1"/>
  <c r="T20" i="73"/>
  <c r="L62" i="66"/>
  <c r="G63" i="75"/>
  <c r="H63" i="75" s="1"/>
  <c r="L26" i="66"/>
  <c r="G27" i="75"/>
  <c r="H27" i="75" s="1"/>
  <c r="T52" i="65"/>
  <c r="K53" i="74"/>
  <c r="L53" i="74" s="1"/>
  <c r="L48" i="70"/>
  <c r="G49" i="79"/>
  <c r="H49" i="79" s="1"/>
  <c r="T19" i="66"/>
  <c r="K20" i="75"/>
  <c r="L20" i="75" s="1"/>
  <c r="T17" i="67"/>
  <c r="K18" i="76"/>
  <c r="L18" i="76" s="1"/>
  <c r="K62" i="79"/>
  <c r="L62" i="79" s="1"/>
  <c r="T61" i="70"/>
  <c r="L18" i="68"/>
  <c r="G19" i="77"/>
  <c r="H19" i="77" s="1"/>
  <c r="T24" i="72"/>
  <c r="K25" i="81"/>
  <c r="L25" i="81" s="1"/>
  <c r="L44" i="69"/>
  <c r="G45" i="78"/>
  <c r="H45" i="78" s="1"/>
  <c r="T34" i="68"/>
  <c r="K35" i="77"/>
  <c r="L35" i="77" s="1"/>
  <c r="T44" i="73"/>
  <c r="K45" i="82"/>
  <c r="L45" i="82" s="1"/>
  <c r="K57" i="80"/>
  <c r="L57" i="80" s="1"/>
  <c r="T56" i="71"/>
  <c r="T16" i="72"/>
  <c r="K17" i="81"/>
  <c r="L17" i="81" s="1"/>
  <c r="L15" i="73"/>
  <c r="G16" i="82"/>
  <c r="L27" i="72"/>
  <c r="G28" i="81"/>
  <c r="H28" i="81" s="1"/>
  <c r="L67" i="66"/>
  <c r="G68" i="75"/>
  <c r="H68" i="75" s="1"/>
  <c r="L33" i="69"/>
  <c r="G34" i="78"/>
  <c r="H34" i="78" s="1"/>
  <c r="L19" i="68"/>
  <c r="G20" i="77"/>
  <c r="H20" i="77" s="1"/>
  <c r="G61" i="77"/>
  <c r="H61" i="77" s="1"/>
  <c r="L60" i="68"/>
  <c r="L59" i="71"/>
  <c r="G60" i="80"/>
  <c r="H60" i="80" s="1"/>
  <c r="T15" i="65"/>
  <c r="R73" i="65"/>
  <c r="K16" i="74"/>
  <c r="T69" i="68"/>
  <c r="K70" i="77"/>
  <c r="L70" i="77" s="1"/>
  <c r="G26" i="79"/>
  <c r="H26" i="79" s="1"/>
  <c r="L25" i="70"/>
  <c r="T18" i="70"/>
  <c r="K19" i="79"/>
  <c r="L19" i="79" s="1"/>
  <c r="L31" i="69"/>
  <c r="G32" i="78"/>
  <c r="H32" i="78" s="1"/>
  <c r="L64" i="70"/>
  <c r="G65" i="79"/>
  <c r="H65" i="79" s="1"/>
  <c r="L16" i="73"/>
  <c r="G17" i="82"/>
  <c r="H17" i="82" s="1"/>
  <c r="G61" i="74"/>
  <c r="H61" i="74" s="1"/>
  <c r="L60" i="65"/>
  <c r="G66" i="82"/>
  <c r="H66" i="82" s="1"/>
  <c r="L65" i="73"/>
  <c r="T66" i="68"/>
  <c r="K67" i="77"/>
  <c r="L67" i="77" s="1"/>
  <c r="T38" i="68"/>
  <c r="K39" i="77"/>
  <c r="L39" i="77" s="1"/>
  <c r="K61" i="75"/>
  <c r="L61" i="75" s="1"/>
  <c r="T60" i="66"/>
  <c r="K59" i="76"/>
  <c r="L59" i="76" s="1"/>
  <c r="T58" i="67"/>
  <c r="G17" i="79"/>
  <c r="H17" i="79" s="1"/>
  <c r="L16" i="70"/>
  <c r="G68" i="74"/>
  <c r="H68" i="74" s="1"/>
  <c r="L67" i="65"/>
  <c r="L48" i="68"/>
  <c r="G49" i="77"/>
  <c r="H49" i="77" s="1"/>
  <c r="L42" i="66"/>
  <c r="G43" i="75"/>
  <c r="H43" i="75" s="1"/>
  <c r="G59" i="77"/>
  <c r="H59" i="77" s="1"/>
  <c r="L58" i="68"/>
  <c r="L15" i="66"/>
  <c r="G16" i="75"/>
  <c r="T55" i="72"/>
  <c r="K56" i="81"/>
  <c r="L56" i="81" s="1"/>
  <c r="T36" i="66"/>
  <c r="K37" i="75"/>
  <c r="L37" i="75" s="1"/>
  <c r="T49" i="65"/>
  <c r="K50" i="74"/>
  <c r="L50" i="74" s="1"/>
  <c r="L36" i="70"/>
  <c r="G37" i="79"/>
  <c r="H37" i="79" s="1"/>
  <c r="L34" i="72"/>
  <c r="G35" i="81"/>
  <c r="H35" i="81" s="1"/>
  <c r="L67" i="69"/>
  <c r="G68" i="78"/>
  <c r="H68" i="78" s="1"/>
  <c r="L69" i="72"/>
  <c r="G70" i="81"/>
  <c r="H70" i="81" s="1"/>
  <c r="G47" i="75"/>
  <c r="H47" i="75" s="1"/>
  <c r="L46" i="66"/>
  <c r="K25" i="80"/>
  <c r="L25" i="80" s="1"/>
  <c r="T24" i="71"/>
  <c r="K55" i="75"/>
  <c r="L55" i="75" s="1"/>
  <c r="T54" i="66"/>
  <c r="J28" i="2"/>
  <c r="L73" i="46" l="1"/>
  <c r="H16" i="77"/>
  <c r="H74" i="77" s="1"/>
  <c r="G74" i="77"/>
  <c r="F23" i="33" s="1"/>
  <c r="T73" i="70"/>
  <c r="L16" i="82"/>
  <c r="L74" i="82" s="1"/>
  <c r="K74" i="82"/>
  <c r="H28" i="33" s="1"/>
  <c r="H16" i="78"/>
  <c r="H74" i="78" s="1"/>
  <c r="G74" i="78"/>
  <c r="F24" i="33" s="1"/>
  <c r="L16" i="81"/>
  <c r="L74" i="81" s="1"/>
  <c r="K74" i="81"/>
  <c r="H27" i="33" s="1"/>
  <c r="L73" i="68"/>
  <c r="L16" i="79"/>
  <c r="L74" i="79" s="1"/>
  <c r="K74" i="79"/>
  <c r="H25" i="33" s="1"/>
  <c r="H16" i="74"/>
  <c r="H74" i="74" s="1"/>
  <c r="G74" i="74"/>
  <c r="F20" i="33" s="1"/>
  <c r="L73" i="69"/>
  <c r="L73" i="65"/>
  <c r="L16" i="80"/>
  <c r="L74" i="80" s="1"/>
  <c r="K74" i="80"/>
  <c r="H26" i="33" s="1"/>
  <c r="K74" i="76"/>
  <c r="H22" i="33" s="1"/>
  <c r="L16" i="76"/>
  <c r="L74" i="76" s="1"/>
  <c r="T73" i="71"/>
  <c r="T73" i="69"/>
  <c r="G74" i="80"/>
  <c r="F26" i="33" s="1"/>
  <c r="H16" i="80"/>
  <c r="H74" i="80" s="1"/>
  <c r="T73" i="67"/>
  <c r="L73" i="71"/>
  <c r="L16" i="78"/>
  <c r="L74" i="78" s="1"/>
  <c r="K74" i="78"/>
  <c r="H24" i="33" s="1"/>
  <c r="L73" i="48"/>
  <c r="T73" i="48"/>
  <c r="T73" i="46"/>
  <c r="H16" i="75"/>
  <c r="H74" i="75" s="1"/>
  <c r="G74" i="75"/>
  <c r="F21" i="33" s="1"/>
  <c r="L16" i="74"/>
  <c r="L74" i="74" s="1"/>
  <c r="K74" i="74"/>
  <c r="H20" i="33" s="1"/>
  <c r="H16" i="79"/>
  <c r="H74" i="79" s="1"/>
  <c r="G74" i="79"/>
  <c r="F25" i="33" s="1"/>
  <c r="L73" i="72"/>
  <c r="L73" i="66"/>
  <c r="L73" i="67"/>
  <c r="T73" i="66"/>
  <c r="L73" i="70"/>
  <c r="H16" i="81"/>
  <c r="H74" i="81" s="1"/>
  <c r="G74" i="81"/>
  <c r="F27" i="33" s="1"/>
  <c r="T73" i="65"/>
  <c r="H16" i="76"/>
  <c r="H74" i="76" s="1"/>
  <c r="G74" i="76"/>
  <c r="F22" i="33" s="1"/>
  <c r="L16" i="75"/>
  <c r="L74" i="75" s="1"/>
  <c r="K74" i="75"/>
  <c r="H21" i="33" s="1"/>
  <c r="H16" i="82"/>
  <c r="H74" i="82" s="1"/>
  <c r="G74" i="82"/>
  <c r="F28" i="33" s="1"/>
  <c r="L16" i="77"/>
  <c r="L74" i="77" s="1"/>
  <c r="K74" i="77"/>
  <c r="H23" i="33" s="1"/>
  <c r="L73" i="73"/>
  <c r="T73" i="73"/>
  <c r="T73" i="68"/>
  <c r="T73" i="72"/>
  <c r="O167" i="12"/>
  <c r="M167" i="12"/>
  <c r="E34" i="19" s="1"/>
  <c r="F167" i="12"/>
  <c r="Q162" i="12"/>
  <c r="E314" i="52" s="1"/>
  <c r="F314" i="52" s="1"/>
  <c r="K162" i="12"/>
  <c r="E311" i="52" s="1"/>
  <c r="F311" i="52" s="1"/>
  <c r="Q157" i="12"/>
  <c r="E305" i="52" s="1"/>
  <c r="F305" i="52" s="1"/>
  <c r="K157" i="12"/>
  <c r="Q152" i="12"/>
  <c r="E296" i="52" s="1"/>
  <c r="F296" i="52" s="1"/>
  <c r="K152" i="12"/>
  <c r="Q147" i="12"/>
  <c r="E287" i="52" s="1"/>
  <c r="F287" i="52" s="1"/>
  <c r="K147" i="12"/>
  <c r="E284" i="52" s="1"/>
  <c r="F284" i="52" s="1"/>
  <c r="Q142" i="12"/>
  <c r="E278" i="52" s="1"/>
  <c r="F278" i="52" s="1"/>
  <c r="K142" i="12"/>
  <c r="E275" i="52" s="1"/>
  <c r="F275" i="52" s="1"/>
  <c r="Q137" i="12"/>
  <c r="E269" i="52" s="1"/>
  <c r="F269" i="52" s="1"/>
  <c r="K137" i="12"/>
  <c r="E266" i="52" s="1"/>
  <c r="F266" i="52" s="1"/>
  <c r="Q132" i="12"/>
  <c r="E260" i="52" s="1"/>
  <c r="F260" i="52" s="1"/>
  <c r="K132" i="12"/>
  <c r="E257" i="52" s="1"/>
  <c r="F257" i="52" s="1"/>
  <c r="Q127" i="12"/>
  <c r="E251" i="52" s="1"/>
  <c r="F251" i="52" s="1"/>
  <c r="K127" i="12"/>
  <c r="E248" i="52" s="1"/>
  <c r="F248" i="52" s="1"/>
  <c r="E242" i="52"/>
  <c r="F242" i="52" s="1"/>
  <c r="E233" i="52"/>
  <c r="F233" i="52" s="1"/>
  <c r="E230" i="52"/>
  <c r="F230" i="52" s="1"/>
  <c r="E224" i="52"/>
  <c r="F224" i="52" s="1"/>
  <c r="E221" i="52"/>
  <c r="F221" i="52" s="1"/>
  <c r="E215" i="52"/>
  <c r="F215" i="52" s="1"/>
  <c r="E212" i="52"/>
  <c r="F212" i="52" s="1"/>
  <c r="E206" i="52"/>
  <c r="F206" i="52" s="1"/>
  <c r="E197" i="52"/>
  <c r="F197" i="52" s="1"/>
  <c r="E194" i="52"/>
  <c r="F194" i="52" s="1"/>
  <c r="E188" i="52"/>
  <c r="F188" i="52" s="1"/>
  <c r="E185" i="52"/>
  <c r="F185" i="52" s="1"/>
  <c r="E179" i="52"/>
  <c r="F179" i="52" s="1"/>
  <c r="E176" i="52"/>
  <c r="F176" i="52" s="1"/>
  <c r="E170" i="52"/>
  <c r="F170" i="52" s="1"/>
  <c r="E161" i="52"/>
  <c r="F161" i="52" s="1"/>
  <c r="E158" i="52"/>
  <c r="F158" i="52" s="1"/>
  <c r="E152" i="52"/>
  <c r="F152" i="52" s="1"/>
  <c r="E149" i="52"/>
  <c r="F149" i="52" s="1"/>
  <c r="E143" i="52"/>
  <c r="F143" i="52" s="1"/>
  <c r="E140" i="52"/>
  <c r="F140" i="52" s="1"/>
  <c r="E134" i="52"/>
  <c r="F134" i="52" s="1"/>
  <c r="E125" i="52"/>
  <c r="F125" i="52" s="1"/>
  <c r="E116" i="52"/>
  <c r="F116" i="52" s="1"/>
  <c r="E113" i="52"/>
  <c r="F113" i="52" s="1"/>
  <c r="E107" i="52"/>
  <c r="F107" i="52" s="1"/>
  <c r="E104" i="52"/>
  <c r="F104" i="52" s="1"/>
  <c r="E98" i="52"/>
  <c r="F98" i="52" s="1"/>
  <c r="E89" i="52"/>
  <c r="F89" i="52" s="1"/>
  <c r="E80" i="52"/>
  <c r="F80" i="52" s="1"/>
  <c r="E77" i="52"/>
  <c r="F77" i="52" s="1"/>
  <c r="K177" i="12"/>
  <c r="K178" i="12"/>
  <c r="K179" i="12"/>
  <c r="K180" i="12"/>
  <c r="K181" i="12"/>
  <c r="K182" i="12"/>
  <c r="K183" i="12"/>
  <c r="L183" i="12"/>
  <c r="L178" i="12"/>
  <c r="L179" i="12"/>
  <c r="L177" i="12"/>
  <c r="L176" i="12"/>
  <c r="L175" i="12"/>
  <c r="E71" i="52"/>
  <c r="F71" i="52" s="1"/>
  <c r="E68" i="52"/>
  <c r="F68" i="52" s="1"/>
  <c r="E62" i="52"/>
  <c r="F62" i="52" s="1"/>
  <c r="E59" i="52"/>
  <c r="F59" i="52" s="1"/>
  <c r="I24" i="33" l="1"/>
  <c r="F76" i="81"/>
  <c r="D26" i="52" s="1"/>
  <c r="H75" i="73"/>
  <c r="F76" i="74"/>
  <c r="D19" i="52" s="1"/>
  <c r="F76" i="75"/>
  <c r="D20" i="52" s="1"/>
  <c r="H75" i="67"/>
  <c r="F76" i="82"/>
  <c r="D27" i="52" s="1"/>
  <c r="F27" i="52" s="1"/>
  <c r="H75" i="71"/>
  <c r="I23" i="33"/>
  <c r="F76" i="76"/>
  <c r="D21" i="52" s="1"/>
  <c r="H75" i="66"/>
  <c r="H75" i="72"/>
  <c r="H75" i="48"/>
  <c r="I25" i="33"/>
  <c r="H75" i="65"/>
  <c r="F76" i="78"/>
  <c r="D23" i="52" s="1"/>
  <c r="H75" i="69"/>
  <c r="F76" i="79"/>
  <c r="D24" i="52" s="1"/>
  <c r="I22" i="33"/>
  <c r="I20" i="33"/>
  <c r="F76" i="80"/>
  <c r="D25" i="52" s="1"/>
  <c r="I27" i="33"/>
  <c r="I21" i="33"/>
  <c r="I26" i="33"/>
  <c r="H75" i="68"/>
  <c r="F76" i="77"/>
  <c r="D22" i="52" s="1"/>
  <c r="I28" i="33"/>
  <c r="H75" i="70"/>
  <c r="E29" i="52"/>
  <c r="E122" i="52"/>
  <c r="F122" i="52" s="1"/>
  <c r="L157" i="12"/>
  <c r="E302" i="52"/>
  <c r="F302" i="52" s="1"/>
  <c r="E95" i="52"/>
  <c r="F95" i="52" s="1"/>
  <c r="E131" i="52"/>
  <c r="F131" i="52" s="1"/>
  <c r="E167" i="52"/>
  <c r="F167" i="52" s="1"/>
  <c r="E203" i="52"/>
  <c r="F203" i="52" s="1"/>
  <c r="E239" i="52"/>
  <c r="F239" i="52" s="1"/>
  <c r="L152" i="12"/>
  <c r="E293" i="52"/>
  <c r="F293" i="52" s="1"/>
  <c r="E50" i="52"/>
  <c r="F50" i="52" s="1"/>
  <c r="E55" i="52"/>
  <c r="F55" i="52" s="1"/>
  <c r="E163" i="52"/>
  <c r="F163" i="52" s="1"/>
  <c r="E199" i="52"/>
  <c r="F199" i="52" s="1"/>
  <c r="E235" i="52"/>
  <c r="F235" i="52" s="1"/>
  <c r="P137" i="12"/>
  <c r="E271" i="52" s="1"/>
  <c r="F271" i="52" s="1"/>
  <c r="L137" i="12"/>
  <c r="P142" i="12"/>
  <c r="E280" i="52" s="1"/>
  <c r="F280" i="52" s="1"/>
  <c r="L142" i="12"/>
  <c r="P162" i="12"/>
  <c r="E316" i="52" s="1"/>
  <c r="F316" i="52" s="1"/>
  <c r="L162" i="12"/>
  <c r="E73" i="52"/>
  <c r="F73" i="52" s="1"/>
  <c r="E108" i="52"/>
  <c r="F108" i="52" s="1"/>
  <c r="E145" i="52"/>
  <c r="F145" i="52" s="1"/>
  <c r="E181" i="52"/>
  <c r="F181" i="52" s="1"/>
  <c r="E216" i="52"/>
  <c r="F216" i="52" s="1"/>
  <c r="N127" i="12"/>
  <c r="E252" i="52" s="1"/>
  <c r="F252" i="52" s="1"/>
  <c r="L127" i="12"/>
  <c r="P147" i="12"/>
  <c r="E289" i="52" s="1"/>
  <c r="F289" i="52" s="1"/>
  <c r="L147" i="12"/>
  <c r="E64" i="52"/>
  <c r="F64" i="52" s="1"/>
  <c r="E82" i="52"/>
  <c r="F82" i="52" s="1"/>
  <c r="E118" i="52"/>
  <c r="F118" i="52" s="1"/>
  <c r="E154" i="52"/>
  <c r="F154" i="52" s="1"/>
  <c r="E189" i="52"/>
  <c r="F189" i="52" s="1"/>
  <c r="E225" i="52"/>
  <c r="F225" i="52" s="1"/>
  <c r="N132" i="12"/>
  <c r="E261" i="52" s="1"/>
  <c r="F261" i="52" s="1"/>
  <c r="L132" i="12"/>
  <c r="M175" i="12"/>
  <c r="N175" i="12" s="1"/>
  <c r="E217" i="52"/>
  <c r="F217" i="52" s="1"/>
  <c r="E110" i="52"/>
  <c r="F110" i="52" s="1"/>
  <c r="R137" i="12"/>
  <c r="E272" i="52" s="1"/>
  <c r="F272" i="52" s="1"/>
  <c r="P157" i="12"/>
  <c r="E307" i="52" s="1"/>
  <c r="F307" i="52" s="1"/>
  <c r="E173" i="52"/>
  <c r="F173" i="52" s="1"/>
  <c r="E245" i="52"/>
  <c r="F245" i="52" s="1"/>
  <c r="R132" i="12"/>
  <c r="E263" i="52" s="1"/>
  <c r="F263" i="52" s="1"/>
  <c r="N157" i="12"/>
  <c r="E306" i="52" s="1"/>
  <c r="F306" i="52" s="1"/>
  <c r="P132" i="12"/>
  <c r="E262" i="52" s="1"/>
  <c r="F262" i="52" s="1"/>
  <c r="E218" i="52"/>
  <c r="F218" i="52" s="1"/>
  <c r="E200" i="52"/>
  <c r="F200" i="52" s="1"/>
  <c r="E190" i="52"/>
  <c r="F190" i="52" s="1"/>
  <c r="E191" i="52"/>
  <c r="F191" i="52" s="1"/>
  <c r="E172" i="52"/>
  <c r="F172" i="52" s="1"/>
  <c r="E92" i="52"/>
  <c r="F92" i="52" s="1"/>
  <c r="E180" i="52"/>
  <c r="F180" i="52" s="1"/>
  <c r="E227" i="52"/>
  <c r="F227" i="52" s="1"/>
  <c r="P127" i="12"/>
  <c r="E253" i="52" s="1"/>
  <c r="F253" i="52" s="1"/>
  <c r="R142" i="12"/>
  <c r="E281" i="52" s="1"/>
  <c r="F281" i="52" s="1"/>
  <c r="E182" i="52"/>
  <c r="F182" i="52" s="1"/>
  <c r="E137" i="52"/>
  <c r="F137" i="52" s="1"/>
  <c r="E164" i="52"/>
  <c r="F164" i="52" s="1"/>
  <c r="E209" i="52"/>
  <c r="F209" i="52" s="1"/>
  <c r="E226" i="52"/>
  <c r="F226" i="52" s="1"/>
  <c r="E236" i="52"/>
  <c r="F236" i="52" s="1"/>
  <c r="R127" i="12"/>
  <c r="E254" i="52" s="1"/>
  <c r="F254" i="52" s="1"/>
  <c r="E109" i="52"/>
  <c r="F109" i="52" s="1"/>
  <c r="E99" i="52"/>
  <c r="F99" i="52" s="1"/>
  <c r="E144" i="52"/>
  <c r="F144" i="52" s="1"/>
  <c r="R157" i="12"/>
  <c r="E308" i="52" s="1"/>
  <c r="F308" i="52" s="1"/>
  <c r="E100" i="52"/>
  <c r="F100" i="52" s="1"/>
  <c r="E119" i="52"/>
  <c r="F119" i="52" s="1"/>
  <c r="E208" i="52"/>
  <c r="F208" i="52" s="1"/>
  <c r="E244" i="52"/>
  <c r="F244" i="52" s="1"/>
  <c r="R147" i="12"/>
  <c r="E290" i="52" s="1"/>
  <c r="F290" i="52" s="1"/>
  <c r="E101" i="52"/>
  <c r="F101" i="52" s="1"/>
  <c r="E128" i="52"/>
  <c r="F128" i="52" s="1"/>
  <c r="E146" i="52"/>
  <c r="F146" i="52" s="1"/>
  <c r="N152" i="12"/>
  <c r="E297" i="52" s="1"/>
  <c r="F297" i="52" s="1"/>
  <c r="E83" i="52"/>
  <c r="F83" i="52" s="1"/>
  <c r="E155" i="52"/>
  <c r="F155" i="52" s="1"/>
  <c r="R152" i="12"/>
  <c r="E299" i="52" s="1"/>
  <c r="F299" i="52" s="1"/>
  <c r="K167" i="12"/>
  <c r="E28" i="52" s="1"/>
  <c r="F28" i="52" s="1"/>
  <c r="R162" i="12"/>
  <c r="E317" i="52" s="1"/>
  <c r="F317" i="52" s="1"/>
  <c r="P152" i="12"/>
  <c r="E298" i="52" s="1"/>
  <c r="F298" i="52" s="1"/>
  <c r="N147" i="12"/>
  <c r="E288" i="52" s="1"/>
  <c r="F288" i="52" s="1"/>
  <c r="N142" i="12"/>
  <c r="E279" i="52" s="1"/>
  <c r="F279" i="52" s="1"/>
  <c r="N162" i="12"/>
  <c r="E315" i="52" s="1"/>
  <c r="F315" i="52" s="1"/>
  <c r="M177" i="12"/>
  <c r="N177" i="12" s="1"/>
  <c r="N137" i="12"/>
  <c r="E270" i="52" s="1"/>
  <c r="F270" i="52" s="1"/>
  <c r="E171" i="52"/>
  <c r="F171" i="52" s="1"/>
  <c r="E207" i="52"/>
  <c r="F207" i="52" s="1"/>
  <c r="E243" i="52"/>
  <c r="F243" i="52" s="1"/>
  <c r="E162" i="52"/>
  <c r="F162" i="52" s="1"/>
  <c r="E198" i="52"/>
  <c r="F198" i="52" s="1"/>
  <c r="E234" i="52"/>
  <c r="F234" i="52" s="1"/>
  <c r="E135" i="52"/>
  <c r="F135" i="52" s="1"/>
  <c r="E136" i="52"/>
  <c r="F136" i="52" s="1"/>
  <c r="M176" i="12"/>
  <c r="N176" i="12" s="1"/>
  <c r="E127" i="52"/>
  <c r="F127" i="52" s="1"/>
  <c r="E126" i="52"/>
  <c r="F126" i="52" s="1"/>
  <c r="E117" i="52"/>
  <c r="F117" i="52" s="1"/>
  <c r="E153" i="52"/>
  <c r="F153" i="52" s="1"/>
  <c r="E91" i="52"/>
  <c r="F91" i="52" s="1"/>
  <c r="E81" i="52"/>
  <c r="F81" i="52" s="1"/>
  <c r="M179" i="12"/>
  <c r="N179" i="12" s="1"/>
  <c r="M178" i="12"/>
  <c r="N178" i="12" s="1"/>
  <c r="E90" i="52"/>
  <c r="F90" i="52" s="1"/>
  <c r="M183" i="12"/>
  <c r="N183" i="12" s="1"/>
  <c r="E65" i="52"/>
  <c r="F65" i="52" s="1"/>
  <c r="E74" i="52"/>
  <c r="F74" i="52" s="1"/>
  <c r="E63" i="52"/>
  <c r="F63" i="52" s="1"/>
  <c r="E72" i="52"/>
  <c r="F72" i="52" s="1"/>
  <c r="E54" i="52"/>
  <c r="F54" i="52" s="1"/>
  <c r="J63" i="2"/>
  <c r="J64" i="2"/>
  <c r="J65" i="2"/>
  <c r="J76" i="2"/>
  <c r="J47" i="2"/>
  <c r="F78" i="2" l="1"/>
  <c r="G78" i="2"/>
  <c r="H78" i="2"/>
  <c r="I78" i="2"/>
  <c r="E78" i="2"/>
  <c r="J83" i="2"/>
  <c r="J84" i="2"/>
  <c r="J62" i="2"/>
  <c r="J77" i="2" l="1"/>
  <c r="J82" i="2"/>
  <c r="J73" i="2"/>
  <c r="J54" i="2"/>
  <c r="D15" i="2"/>
  <c r="A29" i="28" l="1"/>
  <c r="A30" i="28" s="1"/>
  <c r="A30" i="20"/>
  <c r="J36" i="2" l="1"/>
  <c r="J35" i="2"/>
  <c r="J27" i="2"/>
  <c r="I30" i="2"/>
  <c r="H30" i="2"/>
  <c r="G30" i="2"/>
  <c r="F30" i="2"/>
  <c r="E30" i="2"/>
  <c r="J19" i="2"/>
  <c r="J18" i="2"/>
  <c r="F16" i="28"/>
  <c r="F17" i="28"/>
  <c r="F18" i="28"/>
  <c r="F19" i="28"/>
  <c r="F20" i="28"/>
  <c r="F21" i="28"/>
  <c r="F29" i="28" s="1"/>
  <c r="F22" i="28"/>
  <c r="F23" i="28"/>
  <c r="F24" i="28"/>
  <c r="F30" i="28" s="1"/>
  <c r="F15" i="28"/>
  <c r="A21" i="20"/>
  <c r="A22" i="20" s="1"/>
  <c r="A23" i="20" s="1"/>
  <c r="A24" i="20" s="1"/>
  <c r="A25" i="20" s="1"/>
  <c r="J73" i="16"/>
  <c r="G17" i="19" s="1"/>
  <c r="F73" i="16"/>
  <c r="E17" i="19" s="1"/>
  <c r="J73" i="23"/>
  <c r="G16" i="19" s="1"/>
  <c r="F73" i="23"/>
  <c r="J73" i="18"/>
  <c r="G15" i="19" s="1"/>
  <c r="F73" i="18"/>
  <c r="E15" i="19" s="1"/>
  <c r="F28" i="28" l="1"/>
  <c r="F88" i="2" s="1"/>
  <c r="F89" i="2" s="1"/>
  <c r="G28" i="19"/>
  <c r="H88" i="2"/>
  <c r="H89" i="2" s="1"/>
  <c r="P89" i="40"/>
  <c r="P90" i="40" s="1"/>
  <c r="G88" i="2"/>
  <c r="G89" i="2" s="1"/>
  <c r="M89" i="40"/>
  <c r="M90" i="40" s="1"/>
  <c r="E16" i="19"/>
  <c r="E28" i="19" s="1"/>
  <c r="F25" i="28"/>
  <c r="E14" i="52" s="1"/>
  <c r="F14" i="52" s="1"/>
  <c r="J38" i="2"/>
  <c r="J30" i="2"/>
  <c r="F27" i="28"/>
  <c r="J89" i="40" l="1"/>
  <c r="J90" i="40" s="1"/>
  <c r="G89" i="40"/>
  <c r="E88" i="2"/>
  <c r="F31" i="28"/>
  <c r="A16" i="28"/>
  <c r="A17" i="28" s="1"/>
  <c r="A18" i="28" s="1"/>
  <c r="A19" i="28" s="1"/>
  <c r="A20" i="28" s="1"/>
  <c r="A21" i="28" s="1"/>
  <c r="A22" i="28" s="1"/>
  <c r="A23" i="28" s="1"/>
  <c r="A24" i="28" s="1"/>
  <c r="A25" i="28" s="1"/>
  <c r="I88" i="2" l="1"/>
  <c r="J88" i="2" s="1"/>
  <c r="G90" i="40"/>
  <c r="S89" i="40"/>
  <c r="S90" i="40" s="1"/>
  <c r="E89" i="2"/>
  <c r="J72" i="2"/>
  <c r="J71" i="2"/>
  <c r="J70" i="2"/>
  <c r="F67" i="2"/>
  <c r="G67" i="2"/>
  <c r="H67" i="2"/>
  <c r="I67" i="2"/>
  <c r="E67" i="2"/>
  <c r="J66" i="2"/>
  <c r="J75" i="2"/>
  <c r="J61" i="2"/>
  <c r="J60" i="2"/>
  <c r="J55" i="2"/>
  <c r="I57" i="2"/>
  <c r="H57" i="2"/>
  <c r="G57" i="2"/>
  <c r="F57" i="2"/>
  <c r="E57" i="2"/>
  <c r="J56" i="2"/>
  <c r="J53" i="2"/>
  <c r="J44" i="2"/>
  <c r="J45" i="2"/>
  <c r="J46" i="2"/>
  <c r="J49" i="2"/>
  <c r="J43" i="2"/>
  <c r="F50" i="2"/>
  <c r="G50" i="2"/>
  <c r="H50" i="2"/>
  <c r="I50" i="2"/>
  <c r="E50" i="2"/>
  <c r="I20" i="2"/>
  <c r="H20" i="2"/>
  <c r="G20" i="2"/>
  <c r="F20" i="2"/>
  <c r="E20" i="2"/>
  <c r="H15" i="2"/>
  <c r="G15" i="2"/>
  <c r="F15" i="2"/>
  <c r="E15" i="2"/>
  <c r="I15" i="2"/>
  <c r="J29" i="2"/>
  <c r="D20" i="2"/>
  <c r="V89" i="40" l="1"/>
  <c r="V90" i="40"/>
  <c r="J15" i="2"/>
  <c r="J20" i="2"/>
  <c r="I89" i="2"/>
  <c r="J89" i="2" s="1"/>
  <c r="J50" i="2"/>
  <c r="J78" i="2"/>
  <c r="J67" i="2"/>
  <c r="J57" i="2"/>
  <c r="H197" i="22" l="1"/>
  <c r="E31" i="52" s="1"/>
  <c r="F31" i="52" s="1"/>
  <c r="D197" i="22"/>
  <c r="E30" i="52" s="1"/>
  <c r="F30" i="52" s="1"/>
  <c r="J196" i="22"/>
  <c r="F196" i="22"/>
  <c r="J195" i="22"/>
  <c r="F195" i="22"/>
  <c r="J194" i="22"/>
  <c r="F194" i="22"/>
  <c r="J193" i="22"/>
  <c r="F193" i="22"/>
  <c r="J192" i="22"/>
  <c r="F192" i="22"/>
  <c r="J191" i="22"/>
  <c r="F191" i="22"/>
  <c r="J190" i="22"/>
  <c r="F190" i="22"/>
  <c r="J189" i="22"/>
  <c r="F189" i="22"/>
  <c r="J188" i="22"/>
  <c r="F188" i="22"/>
  <c r="J187" i="22"/>
  <c r="F187" i="22"/>
  <c r="J186" i="22"/>
  <c r="F186" i="22"/>
  <c r="J185" i="22"/>
  <c r="F185" i="22"/>
  <c r="J184" i="22"/>
  <c r="F184" i="22"/>
  <c r="J183" i="22"/>
  <c r="F183" i="22"/>
  <c r="J182" i="22"/>
  <c r="F182" i="22"/>
  <c r="J181" i="22"/>
  <c r="F181" i="22"/>
  <c r="J180" i="22"/>
  <c r="F180" i="22"/>
  <c r="J179" i="22"/>
  <c r="F179" i="22"/>
  <c r="J178" i="22"/>
  <c r="F178" i="22"/>
  <c r="J177" i="22"/>
  <c r="F177" i="22"/>
  <c r="J176" i="22"/>
  <c r="F176" i="22"/>
  <c r="J175" i="22"/>
  <c r="F175" i="22"/>
  <c r="J174" i="22"/>
  <c r="F174" i="22"/>
  <c r="J173" i="22"/>
  <c r="F173" i="22"/>
  <c r="J172" i="22"/>
  <c r="F172" i="22"/>
  <c r="J171" i="22"/>
  <c r="F171" i="22"/>
  <c r="J170" i="22"/>
  <c r="F170" i="22"/>
  <c r="J169" i="22"/>
  <c r="F169" i="22"/>
  <c r="J168" i="22"/>
  <c r="F168" i="22"/>
  <c r="J167" i="22"/>
  <c r="F167" i="22"/>
  <c r="J166" i="22"/>
  <c r="F166" i="22"/>
  <c r="J165" i="22"/>
  <c r="F165" i="22"/>
  <c r="J164" i="22"/>
  <c r="F164" i="22"/>
  <c r="J163" i="22"/>
  <c r="F163" i="22"/>
  <c r="J162" i="22"/>
  <c r="F162" i="22"/>
  <c r="J161" i="22"/>
  <c r="F161" i="22"/>
  <c r="J160" i="22"/>
  <c r="F160" i="22"/>
  <c r="J159" i="22"/>
  <c r="F159" i="22"/>
  <c r="J158" i="22"/>
  <c r="F158" i="22"/>
  <c r="J157" i="22"/>
  <c r="F157" i="22"/>
  <c r="J156" i="22"/>
  <c r="F156" i="22"/>
  <c r="J155" i="22"/>
  <c r="F155" i="22"/>
  <c r="J154" i="22"/>
  <c r="F154" i="22"/>
  <c r="J153" i="22"/>
  <c r="F153" i="22"/>
  <c r="J152" i="22"/>
  <c r="F152" i="22"/>
  <c r="J150" i="22"/>
  <c r="F150" i="22"/>
  <c r="J149" i="22"/>
  <c r="F149" i="22"/>
  <c r="J148" i="22"/>
  <c r="F148" i="22"/>
  <c r="J147" i="22"/>
  <c r="F147" i="22"/>
  <c r="J146" i="22"/>
  <c r="F146" i="22"/>
  <c r="J145" i="22"/>
  <c r="F145" i="22"/>
  <c r="J144" i="22"/>
  <c r="F144" i="22"/>
  <c r="J143" i="22"/>
  <c r="F143" i="22"/>
  <c r="J142" i="22"/>
  <c r="F142" i="22"/>
  <c r="J141" i="22"/>
  <c r="F141" i="22"/>
  <c r="J140" i="22"/>
  <c r="F140" i="22"/>
  <c r="J139" i="22"/>
  <c r="F139" i="22"/>
  <c r="J138" i="22"/>
  <c r="F138" i="22"/>
  <c r="J137" i="22"/>
  <c r="F137" i="22"/>
  <c r="J136" i="22"/>
  <c r="F136" i="22"/>
  <c r="J135" i="22"/>
  <c r="F135" i="22"/>
  <c r="J134" i="22"/>
  <c r="F134" i="22"/>
  <c r="J133" i="22"/>
  <c r="F133" i="22"/>
  <c r="J132" i="22"/>
  <c r="F132" i="22"/>
  <c r="J131" i="22"/>
  <c r="F131" i="22"/>
  <c r="J130" i="22"/>
  <c r="F130" i="22"/>
  <c r="J129" i="22"/>
  <c r="F129" i="22"/>
  <c r="J128" i="22"/>
  <c r="F128" i="22"/>
  <c r="J127" i="22"/>
  <c r="F127" i="22"/>
  <c r="J126" i="22"/>
  <c r="F126" i="22"/>
  <c r="J125" i="22"/>
  <c r="F125" i="22"/>
  <c r="J124" i="22"/>
  <c r="F124" i="22"/>
  <c r="J123" i="22"/>
  <c r="F123" i="22"/>
  <c r="J122" i="22"/>
  <c r="F122" i="22"/>
  <c r="J121" i="22"/>
  <c r="F121" i="22"/>
  <c r="J120" i="22"/>
  <c r="F120" i="22"/>
  <c r="J119" i="22"/>
  <c r="F119" i="22"/>
  <c r="J118" i="22"/>
  <c r="F118" i="22"/>
  <c r="J117" i="22"/>
  <c r="F117" i="22"/>
  <c r="J116" i="22"/>
  <c r="F116" i="22"/>
  <c r="J115" i="22"/>
  <c r="F115" i="22"/>
  <c r="J114" i="22"/>
  <c r="F114" i="22"/>
  <c r="J113" i="22"/>
  <c r="F113" i="22"/>
  <c r="J112" i="22"/>
  <c r="F112" i="22"/>
  <c r="J111" i="22"/>
  <c r="F111" i="22"/>
  <c r="J110" i="22"/>
  <c r="F110" i="22"/>
  <c r="J109" i="22"/>
  <c r="F109" i="22"/>
  <c r="J108" i="22"/>
  <c r="F108" i="22"/>
  <c r="J107" i="22"/>
  <c r="F107" i="22"/>
  <c r="J106" i="22"/>
  <c r="F106" i="22"/>
  <c r="J105" i="22"/>
  <c r="F105" i="22"/>
  <c r="J104" i="22"/>
  <c r="F104" i="22"/>
  <c r="J103" i="22"/>
  <c r="F103" i="22"/>
  <c r="J102" i="22"/>
  <c r="F102" i="22"/>
  <c r="J101" i="22"/>
  <c r="F101" i="22"/>
  <c r="J100" i="22"/>
  <c r="F100" i="22"/>
  <c r="J99" i="22"/>
  <c r="F99" i="22"/>
  <c r="J98" i="22"/>
  <c r="F98" i="22"/>
  <c r="J97" i="22"/>
  <c r="F97" i="22"/>
  <c r="J96" i="22"/>
  <c r="F96" i="22"/>
  <c r="J95" i="22"/>
  <c r="F95" i="22"/>
  <c r="J94" i="22"/>
  <c r="F94" i="22"/>
  <c r="J93" i="22"/>
  <c r="F93" i="22"/>
  <c r="J92" i="22"/>
  <c r="F92" i="22"/>
  <c r="J91" i="22"/>
  <c r="F91" i="22"/>
  <c r="J90" i="22"/>
  <c r="F90" i="22"/>
  <c r="J89" i="22"/>
  <c r="F89" i="22"/>
  <c r="J88" i="22"/>
  <c r="F88" i="22"/>
  <c r="J87" i="22"/>
  <c r="F87" i="22"/>
  <c r="J86" i="22"/>
  <c r="F86" i="22"/>
  <c r="J85" i="22"/>
  <c r="F85" i="22"/>
  <c r="J84" i="22"/>
  <c r="F84" i="22"/>
  <c r="J83" i="22"/>
  <c r="F83" i="22"/>
  <c r="J82" i="22"/>
  <c r="F82" i="22"/>
  <c r="J81" i="22"/>
  <c r="F81" i="22"/>
  <c r="J80" i="22"/>
  <c r="F80" i="22"/>
  <c r="J79" i="22"/>
  <c r="F79" i="22"/>
  <c r="J78" i="22"/>
  <c r="F78" i="22"/>
  <c r="J77" i="22"/>
  <c r="F77" i="22"/>
  <c r="J76" i="22"/>
  <c r="F76" i="22"/>
  <c r="J75" i="22"/>
  <c r="F75" i="22"/>
  <c r="J74" i="22"/>
  <c r="F74" i="22"/>
  <c r="J73" i="22"/>
  <c r="F73" i="22"/>
  <c r="J72" i="22"/>
  <c r="F72" i="22"/>
  <c r="J71" i="22"/>
  <c r="F71" i="22"/>
  <c r="J70" i="22"/>
  <c r="F70" i="22"/>
  <c r="J69" i="22"/>
  <c r="F69" i="22"/>
  <c r="J68" i="22"/>
  <c r="F68" i="22"/>
  <c r="J67" i="22"/>
  <c r="F67" i="22"/>
  <c r="J66" i="22"/>
  <c r="F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F20" i="22"/>
  <c r="J19" i="22"/>
  <c r="J18" i="22"/>
  <c r="F18" i="22"/>
  <c r="F197" i="22" l="1"/>
  <c r="F8" i="22" s="1"/>
  <c r="E37" i="52" s="1"/>
  <c r="F37" i="52" s="1"/>
  <c r="J197" i="22"/>
  <c r="F9" i="22" s="1"/>
  <c r="E38" i="52" s="1"/>
  <c r="F38" i="52" s="1"/>
  <c r="F10" i="22" l="1"/>
  <c r="M170" i="12" l="1"/>
  <c r="H30" i="20"/>
  <c r="H29" i="20"/>
  <c r="H21" i="20"/>
  <c r="H27" i="20" s="1"/>
  <c r="H22" i="20"/>
  <c r="H28" i="20" s="1"/>
  <c r="H23" i="20"/>
  <c r="H24" i="20"/>
  <c r="F23" i="2" l="1"/>
  <c r="F24" i="2" s="1"/>
  <c r="J24" i="40"/>
  <c r="J25" i="40" s="1"/>
  <c r="J33" i="40" s="1"/>
  <c r="J41" i="40" s="1"/>
  <c r="G23" i="2"/>
  <c r="G24" i="2" s="1"/>
  <c r="M24" i="40"/>
  <c r="M25" i="40" s="1"/>
  <c r="M33" i="40" s="1"/>
  <c r="M41" i="40" s="1"/>
  <c r="M92" i="40" s="1"/>
  <c r="M96" i="40" s="1"/>
  <c r="E23" i="2"/>
  <c r="E24" i="2" s="1"/>
  <c r="E32" i="2" s="1"/>
  <c r="G24" i="40"/>
  <c r="H23" i="2"/>
  <c r="H24" i="2" s="1"/>
  <c r="P24" i="40"/>
  <c r="P25" i="40" s="1"/>
  <c r="P33" i="40" s="1"/>
  <c r="P41" i="40" s="1"/>
  <c r="P92" i="40" s="1"/>
  <c r="P96" i="40" s="1"/>
  <c r="H25" i="20"/>
  <c r="J92" i="40" l="1"/>
  <c r="J96" i="40" s="1"/>
  <c r="J99" i="40" s="1"/>
  <c r="S24" i="40"/>
  <c r="S25" i="40" s="1"/>
  <c r="S33" i="40" s="1"/>
  <c r="S41" i="40" s="1"/>
  <c r="S92" i="40" s="1"/>
  <c r="S96" i="40" s="1"/>
  <c r="H31" i="20"/>
  <c r="E13" i="52"/>
  <c r="F13" i="52" s="1"/>
  <c r="I23" i="2"/>
  <c r="I24" i="2" s="1"/>
  <c r="I32" i="2" s="1"/>
  <c r="I40" i="2" s="1"/>
  <c r="G25" i="40"/>
  <c r="G33" i="40" s="1"/>
  <c r="H32" i="2"/>
  <c r="H40" i="2" s="1"/>
  <c r="G32" i="2"/>
  <c r="G40" i="2" s="1"/>
  <c r="F32" i="2"/>
  <c r="F40" i="2" s="1"/>
  <c r="J24" i="2" l="1"/>
  <c r="J23" i="2"/>
  <c r="E56" i="52"/>
  <c r="F56" i="52" s="1"/>
  <c r="E53" i="52"/>
  <c r="F53" i="52" s="1"/>
  <c r="V24" i="40"/>
  <c r="V25" i="40"/>
  <c r="I91" i="2"/>
  <c r="R171" i="38" s="1"/>
  <c r="R172" i="38" s="1"/>
  <c r="R173" i="38" s="1"/>
  <c r="F91" i="2"/>
  <c r="G91" i="2"/>
  <c r="H91" i="2"/>
  <c r="E40" i="2"/>
  <c r="E91" i="2" s="1"/>
  <c r="J32" i="2"/>
  <c r="F95" i="2" l="1"/>
  <c r="E29" i="19"/>
  <c r="E30" i="19" s="1"/>
  <c r="H95" i="2"/>
  <c r="G29" i="19"/>
  <c r="G30" i="19" s="1"/>
  <c r="D11" i="39"/>
  <c r="F13" i="39" s="1"/>
  <c r="K152" i="39" s="1"/>
  <c r="G95" i="2"/>
  <c r="E35" i="19" s="1"/>
  <c r="P169" i="38"/>
  <c r="P171" i="38" s="1"/>
  <c r="P172" i="38" s="1"/>
  <c r="P173" i="38" s="1"/>
  <c r="M172" i="50"/>
  <c r="G41" i="40"/>
  <c r="V33" i="40"/>
  <c r="E103" i="2"/>
  <c r="J91" i="2"/>
  <c r="I95" i="2"/>
  <c r="J40" i="2"/>
  <c r="P167" i="12"/>
  <c r="L167" i="12"/>
  <c r="G15" i="16" l="1"/>
  <c r="H15" i="16" s="1"/>
  <c r="G16" i="16"/>
  <c r="H16" i="16" s="1"/>
  <c r="G17" i="16"/>
  <c r="H17" i="16" s="1"/>
  <c r="G18" i="16"/>
  <c r="H18" i="16" s="1"/>
  <c r="D8" i="51"/>
  <c r="D10" i="51" s="1"/>
  <c r="H12" i="51" s="1"/>
  <c r="J117" i="51" s="1"/>
  <c r="E42" i="52"/>
  <c r="F42" i="52" s="1"/>
  <c r="D8" i="22"/>
  <c r="E35" i="52"/>
  <c r="F35" i="52" s="1"/>
  <c r="F98" i="2"/>
  <c r="M8" i="51"/>
  <c r="M10" i="51" s="1"/>
  <c r="Q12" i="51" s="1"/>
  <c r="I8" i="22"/>
  <c r="I10" i="22" s="1"/>
  <c r="K12" i="22" s="1"/>
  <c r="E45" i="52" s="1"/>
  <c r="F45" i="52" s="1"/>
  <c r="I15" i="46"/>
  <c r="K15" i="46" s="1"/>
  <c r="Q68" i="73"/>
  <c r="S68" i="73" s="1"/>
  <c r="Q44" i="73"/>
  <c r="S44" i="73" s="1"/>
  <c r="I35" i="73"/>
  <c r="K35" i="73" s="1"/>
  <c r="I19" i="73"/>
  <c r="K19" i="73" s="1"/>
  <c r="Q72" i="72"/>
  <c r="S72" i="72" s="1"/>
  <c r="Q60" i="72"/>
  <c r="S60" i="72" s="1"/>
  <c r="I47" i="72"/>
  <c r="K47" i="72" s="1"/>
  <c r="I36" i="72"/>
  <c r="K36" i="72" s="1"/>
  <c r="Q28" i="72"/>
  <c r="S28" i="72" s="1"/>
  <c r="Q20" i="72"/>
  <c r="S20" i="72" s="1"/>
  <c r="I67" i="71"/>
  <c r="K67" i="71" s="1"/>
  <c r="Q56" i="71"/>
  <c r="S56" i="71" s="1"/>
  <c r="I47" i="71"/>
  <c r="K47" i="71" s="1"/>
  <c r="I35" i="71"/>
  <c r="K35" i="71" s="1"/>
  <c r="I27" i="71"/>
  <c r="K27" i="71" s="1"/>
  <c r="Q16" i="71"/>
  <c r="S16" i="71" s="1"/>
  <c r="Q69" i="70"/>
  <c r="S69" i="70" s="1"/>
  <c r="Q47" i="70"/>
  <c r="S47" i="70" s="1"/>
  <c r="Q35" i="70"/>
  <c r="S35" i="70" s="1"/>
  <c r="Q25" i="70"/>
  <c r="S25" i="70" s="1"/>
  <c r="I16" i="70"/>
  <c r="K16" i="70" s="1"/>
  <c r="Q71" i="69"/>
  <c r="S71" i="69" s="1"/>
  <c r="I63" i="69"/>
  <c r="K63" i="69" s="1"/>
  <c r="I54" i="69"/>
  <c r="K54" i="69" s="1"/>
  <c r="I38" i="69"/>
  <c r="K38" i="69" s="1"/>
  <c r="Q27" i="69"/>
  <c r="S27" i="69" s="1"/>
  <c r="Q16" i="69"/>
  <c r="S16" i="69" s="1"/>
  <c r="Q71" i="68"/>
  <c r="S71" i="68" s="1"/>
  <c r="Q60" i="68"/>
  <c r="S60" i="68" s="1"/>
  <c r="I51" i="68"/>
  <c r="K51" i="68" s="1"/>
  <c r="I39" i="68"/>
  <c r="K39" i="68" s="1"/>
  <c r="Q28" i="68"/>
  <c r="S28" i="68" s="1"/>
  <c r="Q16" i="68"/>
  <c r="S16" i="68" s="1"/>
  <c r="Q72" i="67"/>
  <c r="S72" i="67" s="1"/>
  <c r="I66" i="67"/>
  <c r="K66" i="67" s="1"/>
  <c r="Q59" i="67"/>
  <c r="S59" i="67" s="1"/>
  <c r="Q52" i="67"/>
  <c r="S52" i="67" s="1"/>
  <c r="Q45" i="67"/>
  <c r="S45" i="67" s="1"/>
  <c r="Q39" i="67"/>
  <c r="S39" i="67" s="1"/>
  <c r="Q33" i="67"/>
  <c r="S33" i="67" s="1"/>
  <c r="Q26" i="67"/>
  <c r="S26" i="67" s="1"/>
  <c r="I18" i="67"/>
  <c r="K18" i="67" s="1"/>
  <c r="Q63" i="66"/>
  <c r="S63" i="66" s="1"/>
  <c r="Q54" i="66"/>
  <c r="S54" i="66" s="1"/>
  <c r="Q44" i="66"/>
  <c r="S44" i="66" s="1"/>
  <c r="Q26" i="66"/>
  <c r="S26" i="66" s="1"/>
  <c r="Q16" i="66"/>
  <c r="S16" i="66" s="1"/>
  <c r="Q71" i="71"/>
  <c r="S71" i="71" s="1"/>
  <c r="Q60" i="73"/>
  <c r="S60" i="73" s="1"/>
  <c r="Q52" i="73"/>
  <c r="S52" i="73" s="1"/>
  <c r="Q43" i="73"/>
  <c r="S43" i="73" s="1"/>
  <c r="Q31" i="73"/>
  <c r="S31" i="73" s="1"/>
  <c r="I72" i="72"/>
  <c r="K72" i="72" s="1"/>
  <c r="Q59" i="72"/>
  <c r="S59" i="72" s="1"/>
  <c r="Q35" i="72"/>
  <c r="S35" i="72" s="1"/>
  <c r="I28" i="72"/>
  <c r="K28" i="72" s="1"/>
  <c r="I20" i="72"/>
  <c r="K20" i="72" s="1"/>
  <c r="Q65" i="71"/>
  <c r="S65" i="71" s="1"/>
  <c r="Q55" i="71"/>
  <c r="S55" i="71" s="1"/>
  <c r="Q45" i="71"/>
  <c r="S45" i="71" s="1"/>
  <c r="I34" i="71"/>
  <c r="K34" i="71" s="1"/>
  <c r="I26" i="71"/>
  <c r="K26" i="71" s="1"/>
  <c r="I15" i="71"/>
  <c r="I69" i="70"/>
  <c r="K69" i="70" s="1"/>
  <c r="Q45" i="70"/>
  <c r="S45" i="70" s="1"/>
  <c r="Q33" i="70"/>
  <c r="S33" i="70" s="1"/>
  <c r="Q24" i="70"/>
  <c r="S24" i="70" s="1"/>
  <c r="Q15" i="70"/>
  <c r="I71" i="69"/>
  <c r="K71" i="69" s="1"/>
  <c r="Q62" i="69"/>
  <c r="S62" i="69" s="1"/>
  <c r="I46" i="69"/>
  <c r="K46" i="69" s="1"/>
  <c r="I26" i="69"/>
  <c r="K26" i="69" s="1"/>
  <c r="Q15" i="69"/>
  <c r="S15" i="69" s="1"/>
  <c r="I71" i="68"/>
  <c r="K71" i="68" s="1"/>
  <c r="Q59" i="68"/>
  <c r="S59" i="68" s="1"/>
  <c r="Q27" i="68"/>
  <c r="S27" i="68" s="1"/>
  <c r="Q15" i="68"/>
  <c r="I72" i="67"/>
  <c r="K72" i="67" s="1"/>
  <c r="Q65" i="67"/>
  <c r="S65" i="67" s="1"/>
  <c r="Q58" i="67"/>
  <c r="S58" i="67" s="1"/>
  <c r="I52" i="67"/>
  <c r="K52" i="67" s="1"/>
  <c r="Q44" i="67"/>
  <c r="S44" i="67" s="1"/>
  <c r="Q38" i="67"/>
  <c r="S38" i="67" s="1"/>
  <c r="I26" i="67"/>
  <c r="K26" i="67" s="1"/>
  <c r="Q17" i="67"/>
  <c r="S17" i="67" s="1"/>
  <c r="Q72" i="66"/>
  <c r="S72" i="66" s="1"/>
  <c r="Q62" i="66"/>
  <c r="S62" i="66" s="1"/>
  <c r="Q52" i="66"/>
  <c r="S52" i="66" s="1"/>
  <c r="Q43" i="66"/>
  <c r="S43" i="66" s="1"/>
  <c r="I35" i="66"/>
  <c r="K35" i="66" s="1"/>
  <c r="Q15" i="66"/>
  <c r="Q72" i="73"/>
  <c r="S72" i="73" s="1"/>
  <c r="Q67" i="73"/>
  <c r="S67" i="73" s="1"/>
  <c r="I43" i="73"/>
  <c r="K43" i="73" s="1"/>
  <c r="I31" i="73"/>
  <c r="K31" i="73" s="1"/>
  <c r="Q15" i="73"/>
  <c r="I59" i="72"/>
  <c r="K59" i="72" s="1"/>
  <c r="Q44" i="72"/>
  <c r="S44" i="72" s="1"/>
  <c r="I35" i="72"/>
  <c r="K35" i="72" s="1"/>
  <c r="I19" i="72"/>
  <c r="K19" i="72" s="1"/>
  <c r="Q64" i="71"/>
  <c r="S64" i="71" s="1"/>
  <c r="I55" i="71"/>
  <c r="K55" i="71" s="1"/>
  <c r="Q44" i="71"/>
  <c r="S44" i="71" s="1"/>
  <c r="Q33" i="71"/>
  <c r="S33" i="71" s="1"/>
  <c r="Q25" i="71"/>
  <c r="S25" i="71" s="1"/>
  <c r="Q67" i="70"/>
  <c r="S67" i="70" s="1"/>
  <c r="I45" i="70"/>
  <c r="K45" i="70" s="1"/>
  <c r="I24" i="70"/>
  <c r="K24" i="70" s="1"/>
  <c r="I62" i="69"/>
  <c r="K62" i="69" s="1"/>
  <c r="Q52" i="69"/>
  <c r="S52" i="69" s="1"/>
  <c r="Q36" i="69"/>
  <c r="S36" i="69" s="1"/>
  <c r="Q24" i="69"/>
  <c r="S24" i="69" s="1"/>
  <c r="I59" i="68"/>
  <c r="K59" i="68" s="1"/>
  <c r="Q48" i="68"/>
  <c r="S48" i="68" s="1"/>
  <c r="Q36" i="68"/>
  <c r="S36" i="68" s="1"/>
  <c r="I27" i="68"/>
  <c r="K27" i="68" s="1"/>
  <c r="I15" i="68"/>
  <c r="Q71" i="67"/>
  <c r="S71" i="67" s="1"/>
  <c r="Q64" i="67"/>
  <c r="S64" i="67" s="1"/>
  <c r="I58" i="67"/>
  <c r="K58" i="67" s="1"/>
  <c r="Q51" i="67"/>
  <c r="S51" i="67" s="1"/>
  <c r="I44" i="67"/>
  <c r="K44" i="67" s="1"/>
  <c r="Q32" i="67"/>
  <c r="S32" i="67" s="1"/>
  <c r="Q25" i="67"/>
  <c r="S25" i="67" s="1"/>
  <c r="I16" i="67"/>
  <c r="K16" i="67" s="1"/>
  <c r="Q71" i="66"/>
  <c r="S71" i="66" s="1"/>
  <c r="Q51" i="66"/>
  <c r="S51" i="66" s="1"/>
  <c r="I43" i="66"/>
  <c r="K43" i="66" s="1"/>
  <c r="Q34" i="66"/>
  <c r="S34" i="66" s="1"/>
  <c r="Q24" i="66"/>
  <c r="S24" i="66" s="1"/>
  <c r="Q64" i="73"/>
  <c r="S64" i="73" s="1"/>
  <c r="I31" i="71"/>
  <c r="K31" i="71" s="1"/>
  <c r="Q20" i="70"/>
  <c r="S20" i="70" s="1"/>
  <c r="I67" i="73"/>
  <c r="K67" i="73" s="1"/>
  <c r="Q59" i="73"/>
  <c r="S59" i="73" s="1"/>
  <c r="Q51" i="73"/>
  <c r="S51" i="73" s="1"/>
  <c r="Q28" i="73"/>
  <c r="S28" i="73" s="1"/>
  <c r="I15" i="73"/>
  <c r="Q71" i="72"/>
  <c r="S71" i="72" s="1"/>
  <c r="Q55" i="72"/>
  <c r="S55" i="72" s="1"/>
  <c r="Q43" i="72"/>
  <c r="S43" i="72" s="1"/>
  <c r="Q27" i="72"/>
  <c r="S27" i="72" s="1"/>
  <c r="Q63" i="71"/>
  <c r="S63" i="71" s="1"/>
  <c r="Q53" i="71"/>
  <c r="S53" i="71" s="1"/>
  <c r="Q43" i="71"/>
  <c r="S43" i="71" s="1"/>
  <c r="Q24" i="71"/>
  <c r="S24" i="71" s="1"/>
  <c r="Q65" i="70"/>
  <c r="S65" i="70" s="1"/>
  <c r="Q43" i="70"/>
  <c r="S43" i="70" s="1"/>
  <c r="Q32" i="70"/>
  <c r="S32" i="70" s="1"/>
  <c r="Q70" i="69"/>
  <c r="S70" i="69" s="1"/>
  <c r="Q60" i="69"/>
  <c r="S60" i="69" s="1"/>
  <c r="Q51" i="69"/>
  <c r="S51" i="69" s="1"/>
  <c r="Q44" i="69"/>
  <c r="S44" i="69" s="1"/>
  <c r="Q35" i="69"/>
  <c r="S35" i="69" s="1"/>
  <c r="Q23" i="69"/>
  <c r="S23" i="69" s="1"/>
  <c r="I69" i="68"/>
  <c r="K69" i="68" s="1"/>
  <c r="I48" i="68"/>
  <c r="K48" i="68" s="1"/>
  <c r="I36" i="68"/>
  <c r="K36" i="68" s="1"/>
  <c r="Q70" i="67"/>
  <c r="S70" i="67" s="1"/>
  <c r="I64" i="67"/>
  <c r="K64" i="67" s="1"/>
  <c r="Q57" i="67"/>
  <c r="S57" i="67" s="1"/>
  <c r="Q50" i="67"/>
  <c r="S50" i="67" s="1"/>
  <c r="I38" i="67"/>
  <c r="K38" i="67" s="1"/>
  <c r="I32" i="67"/>
  <c r="K32" i="67" s="1"/>
  <c r="Q24" i="67"/>
  <c r="S24" i="67" s="1"/>
  <c r="I71" i="66"/>
  <c r="K71" i="66" s="1"/>
  <c r="Q60" i="66"/>
  <c r="S60" i="66" s="1"/>
  <c r="Q50" i="66"/>
  <c r="S50" i="66" s="1"/>
  <c r="Q42" i="66"/>
  <c r="S42" i="66" s="1"/>
  <c r="Q33" i="66"/>
  <c r="S33" i="66" s="1"/>
  <c r="Q23" i="66"/>
  <c r="S23" i="66" s="1"/>
  <c r="Q67" i="72"/>
  <c r="S67" i="72" s="1"/>
  <c r="Q40" i="72"/>
  <c r="S40" i="72" s="1"/>
  <c r="Q15" i="72"/>
  <c r="Q40" i="71"/>
  <c r="S40" i="71" s="1"/>
  <c r="Q59" i="70"/>
  <c r="S59" i="70" s="1"/>
  <c r="I59" i="73"/>
  <c r="K59" i="73" s="1"/>
  <c r="I51" i="73"/>
  <c r="K51" i="73" s="1"/>
  <c r="Q27" i="73"/>
  <c r="S27" i="73" s="1"/>
  <c r="I71" i="72"/>
  <c r="K71" i="72" s="1"/>
  <c r="I55" i="72"/>
  <c r="K55" i="72" s="1"/>
  <c r="I43" i="72"/>
  <c r="K43" i="72" s="1"/>
  <c r="Q32" i="72"/>
  <c r="S32" i="72" s="1"/>
  <c r="I27" i="72"/>
  <c r="K27" i="72" s="1"/>
  <c r="Q16" i="72"/>
  <c r="S16" i="72" s="1"/>
  <c r="Q72" i="71"/>
  <c r="S72" i="71" s="1"/>
  <c r="I63" i="71"/>
  <c r="K63" i="71" s="1"/>
  <c r="I53" i="71"/>
  <c r="K53" i="71" s="1"/>
  <c r="I43" i="71"/>
  <c r="K43" i="71" s="1"/>
  <c r="Q32" i="71"/>
  <c r="S32" i="71" s="1"/>
  <c r="Q63" i="70"/>
  <c r="S63" i="70" s="1"/>
  <c r="Q41" i="70"/>
  <c r="S41" i="70" s="1"/>
  <c r="I32" i="70"/>
  <c r="K32" i="70" s="1"/>
  <c r="Q23" i="70"/>
  <c r="S23" i="70" s="1"/>
  <c r="I70" i="69"/>
  <c r="K70" i="69" s="1"/>
  <c r="Q59" i="69"/>
  <c r="S59" i="69" s="1"/>
  <c r="Q50" i="69"/>
  <c r="S50" i="69" s="1"/>
  <c r="Q43" i="69"/>
  <c r="S43" i="69" s="1"/>
  <c r="Q22" i="69"/>
  <c r="S22" i="69" s="1"/>
  <c r="Q68" i="68"/>
  <c r="S68" i="68" s="1"/>
  <c r="Q56" i="68"/>
  <c r="S56" i="68" s="1"/>
  <c r="Q47" i="68"/>
  <c r="S47" i="68" s="1"/>
  <c r="Q35" i="68"/>
  <c r="S35" i="68" s="1"/>
  <c r="Q24" i="68"/>
  <c r="S24" i="68" s="1"/>
  <c r="I70" i="67"/>
  <c r="K70" i="67" s="1"/>
  <c r="Q56" i="67"/>
  <c r="S56" i="67" s="1"/>
  <c r="I50" i="67"/>
  <c r="K50" i="67" s="1"/>
  <c r="Q43" i="67"/>
  <c r="S43" i="67" s="1"/>
  <c r="Q37" i="67"/>
  <c r="S37" i="67" s="1"/>
  <c r="I24" i="67"/>
  <c r="K24" i="67" s="1"/>
  <c r="Q70" i="66"/>
  <c r="S70" i="66" s="1"/>
  <c r="Q59" i="66"/>
  <c r="S59" i="66" s="1"/>
  <c r="Q41" i="66"/>
  <c r="S41" i="66" s="1"/>
  <c r="Q32" i="66"/>
  <c r="S32" i="66" s="1"/>
  <c r="I23" i="66"/>
  <c r="K23" i="66" s="1"/>
  <c r="Q71" i="73"/>
  <c r="S71" i="73" s="1"/>
  <c r="Q40" i="73"/>
  <c r="S40" i="73" s="1"/>
  <c r="I27" i="73"/>
  <c r="K27" i="73" s="1"/>
  <c r="Q68" i="72"/>
  <c r="S68" i="72" s="1"/>
  <c r="I32" i="72"/>
  <c r="K32" i="72" s="1"/>
  <c r="Q61" i="71"/>
  <c r="S61" i="71" s="1"/>
  <c r="Q52" i="71"/>
  <c r="S52" i="71" s="1"/>
  <c r="Q41" i="71"/>
  <c r="S41" i="71" s="1"/>
  <c r="Q31" i="71"/>
  <c r="S31" i="71" s="1"/>
  <c r="I23" i="71"/>
  <c r="K23" i="71" s="1"/>
  <c r="Q61" i="70"/>
  <c r="S61" i="70" s="1"/>
  <c r="I41" i="70"/>
  <c r="K41" i="70" s="1"/>
  <c r="Q31" i="70"/>
  <c r="S31" i="70" s="1"/>
  <c r="Q22" i="70"/>
  <c r="S22" i="70" s="1"/>
  <c r="Q68" i="69"/>
  <c r="S68" i="69" s="1"/>
  <c r="Q58" i="69"/>
  <c r="S58" i="69" s="1"/>
  <c r="I43" i="69"/>
  <c r="K43" i="69" s="1"/>
  <c r="I34" i="69"/>
  <c r="K34" i="69" s="1"/>
  <c r="I22" i="69"/>
  <c r="K22" i="69" s="1"/>
  <c r="Q67" i="68"/>
  <c r="S67" i="68" s="1"/>
  <c r="I56" i="68"/>
  <c r="K56" i="68" s="1"/>
  <c r="I47" i="68"/>
  <c r="K47" i="68" s="1"/>
  <c r="I35" i="68"/>
  <c r="K35" i="68" s="1"/>
  <c r="Q23" i="68"/>
  <c r="S23" i="68" s="1"/>
  <c r="Q69" i="67"/>
  <c r="S69" i="67" s="1"/>
  <c r="Q63" i="67"/>
  <c r="S63" i="67" s="1"/>
  <c r="I56" i="67"/>
  <c r="K56" i="67" s="1"/>
  <c r="Q49" i="67"/>
  <c r="S49" i="67" s="1"/>
  <c r="Q42" i="67"/>
  <c r="S42" i="67" s="1"/>
  <c r="Q36" i="67"/>
  <c r="S36" i="67" s="1"/>
  <c r="Q31" i="67"/>
  <c r="S31" i="67" s="1"/>
  <c r="Q23" i="67"/>
  <c r="S23" i="67" s="1"/>
  <c r="Q49" i="66"/>
  <c r="S49" i="66" s="1"/>
  <c r="I41" i="66"/>
  <c r="K41" i="66" s="1"/>
  <c r="I32" i="66"/>
  <c r="K32" i="66" s="1"/>
  <c r="Q22" i="66"/>
  <c r="S22" i="66" s="1"/>
  <c r="I71" i="73"/>
  <c r="K71" i="73" s="1"/>
  <c r="Q39" i="73"/>
  <c r="S39" i="73" s="1"/>
  <c r="Q52" i="72"/>
  <c r="S52" i="72" s="1"/>
  <c r="Q25" i="72"/>
  <c r="S25" i="72" s="1"/>
  <c r="Q51" i="71"/>
  <c r="S51" i="71" s="1"/>
  <c r="Q21" i="71"/>
  <c r="S21" i="71" s="1"/>
  <c r="Q40" i="70"/>
  <c r="S40" i="70" s="1"/>
  <c r="Q30" i="70"/>
  <c r="S30" i="70" s="1"/>
  <c r="I63" i="73"/>
  <c r="K63" i="73" s="1"/>
  <c r="Q47" i="73"/>
  <c r="S47" i="73" s="1"/>
  <c r="Q23" i="73"/>
  <c r="S23" i="73" s="1"/>
  <c r="Q64" i="72"/>
  <c r="S64" i="72" s="1"/>
  <c r="I39" i="72"/>
  <c r="K39" i="72" s="1"/>
  <c r="I31" i="72"/>
  <c r="K31" i="72" s="1"/>
  <c r="I23" i="72"/>
  <c r="K23" i="72" s="1"/>
  <c r="Q68" i="71"/>
  <c r="S68" i="71" s="1"/>
  <c r="Q59" i="71"/>
  <c r="S59" i="71" s="1"/>
  <c r="Q48" i="71"/>
  <c r="S48" i="71" s="1"/>
  <c r="Q37" i="71"/>
  <c r="S37" i="71" s="1"/>
  <c r="I29" i="71"/>
  <c r="K29" i="71" s="1"/>
  <c r="I19" i="71"/>
  <c r="K19" i="71" s="1"/>
  <c r="Q53" i="70"/>
  <c r="S53" i="70" s="1"/>
  <c r="Q39" i="70"/>
  <c r="S39" i="70" s="1"/>
  <c r="Q28" i="70"/>
  <c r="S28" i="70" s="1"/>
  <c r="Q19" i="70"/>
  <c r="S19" i="70" s="1"/>
  <c r="I66" i="69"/>
  <c r="K66" i="69" s="1"/>
  <c r="Q55" i="69"/>
  <c r="S55" i="69" s="1"/>
  <c r="I47" i="69"/>
  <c r="K47" i="69" s="1"/>
  <c r="Q40" i="69"/>
  <c r="S40" i="69" s="1"/>
  <c r="I30" i="69"/>
  <c r="K30" i="69" s="1"/>
  <c r="Q63" i="68"/>
  <c r="S63" i="68" s="1"/>
  <c r="Q52" i="68"/>
  <c r="S52" i="68" s="1"/>
  <c r="Q32" i="68"/>
  <c r="S32" i="68" s="1"/>
  <c r="Q19" i="68"/>
  <c r="S19" i="68" s="1"/>
  <c r="I61" i="67"/>
  <c r="K61" i="67" s="1"/>
  <c r="Q47" i="67"/>
  <c r="S47" i="67" s="1"/>
  <c r="Q40" i="67"/>
  <c r="S40" i="67" s="1"/>
  <c r="Q34" i="67"/>
  <c r="S34" i="67" s="1"/>
  <c r="Q29" i="67"/>
  <c r="S29" i="67" s="1"/>
  <c r="Q19" i="67"/>
  <c r="S19" i="67" s="1"/>
  <c r="Q67" i="66"/>
  <c r="S67" i="66" s="1"/>
  <c r="I47" i="66"/>
  <c r="K47" i="66" s="1"/>
  <c r="Q37" i="66"/>
  <c r="S37" i="66" s="1"/>
  <c r="Q29" i="66"/>
  <c r="S29" i="66" s="1"/>
  <c r="Q19" i="66"/>
  <c r="S19" i="66" s="1"/>
  <c r="Q55" i="73"/>
  <c r="S55" i="73" s="1"/>
  <c r="I47" i="73"/>
  <c r="K47" i="73" s="1"/>
  <c r="Q36" i="73"/>
  <c r="S36" i="73" s="1"/>
  <c r="I23" i="73"/>
  <c r="K23" i="73" s="1"/>
  <c r="Q63" i="72"/>
  <c r="S63" i="72" s="1"/>
  <c r="Q48" i="72"/>
  <c r="S48" i="72" s="1"/>
  <c r="I59" i="71"/>
  <c r="K59" i="71" s="1"/>
  <c r="Q36" i="71"/>
  <c r="S36" i="71" s="1"/>
  <c r="Q17" i="71"/>
  <c r="S17" i="71" s="1"/>
  <c r="Q72" i="70"/>
  <c r="S72" i="70" s="1"/>
  <c r="Q51" i="70"/>
  <c r="S51" i="70" s="1"/>
  <c r="Q37" i="70"/>
  <c r="S37" i="70" s="1"/>
  <c r="I28" i="70"/>
  <c r="K28" i="70" s="1"/>
  <c r="Q17" i="70"/>
  <c r="S17" i="70" s="1"/>
  <c r="Q19" i="73"/>
  <c r="S19" i="73" s="1"/>
  <c r="Q51" i="72"/>
  <c r="S51" i="72" s="1"/>
  <c r="Q69" i="71"/>
  <c r="S69" i="71" s="1"/>
  <c r="Q35" i="71"/>
  <c r="S35" i="71" s="1"/>
  <c r="Q29" i="70"/>
  <c r="S29" i="70" s="1"/>
  <c r="Q54" i="69"/>
  <c r="S54" i="69" s="1"/>
  <c r="I33" i="68"/>
  <c r="K33" i="68" s="1"/>
  <c r="I62" i="67"/>
  <c r="K62" i="67" s="1"/>
  <c r="Q46" i="67"/>
  <c r="S46" i="67" s="1"/>
  <c r="Q30" i="67"/>
  <c r="S30" i="67" s="1"/>
  <c r="I65" i="66"/>
  <c r="K65" i="66" s="1"/>
  <c r="Q39" i="66"/>
  <c r="S39" i="66" s="1"/>
  <c r="I19" i="66"/>
  <c r="K19" i="66" s="1"/>
  <c r="Q38" i="66"/>
  <c r="S38" i="66" s="1"/>
  <c r="Q72" i="68"/>
  <c r="S72" i="68" s="1"/>
  <c r="Q63" i="73"/>
  <c r="S63" i="73" s="1"/>
  <c r="I51" i="72"/>
  <c r="K51" i="72" s="1"/>
  <c r="I15" i="72"/>
  <c r="I29" i="70"/>
  <c r="K29" i="70" s="1"/>
  <c r="Q32" i="69"/>
  <c r="S32" i="69" s="1"/>
  <c r="Q55" i="68"/>
  <c r="S55" i="68" s="1"/>
  <c r="Q61" i="67"/>
  <c r="S61" i="67" s="1"/>
  <c r="I46" i="67"/>
  <c r="K46" i="67" s="1"/>
  <c r="I59" i="66"/>
  <c r="K59" i="66" s="1"/>
  <c r="I17" i="66"/>
  <c r="K17" i="66" s="1"/>
  <c r="Q19" i="71"/>
  <c r="S19" i="71" s="1"/>
  <c r="Q47" i="72"/>
  <c r="S47" i="72" s="1"/>
  <c r="Q67" i="71"/>
  <c r="S67" i="71" s="1"/>
  <c r="I30" i="71"/>
  <c r="K30" i="71" s="1"/>
  <c r="Q27" i="70"/>
  <c r="S27" i="70" s="1"/>
  <c r="I50" i="69"/>
  <c r="K50" i="69" s="1"/>
  <c r="Q31" i="69"/>
  <c r="S31" i="69" s="1"/>
  <c r="I55" i="68"/>
  <c r="K55" i="68" s="1"/>
  <c r="Q31" i="68"/>
  <c r="S31" i="68" s="1"/>
  <c r="Q60" i="67"/>
  <c r="S60" i="67" s="1"/>
  <c r="I30" i="67"/>
  <c r="K30" i="67" s="1"/>
  <c r="Q58" i="66"/>
  <c r="S58" i="66" s="1"/>
  <c r="Q36" i="66"/>
  <c r="S36" i="66" s="1"/>
  <c r="Q48" i="69"/>
  <c r="S48" i="69" s="1"/>
  <c r="I60" i="67"/>
  <c r="K60" i="67" s="1"/>
  <c r="I42" i="67"/>
  <c r="K42" i="67" s="1"/>
  <c r="Q56" i="66"/>
  <c r="S56" i="66" s="1"/>
  <c r="I54" i="67"/>
  <c r="K54" i="67" s="1"/>
  <c r="Q48" i="73"/>
  <c r="S48" i="73" s="1"/>
  <c r="I40" i="72"/>
  <c r="K40" i="72" s="1"/>
  <c r="Q60" i="71"/>
  <c r="S60" i="71" s="1"/>
  <c r="Q29" i="71"/>
  <c r="S29" i="71" s="1"/>
  <c r="Q72" i="69"/>
  <c r="S72" i="69" s="1"/>
  <c r="I31" i="68"/>
  <c r="K31" i="68" s="1"/>
  <c r="Q28" i="67"/>
  <c r="S28" i="67" s="1"/>
  <c r="Q35" i="66"/>
  <c r="S35" i="66" s="1"/>
  <c r="Q39" i="72"/>
  <c r="S39" i="72" s="1"/>
  <c r="Q28" i="71"/>
  <c r="S28" i="71" s="1"/>
  <c r="I20" i="70"/>
  <c r="K20" i="70" s="1"/>
  <c r="Q67" i="69"/>
  <c r="S67" i="69" s="1"/>
  <c r="Q47" i="69"/>
  <c r="S47" i="69" s="1"/>
  <c r="Q28" i="69"/>
  <c r="S28" i="69" s="1"/>
  <c r="I52" i="68"/>
  <c r="K52" i="68" s="1"/>
  <c r="I23" i="68"/>
  <c r="K23" i="68" s="1"/>
  <c r="Q41" i="67"/>
  <c r="S41" i="67" s="1"/>
  <c r="Q27" i="67"/>
  <c r="S27" i="67" s="1"/>
  <c r="Q55" i="66"/>
  <c r="S55" i="66" s="1"/>
  <c r="Q31" i="66"/>
  <c r="S31" i="66" s="1"/>
  <c r="Q57" i="70"/>
  <c r="S57" i="70" s="1"/>
  <c r="Q46" i="69"/>
  <c r="S46" i="69" s="1"/>
  <c r="Q20" i="68"/>
  <c r="S20" i="68" s="1"/>
  <c r="Q54" i="67"/>
  <c r="S54" i="67" s="1"/>
  <c r="I22" i="67"/>
  <c r="K22" i="67" s="1"/>
  <c r="I49" i="66"/>
  <c r="K49" i="66" s="1"/>
  <c r="Q64" i="69"/>
  <c r="S64" i="69" s="1"/>
  <c r="Q42" i="69"/>
  <c r="S42" i="69" s="1"/>
  <c r="Q18" i="69"/>
  <c r="S18" i="69" s="1"/>
  <c r="Q43" i="68"/>
  <c r="S43" i="68" s="1"/>
  <c r="I19" i="68"/>
  <c r="K19" i="68" s="1"/>
  <c r="I68" i="67"/>
  <c r="K68" i="67" s="1"/>
  <c r="I36" i="67"/>
  <c r="K36" i="67" s="1"/>
  <c r="Q21" i="67"/>
  <c r="S21" i="67" s="1"/>
  <c r="Q47" i="66"/>
  <c r="S47" i="66" s="1"/>
  <c r="Q28" i="66"/>
  <c r="S28" i="66" s="1"/>
  <c r="Q36" i="72"/>
  <c r="S36" i="72" s="1"/>
  <c r="Q57" i="71"/>
  <c r="S57" i="71" s="1"/>
  <c r="Q71" i="70"/>
  <c r="S71" i="70" s="1"/>
  <c r="Q16" i="70"/>
  <c r="S16" i="70" s="1"/>
  <c r="Q66" i="69"/>
  <c r="S66" i="69" s="1"/>
  <c r="Q20" i="69"/>
  <c r="S20" i="69" s="1"/>
  <c r="Q51" i="68"/>
  <c r="S51" i="68" s="1"/>
  <c r="Q55" i="67"/>
  <c r="S55" i="67" s="1"/>
  <c r="I40" i="67"/>
  <c r="K40" i="67" s="1"/>
  <c r="Q22" i="67"/>
  <c r="S22" i="67" s="1"/>
  <c r="I55" i="66"/>
  <c r="K55" i="66" s="1"/>
  <c r="I31" i="66"/>
  <c r="K31" i="66" s="1"/>
  <c r="I39" i="73"/>
  <c r="K39" i="73" s="1"/>
  <c r="Q31" i="72"/>
  <c r="S31" i="72" s="1"/>
  <c r="I51" i="71"/>
  <c r="K51" i="71" s="1"/>
  <c r="Q20" i="71"/>
  <c r="S20" i="71" s="1"/>
  <c r="Q19" i="69"/>
  <c r="S19" i="69" s="1"/>
  <c r="Q44" i="68"/>
  <c r="S44" i="68" s="1"/>
  <c r="Q68" i="67"/>
  <c r="S68" i="67" s="1"/>
  <c r="Q30" i="66"/>
  <c r="S30" i="66" s="1"/>
  <c r="Q49" i="71"/>
  <c r="S49" i="71" s="1"/>
  <c r="Q55" i="70"/>
  <c r="S55" i="70" s="1"/>
  <c r="I39" i="71"/>
  <c r="K39" i="71" s="1"/>
  <c r="Q56" i="73"/>
  <c r="S56" i="73" s="1"/>
  <c r="Q29" i="72"/>
  <c r="S29" i="72" s="1"/>
  <c r="Q49" i="70"/>
  <c r="S49" i="70" s="1"/>
  <c r="Q63" i="69"/>
  <c r="S63" i="69" s="1"/>
  <c r="I42" i="69"/>
  <c r="K42" i="69" s="1"/>
  <c r="I18" i="69"/>
  <c r="K18" i="69" s="1"/>
  <c r="I67" i="68"/>
  <c r="K67" i="68" s="1"/>
  <c r="I43" i="68"/>
  <c r="K43" i="68" s="1"/>
  <c r="Q53" i="67"/>
  <c r="S53" i="67" s="1"/>
  <c r="Q69" i="66"/>
  <c r="S69" i="66" s="1"/>
  <c r="Q27" i="66"/>
  <c r="S27" i="66" s="1"/>
  <c r="Q35" i="73"/>
  <c r="S35" i="73" s="1"/>
  <c r="I67" i="72"/>
  <c r="K67" i="72" s="1"/>
  <c r="Q23" i="72"/>
  <c r="S23" i="72" s="1"/>
  <c r="Q47" i="71"/>
  <c r="S47" i="71" s="1"/>
  <c r="I58" i="69"/>
  <c r="K58" i="69" s="1"/>
  <c r="Q40" i="68"/>
  <c r="S40" i="68" s="1"/>
  <c r="Q67" i="67"/>
  <c r="S67" i="67" s="1"/>
  <c r="Q48" i="67"/>
  <c r="S48" i="67" s="1"/>
  <c r="Q35" i="67"/>
  <c r="S35" i="67" s="1"/>
  <c r="Q18" i="67"/>
  <c r="S18" i="67" s="1"/>
  <c r="Q68" i="66"/>
  <c r="S68" i="66" s="1"/>
  <c r="Q46" i="66"/>
  <c r="S46" i="66" s="1"/>
  <c r="I22" i="66"/>
  <c r="K22" i="66" s="1"/>
  <c r="I55" i="73"/>
  <c r="K55" i="73" s="1"/>
  <c r="I65" i="72"/>
  <c r="K65" i="72" s="1"/>
  <c r="Q39" i="71"/>
  <c r="S39" i="71" s="1"/>
  <c r="I40" i="70"/>
  <c r="K40" i="70" s="1"/>
  <c r="I57" i="69"/>
  <c r="K57" i="69" s="1"/>
  <c r="Q39" i="69"/>
  <c r="S39" i="69" s="1"/>
  <c r="Q64" i="68"/>
  <c r="S64" i="68" s="1"/>
  <c r="Q39" i="68"/>
  <c r="S39" i="68" s="1"/>
  <c r="Q66" i="67"/>
  <c r="S66" i="67" s="1"/>
  <c r="I48" i="67"/>
  <c r="K48" i="67" s="1"/>
  <c r="Q20" i="66"/>
  <c r="S20" i="66" s="1"/>
  <c r="Q24" i="73"/>
  <c r="S24" i="73" s="1"/>
  <c r="I63" i="72"/>
  <c r="K63" i="72" s="1"/>
  <c r="Q21" i="72"/>
  <c r="S21" i="72" s="1"/>
  <c r="I71" i="71"/>
  <c r="K71" i="71" s="1"/>
  <c r="I36" i="70"/>
  <c r="K36" i="70" s="1"/>
  <c r="Q56" i="69"/>
  <c r="S56" i="69" s="1"/>
  <c r="I63" i="68"/>
  <c r="K63" i="68" s="1"/>
  <c r="Q62" i="67"/>
  <c r="S62" i="67" s="1"/>
  <c r="I34" i="67"/>
  <c r="K34" i="67" s="1"/>
  <c r="I67" i="66"/>
  <c r="K67" i="66" s="1"/>
  <c r="I40" i="66"/>
  <c r="K40" i="66" s="1"/>
  <c r="Q24" i="72"/>
  <c r="S24" i="72" s="1"/>
  <c r="I40" i="68"/>
  <c r="K40" i="68" s="1"/>
  <c r="I37" i="71"/>
  <c r="K37" i="71" s="1"/>
  <c r="I27" i="69"/>
  <c r="K27" i="69" s="1"/>
  <c r="I33" i="73"/>
  <c r="K33" i="73" s="1"/>
  <c r="I17" i="67"/>
  <c r="K17" i="67" s="1"/>
  <c r="Q34" i="68"/>
  <c r="S34" i="68" s="1"/>
  <c r="I65" i="68"/>
  <c r="K65" i="68" s="1"/>
  <c r="I69" i="69"/>
  <c r="K69" i="69" s="1"/>
  <c r="I44" i="66"/>
  <c r="K44" i="66" s="1"/>
  <c r="I64" i="72"/>
  <c r="K64" i="72" s="1"/>
  <c r="I69" i="73"/>
  <c r="K69" i="73" s="1"/>
  <c r="I52" i="73"/>
  <c r="K52" i="73" s="1"/>
  <c r="I20" i="73"/>
  <c r="K20" i="73" s="1"/>
  <c r="Q21" i="73"/>
  <c r="S21" i="73" s="1"/>
  <c r="Q69" i="73"/>
  <c r="S69" i="73" s="1"/>
  <c r="I50" i="73"/>
  <c r="K50" i="73" s="1"/>
  <c r="Q58" i="72"/>
  <c r="S58" i="72" s="1"/>
  <c r="Q65" i="72"/>
  <c r="S65" i="72" s="1"/>
  <c r="I46" i="72"/>
  <c r="K46" i="72" s="1"/>
  <c r="I44" i="71"/>
  <c r="K44" i="71" s="1"/>
  <c r="I40" i="71"/>
  <c r="K40" i="71" s="1"/>
  <c r="Q30" i="71"/>
  <c r="S30" i="71" s="1"/>
  <c r="I54" i="71"/>
  <c r="K54" i="71" s="1"/>
  <c r="I56" i="70"/>
  <c r="K56" i="70" s="1"/>
  <c r="I60" i="70"/>
  <c r="K60" i="70" s="1"/>
  <c r="I59" i="70"/>
  <c r="K59" i="70" s="1"/>
  <c r="Q26" i="69"/>
  <c r="S26" i="69" s="1"/>
  <c r="Q17" i="69"/>
  <c r="Q53" i="69"/>
  <c r="S53" i="69" s="1"/>
  <c r="Q38" i="69"/>
  <c r="S38" i="69" s="1"/>
  <c r="Q21" i="68"/>
  <c r="S21" i="68" s="1"/>
  <c r="Q29" i="68"/>
  <c r="S29" i="68" s="1"/>
  <c r="Q61" i="68"/>
  <c r="S61" i="68" s="1"/>
  <c r="Q58" i="68"/>
  <c r="S58" i="68" s="1"/>
  <c r="I54" i="68"/>
  <c r="K54" i="68" s="1"/>
  <c r="I29" i="67"/>
  <c r="K29" i="67" s="1"/>
  <c r="I23" i="67"/>
  <c r="K23" i="67" s="1"/>
  <c r="I28" i="67"/>
  <c r="K28" i="67" s="1"/>
  <c r="I63" i="67"/>
  <c r="K63" i="67" s="1"/>
  <c r="I16" i="66"/>
  <c r="K16" i="66" s="1"/>
  <c r="I39" i="66"/>
  <c r="K39" i="66" s="1"/>
  <c r="Q70" i="65"/>
  <c r="S70" i="65" s="1"/>
  <c r="Q56" i="65"/>
  <c r="S56" i="65" s="1"/>
  <c r="Q53" i="65"/>
  <c r="S53" i="65" s="1"/>
  <c r="Q50" i="65"/>
  <c r="S50" i="65" s="1"/>
  <c r="Q31" i="65"/>
  <c r="S31" i="65" s="1"/>
  <c r="Q28" i="65"/>
  <c r="S28" i="65" s="1"/>
  <c r="Q20" i="65"/>
  <c r="S20" i="65" s="1"/>
  <c r="Q17" i="65"/>
  <c r="S17" i="65" s="1"/>
  <c r="I41" i="65"/>
  <c r="K41" i="65" s="1"/>
  <c r="Q58" i="71"/>
  <c r="S58" i="71" s="1"/>
  <c r="I58" i="71"/>
  <c r="K58" i="71" s="1"/>
  <c r="I64" i="70"/>
  <c r="K64" i="70" s="1"/>
  <c r="Q64" i="70"/>
  <c r="S64" i="70" s="1"/>
  <c r="I68" i="70"/>
  <c r="K68" i="70" s="1"/>
  <c r="I48" i="70"/>
  <c r="K48" i="70" s="1"/>
  <c r="I60" i="69"/>
  <c r="K60" i="69" s="1"/>
  <c r="I64" i="69"/>
  <c r="K64" i="69" s="1"/>
  <c r="I52" i="69"/>
  <c r="K52" i="69" s="1"/>
  <c r="I58" i="68"/>
  <c r="K58" i="68" s="1"/>
  <c r="I39" i="67"/>
  <c r="K39" i="67" s="1"/>
  <c r="I67" i="67"/>
  <c r="K67" i="67" s="1"/>
  <c r="I37" i="66"/>
  <c r="K37" i="66" s="1"/>
  <c r="Q34" i="65"/>
  <c r="S34" i="65" s="1"/>
  <c r="Q56" i="72"/>
  <c r="S56" i="72" s="1"/>
  <c r="I44" i="68"/>
  <c r="K44" i="68" s="1"/>
  <c r="I41" i="71"/>
  <c r="K41" i="71" s="1"/>
  <c r="I31" i="69"/>
  <c r="K31" i="69" s="1"/>
  <c r="I37" i="73"/>
  <c r="K37" i="73" s="1"/>
  <c r="I21" i="67"/>
  <c r="K21" i="67" s="1"/>
  <c r="Q38" i="68"/>
  <c r="S38" i="68" s="1"/>
  <c r="Q45" i="66"/>
  <c r="S45" i="66" s="1"/>
  <c r="I17" i="69"/>
  <c r="K17" i="69" s="1"/>
  <c r="I52" i="66"/>
  <c r="K52" i="66" s="1"/>
  <c r="I68" i="72"/>
  <c r="K68" i="72" s="1"/>
  <c r="Q30" i="73"/>
  <c r="S30" i="73" s="1"/>
  <c r="I24" i="73"/>
  <c r="K24" i="73" s="1"/>
  <c r="Q58" i="73"/>
  <c r="S58" i="73" s="1"/>
  <c r="I56" i="73"/>
  <c r="K56" i="73" s="1"/>
  <c r="Q25" i="73"/>
  <c r="S25" i="73" s="1"/>
  <c r="I54" i="73"/>
  <c r="K54" i="73" s="1"/>
  <c r="Q62" i="72"/>
  <c r="S62" i="72" s="1"/>
  <c r="Q69" i="72"/>
  <c r="S69" i="72" s="1"/>
  <c r="I50" i="72"/>
  <c r="K50" i="72" s="1"/>
  <c r="I56" i="71"/>
  <c r="K56" i="71" s="1"/>
  <c r="Q54" i="71"/>
  <c r="S54" i="71" s="1"/>
  <c r="I63" i="70"/>
  <c r="K63" i="70" s="1"/>
  <c r="I64" i="68"/>
  <c r="K64" i="68" s="1"/>
  <c r="I65" i="67"/>
  <c r="K65" i="67" s="1"/>
  <c r="I26" i="66"/>
  <c r="K26" i="66" s="1"/>
  <c r="I42" i="66"/>
  <c r="K42" i="66" s="1"/>
  <c r="Q40" i="66"/>
  <c r="S40" i="66" s="1"/>
  <c r="I45" i="71"/>
  <c r="K45" i="71" s="1"/>
  <c r="I35" i="69"/>
  <c r="K35" i="69" s="1"/>
  <c r="I41" i="73"/>
  <c r="K41" i="73" s="1"/>
  <c r="I33" i="67"/>
  <c r="K33" i="67" s="1"/>
  <c r="Q42" i="68"/>
  <c r="S42" i="68" s="1"/>
  <c r="Q57" i="66"/>
  <c r="S57" i="66" s="1"/>
  <c r="I21" i="69"/>
  <c r="K21" i="69" s="1"/>
  <c r="I33" i="70"/>
  <c r="K33" i="70" s="1"/>
  <c r="I56" i="66"/>
  <c r="K56" i="66" s="1"/>
  <c r="Q21" i="70"/>
  <c r="S21" i="70" s="1"/>
  <c r="I25" i="73"/>
  <c r="K25" i="73" s="1"/>
  <c r="Q66" i="73"/>
  <c r="S66" i="73" s="1"/>
  <c r="Q29" i="73"/>
  <c r="S29" i="73" s="1"/>
  <c r="I58" i="73"/>
  <c r="K58" i="73" s="1"/>
  <c r="I49" i="72"/>
  <c r="K49" i="72" s="1"/>
  <c r="Q18" i="72"/>
  <c r="S18" i="72" s="1"/>
  <c r="Q66" i="72"/>
  <c r="S66" i="72" s="1"/>
  <c r="I54" i="72"/>
  <c r="K54" i="72" s="1"/>
  <c r="Q46" i="71"/>
  <c r="S46" i="71" s="1"/>
  <c r="I16" i="71"/>
  <c r="K16" i="71" s="1"/>
  <c r="I62" i="71"/>
  <c r="K62" i="71" s="1"/>
  <c r="I25" i="70"/>
  <c r="K25" i="70" s="1"/>
  <c r="I18" i="70"/>
  <c r="K18" i="70" s="1"/>
  <c r="Q46" i="70"/>
  <c r="S46" i="70" s="1"/>
  <c r="I67" i="70"/>
  <c r="K67" i="70" s="1"/>
  <c r="I34" i="70"/>
  <c r="K34" i="70" s="1"/>
  <c r="I59" i="69"/>
  <c r="K59" i="69" s="1"/>
  <c r="Q45" i="69"/>
  <c r="S45" i="69" s="1"/>
  <c r="I44" i="69"/>
  <c r="K44" i="69" s="1"/>
  <c r="I20" i="68"/>
  <c r="K20" i="68" s="1"/>
  <c r="Q33" i="68"/>
  <c r="S33" i="68" s="1"/>
  <c r="Q65" i="68"/>
  <c r="S65" i="68" s="1"/>
  <c r="Q53" i="68"/>
  <c r="S53" i="68" s="1"/>
  <c r="Q69" i="68"/>
  <c r="S69" i="68" s="1"/>
  <c r="I62" i="68"/>
  <c r="K62" i="68" s="1"/>
  <c r="I51" i="67"/>
  <c r="K51" i="67" s="1"/>
  <c r="I71" i="67"/>
  <c r="K71" i="67" s="1"/>
  <c r="I29" i="66"/>
  <c r="K29" i="66" s="1"/>
  <c r="I45" i="66"/>
  <c r="K45" i="66" s="1"/>
  <c r="I48" i="65"/>
  <c r="K48" i="65" s="1"/>
  <c r="I24" i="65"/>
  <c r="K24" i="65" s="1"/>
  <c r="Q66" i="65"/>
  <c r="S66" i="65" s="1"/>
  <c r="Q41" i="65"/>
  <c r="S41" i="65" s="1"/>
  <c r="Q38" i="65"/>
  <c r="S38" i="65" s="1"/>
  <c r="I57" i="65"/>
  <c r="K57" i="65" s="1"/>
  <c r="I23" i="65"/>
  <c r="K23" i="65" s="1"/>
  <c r="Q48" i="66"/>
  <c r="S48" i="66" s="1"/>
  <c r="I15" i="70"/>
  <c r="I49" i="71"/>
  <c r="K49" i="71" s="1"/>
  <c r="I39" i="69"/>
  <c r="K39" i="69" s="1"/>
  <c r="I45" i="73"/>
  <c r="K45" i="73" s="1"/>
  <c r="I37" i="67"/>
  <c r="K37" i="67" s="1"/>
  <c r="Q46" i="68"/>
  <c r="S46" i="68" s="1"/>
  <c r="Q61" i="66"/>
  <c r="S61" i="66" s="1"/>
  <c r="I25" i="69"/>
  <c r="K25" i="69" s="1"/>
  <c r="I37" i="70"/>
  <c r="K37" i="70" s="1"/>
  <c r="I64" i="66"/>
  <c r="K64" i="66" s="1"/>
  <c r="Q15" i="71"/>
  <c r="Q34" i="73"/>
  <c r="S34" i="73" s="1"/>
  <c r="Q22" i="73"/>
  <c r="S22" i="73" s="1"/>
  <c r="I32" i="73"/>
  <c r="K32" i="73" s="1"/>
  <c r="Q33" i="73"/>
  <c r="S33" i="73" s="1"/>
  <c r="I62" i="73"/>
  <c r="K62" i="73" s="1"/>
  <c r="I41" i="72"/>
  <c r="K41" i="72" s="1"/>
  <c r="Q17" i="72"/>
  <c r="S17" i="72" s="1"/>
  <c r="Q22" i="72"/>
  <c r="S22" i="72" s="1"/>
  <c r="Q70" i="72"/>
  <c r="S70" i="72" s="1"/>
  <c r="I58" i="72"/>
  <c r="K58" i="72" s="1"/>
  <c r="I72" i="71"/>
  <c r="K72" i="71" s="1"/>
  <c r="I66" i="71"/>
  <c r="K66" i="71" s="1"/>
  <c r="Q62" i="70"/>
  <c r="S62" i="70" s="1"/>
  <c r="I35" i="70"/>
  <c r="K35" i="70" s="1"/>
  <c r="I19" i="70"/>
  <c r="K19" i="70" s="1"/>
  <c r="Q52" i="70"/>
  <c r="S52" i="70" s="1"/>
  <c r="I71" i="70"/>
  <c r="K71" i="70" s="1"/>
  <c r="I38" i="70"/>
  <c r="K38" i="70" s="1"/>
  <c r="Q69" i="69"/>
  <c r="S69" i="69" s="1"/>
  <c r="I68" i="69"/>
  <c r="K68" i="69" s="1"/>
  <c r="I25" i="68"/>
  <c r="K25" i="68" s="1"/>
  <c r="I24" i="68"/>
  <c r="K24" i="68" s="1"/>
  <c r="I66" i="68"/>
  <c r="K66" i="68" s="1"/>
  <c r="Q16" i="67"/>
  <c r="S16" i="67" s="1"/>
  <c r="Q53" i="66"/>
  <c r="S53" i="66" s="1"/>
  <c r="I48" i="66"/>
  <c r="K48" i="66" s="1"/>
  <c r="Q69" i="65"/>
  <c r="S69" i="65" s="1"/>
  <c r="Q63" i="65"/>
  <c r="S63" i="65" s="1"/>
  <c r="Q44" i="65"/>
  <c r="S44" i="65" s="1"/>
  <c r="Q64" i="66"/>
  <c r="S64" i="66" s="1"/>
  <c r="I34" i="66"/>
  <c r="K34" i="66" s="1"/>
  <c r="I57" i="71"/>
  <c r="K57" i="71" s="1"/>
  <c r="I49" i="73"/>
  <c r="K49" i="73" s="1"/>
  <c r="I41" i="67"/>
  <c r="K41" i="67" s="1"/>
  <c r="Q50" i="68"/>
  <c r="S50" i="68" s="1"/>
  <c r="Q65" i="66"/>
  <c r="S65" i="66" s="1"/>
  <c r="I29" i="69"/>
  <c r="K29" i="69" s="1"/>
  <c r="I68" i="66"/>
  <c r="K68" i="66" s="1"/>
  <c r="Q23" i="71"/>
  <c r="S23" i="71" s="1"/>
  <c r="I48" i="73"/>
  <c r="K48" i="73" s="1"/>
  <c r="Q46" i="73"/>
  <c r="S46" i="73" s="1"/>
  <c r="Q37" i="73"/>
  <c r="S37" i="73" s="1"/>
  <c r="I18" i="73"/>
  <c r="K18" i="73" s="1"/>
  <c r="I66" i="73"/>
  <c r="K66" i="73" s="1"/>
  <c r="Q26" i="72"/>
  <c r="S26" i="72" s="1"/>
  <c r="I62" i="72"/>
  <c r="K62" i="72" s="1"/>
  <c r="Q18" i="71"/>
  <c r="S18" i="71" s="1"/>
  <c r="I32" i="71"/>
  <c r="K32" i="71" s="1"/>
  <c r="I68" i="71"/>
  <c r="K68" i="71" s="1"/>
  <c r="Q42" i="71"/>
  <c r="S42" i="71" s="1"/>
  <c r="I20" i="71"/>
  <c r="K20" i="71" s="1"/>
  <c r="I70" i="71"/>
  <c r="K70" i="71" s="1"/>
  <c r="Q70" i="70"/>
  <c r="S70" i="70" s="1"/>
  <c r="I22" i="70"/>
  <c r="K22" i="70" s="1"/>
  <c r="I42" i="70"/>
  <c r="K42" i="70" s="1"/>
  <c r="I65" i="69"/>
  <c r="K65" i="69" s="1"/>
  <c r="Q65" i="69"/>
  <c r="S65" i="69" s="1"/>
  <c r="Q57" i="69"/>
  <c r="S57" i="69" s="1"/>
  <c r="I56" i="69"/>
  <c r="K56" i="69" s="1"/>
  <c r="I32" i="69"/>
  <c r="K32" i="69" s="1"/>
  <c r="I72" i="69"/>
  <c r="K72" i="69" s="1"/>
  <c r="I68" i="68"/>
  <c r="K68" i="68" s="1"/>
  <c r="Q45" i="68"/>
  <c r="S45" i="68" s="1"/>
  <c r="I70" i="68"/>
  <c r="K70" i="68" s="1"/>
  <c r="I20" i="67"/>
  <c r="K20" i="67" s="1"/>
  <c r="I31" i="67"/>
  <c r="K31" i="67" s="1"/>
  <c r="Q15" i="67"/>
  <c r="I53" i="66"/>
  <c r="K53" i="66" s="1"/>
  <c r="I62" i="66"/>
  <c r="K62" i="66" s="1"/>
  <c r="I15" i="66"/>
  <c r="I51" i="66"/>
  <c r="K51" i="66" s="1"/>
  <c r="Q58" i="65"/>
  <c r="S58" i="65" s="1"/>
  <c r="Q55" i="65"/>
  <c r="S55" i="65" s="1"/>
  <c r="Q52" i="65"/>
  <c r="S52" i="65" s="1"/>
  <c r="Q33" i="65"/>
  <c r="S33" i="65" s="1"/>
  <c r="Q30" i="65"/>
  <c r="S30" i="65" s="1"/>
  <c r="Q27" i="65"/>
  <c r="S27" i="65" s="1"/>
  <c r="Q19" i="65"/>
  <c r="S19" i="65" s="1"/>
  <c r="Q16" i="65"/>
  <c r="S16" i="65" s="1"/>
  <c r="I67" i="65"/>
  <c r="K67" i="65" s="1"/>
  <c r="I19" i="65"/>
  <c r="K19" i="65" s="1"/>
  <c r="I38" i="66"/>
  <c r="K38" i="66" s="1"/>
  <c r="I61" i="71"/>
  <c r="K61" i="71" s="1"/>
  <c r="I51" i="69"/>
  <c r="K51" i="69" s="1"/>
  <c r="I61" i="73"/>
  <c r="K61" i="73" s="1"/>
  <c r="I45" i="67"/>
  <c r="K45" i="67" s="1"/>
  <c r="Q54" i="68"/>
  <c r="S54" i="68" s="1"/>
  <c r="I17" i="68"/>
  <c r="K17" i="68" s="1"/>
  <c r="I33" i="69"/>
  <c r="K33" i="69" s="1"/>
  <c r="I24" i="72"/>
  <c r="K24" i="72" s="1"/>
  <c r="Q27" i="71"/>
  <c r="S27" i="71" s="1"/>
  <c r="I29" i="73"/>
  <c r="K29" i="73" s="1"/>
  <c r="Q26" i="73"/>
  <c r="S26" i="73" s="1"/>
  <c r="Q62" i="73"/>
  <c r="S62" i="73" s="1"/>
  <c r="I70" i="66"/>
  <c r="K70" i="66" s="1"/>
  <c r="I67" i="69"/>
  <c r="K67" i="69" s="1"/>
  <c r="I17" i="72"/>
  <c r="K17" i="72" s="1"/>
  <c r="Q70" i="68"/>
  <c r="S70" i="68" s="1"/>
  <c r="I41" i="68"/>
  <c r="K41" i="68" s="1"/>
  <c r="I45" i="69"/>
  <c r="K45" i="69" s="1"/>
  <c r="I48" i="72"/>
  <c r="K48" i="72" s="1"/>
  <c r="Q32" i="73"/>
  <c r="S32" i="73" s="1"/>
  <c r="I53" i="73"/>
  <c r="K53" i="73" s="1"/>
  <c r="Q42" i="73"/>
  <c r="S42" i="73" s="1"/>
  <c r="I64" i="73"/>
  <c r="K64" i="73" s="1"/>
  <c r="Q18" i="73"/>
  <c r="S18" i="73" s="1"/>
  <c r="I40" i="73"/>
  <c r="K40" i="73" s="1"/>
  <c r="Q53" i="73"/>
  <c r="S53" i="73" s="1"/>
  <c r="I34" i="73"/>
  <c r="K34" i="73" s="1"/>
  <c r="I61" i="72"/>
  <c r="K61" i="72" s="1"/>
  <c r="I45" i="72"/>
  <c r="K45" i="72" s="1"/>
  <c r="I37" i="72"/>
  <c r="K37" i="72" s="1"/>
  <c r="Q42" i="72"/>
  <c r="S42" i="72" s="1"/>
  <c r="Q49" i="72"/>
  <c r="S49" i="72" s="1"/>
  <c r="I30" i="72"/>
  <c r="K30" i="72" s="1"/>
  <c r="Q62" i="71"/>
  <c r="S62" i="71" s="1"/>
  <c r="Q34" i="71"/>
  <c r="S34" i="71" s="1"/>
  <c r="I38" i="71"/>
  <c r="K38" i="71" s="1"/>
  <c r="I30" i="70"/>
  <c r="K30" i="70" s="1"/>
  <c r="Q66" i="70"/>
  <c r="S66" i="70" s="1"/>
  <c r="Q68" i="70"/>
  <c r="S68" i="70" s="1"/>
  <c r="I43" i="70"/>
  <c r="K43" i="70" s="1"/>
  <c r="I58" i="70"/>
  <c r="K58" i="70" s="1"/>
  <c r="Q49" i="69"/>
  <c r="S49" i="69" s="1"/>
  <c r="Q37" i="69"/>
  <c r="S37" i="69" s="1"/>
  <c r="Q25" i="69"/>
  <c r="S25" i="69" s="1"/>
  <c r="Q41" i="68"/>
  <c r="S41" i="68" s="1"/>
  <c r="Q22" i="68"/>
  <c r="S22" i="68" s="1"/>
  <c r="I42" i="68"/>
  <c r="K42" i="68" s="1"/>
  <c r="I25" i="67"/>
  <c r="K25" i="67" s="1"/>
  <c r="I35" i="67"/>
  <c r="K35" i="67" s="1"/>
  <c r="Q20" i="67"/>
  <c r="S20" i="67" s="1"/>
  <c r="I27" i="66"/>
  <c r="K27" i="66" s="1"/>
  <c r="I63" i="66"/>
  <c r="K63" i="66" s="1"/>
  <c r="Q54" i="65"/>
  <c r="S54" i="65" s="1"/>
  <c r="Q51" i="65"/>
  <c r="S51" i="65" s="1"/>
  <c r="Q32" i="65"/>
  <c r="S32" i="65" s="1"/>
  <c r="Q29" i="65"/>
  <c r="S29" i="65" s="1"/>
  <c r="Q21" i="65"/>
  <c r="S21" i="65" s="1"/>
  <c r="Q18" i="65"/>
  <c r="S18" i="65" s="1"/>
  <c r="I15" i="69"/>
  <c r="I69" i="72"/>
  <c r="K69" i="72" s="1"/>
  <c r="I37" i="68"/>
  <c r="K37" i="68" s="1"/>
  <c r="I20" i="66"/>
  <c r="K20" i="66" s="1"/>
  <c r="Q61" i="73"/>
  <c r="S61" i="73" s="1"/>
  <c r="Q41" i="72"/>
  <c r="S41" i="72" s="1"/>
  <c r="I42" i="72"/>
  <c r="K42" i="72" s="1"/>
  <c r="I52" i="71"/>
  <c r="K52" i="71" s="1"/>
  <c r="Q22" i="71"/>
  <c r="S22" i="71" s="1"/>
  <c r="Q66" i="71"/>
  <c r="S66" i="71" s="1"/>
  <c r="I50" i="71"/>
  <c r="K50" i="71" s="1"/>
  <c r="I61" i="70"/>
  <c r="K61" i="70" s="1"/>
  <c r="Q48" i="70"/>
  <c r="S48" i="70" s="1"/>
  <c r="I52" i="70"/>
  <c r="K52" i="70" s="1"/>
  <c r="I47" i="70"/>
  <c r="K47" i="70" s="1"/>
  <c r="Q41" i="69"/>
  <c r="S41" i="69" s="1"/>
  <c r="Q25" i="68"/>
  <c r="S25" i="68" s="1"/>
  <c r="I38" i="68"/>
  <c r="K38" i="68" s="1"/>
  <c r="I55" i="67"/>
  <c r="K55" i="67" s="1"/>
  <c r="I46" i="66"/>
  <c r="K46" i="66" s="1"/>
  <c r="I60" i="66"/>
  <c r="K60" i="66" s="1"/>
  <c r="Q42" i="65"/>
  <c r="S42" i="65" s="1"/>
  <c r="I72" i="65"/>
  <c r="K72" i="65" s="1"/>
  <c r="I60" i="65"/>
  <c r="K60" i="65" s="1"/>
  <c r="I58" i="66"/>
  <c r="K58" i="66" s="1"/>
  <c r="I40" i="69"/>
  <c r="K40" i="69" s="1"/>
  <c r="I24" i="66"/>
  <c r="K24" i="66" s="1"/>
  <c r="I29" i="65"/>
  <c r="K29" i="65" s="1"/>
  <c r="Q66" i="68"/>
  <c r="S66" i="68" s="1"/>
  <c r="I65" i="73"/>
  <c r="K65" i="73" s="1"/>
  <c r="I21" i="72"/>
  <c r="K21" i="72" s="1"/>
  <c r="I18" i="72"/>
  <c r="K18" i="72" s="1"/>
  <c r="I23" i="70"/>
  <c r="K23" i="70" s="1"/>
  <c r="I48" i="69"/>
  <c r="K48" i="69" s="1"/>
  <c r="Q19" i="72"/>
  <c r="S19" i="72" s="1"/>
  <c r="I19" i="69"/>
  <c r="K19" i="69" s="1"/>
  <c r="I49" i="67"/>
  <c r="K49" i="67" s="1"/>
  <c r="I45" i="68"/>
  <c r="K45" i="68" s="1"/>
  <c r="I28" i="66"/>
  <c r="K28" i="66" s="1"/>
  <c r="Q65" i="73"/>
  <c r="S65" i="73" s="1"/>
  <c r="I16" i="72"/>
  <c r="K16" i="72" s="1"/>
  <c r="Q45" i="72"/>
  <c r="S45" i="72" s="1"/>
  <c r="I66" i="72"/>
  <c r="K66" i="72" s="1"/>
  <c r="Q70" i="71"/>
  <c r="S70" i="71" s="1"/>
  <c r="I21" i="70"/>
  <c r="K21" i="70" s="1"/>
  <c r="Q60" i="70"/>
  <c r="S60" i="70" s="1"/>
  <c r="I51" i="70"/>
  <c r="K51" i="70" s="1"/>
  <c r="I46" i="70"/>
  <c r="K46" i="70" s="1"/>
  <c r="I60" i="68"/>
  <c r="K60" i="68" s="1"/>
  <c r="I15" i="67"/>
  <c r="I59" i="67"/>
  <c r="K59" i="67" s="1"/>
  <c r="Q17" i="66"/>
  <c r="S17" i="66" s="1"/>
  <c r="I66" i="66"/>
  <c r="K66" i="66" s="1"/>
  <c r="Q45" i="65"/>
  <c r="S45" i="65" s="1"/>
  <c r="Q62" i="68"/>
  <c r="S62" i="68" s="1"/>
  <c r="I30" i="73"/>
  <c r="K30" i="73" s="1"/>
  <c r="I16" i="68"/>
  <c r="K16" i="68" s="1"/>
  <c r="I23" i="69"/>
  <c r="K23" i="69" s="1"/>
  <c r="I57" i="67"/>
  <c r="K57" i="67" s="1"/>
  <c r="I57" i="68"/>
  <c r="K57" i="68" s="1"/>
  <c r="Q38" i="73"/>
  <c r="S38" i="73" s="1"/>
  <c r="Q53" i="72"/>
  <c r="S53" i="72" s="1"/>
  <c r="I70" i="72"/>
  <c r="K70" i="72" s="1"/>
  <c r="Q34" i="70"/>
  <c r="S34" i="70" s="1"/>
  <c r="I55" i="70"/>
  <c r="K55" i="70" s="1"/>
  <c r="I50" i="70"/>
  <c r="K50" i="70" s="1"/>
  <c r="Q30" i="69"/>
  <c r="S30" i="69" s="1"/>
  <c r="I27" i="67"/>
  <c r="K27" i="67" s="1"/>
  <c r="Q21" i="66"/>
  <c r="S21" i="66" s="1"/>
  <c r="I69" i="66"/>
  <c r="K69" i="66" s="1"/>
  <c r="Q15" i="65"/>
  <c r="I69" i="65"/>
  <c r="K69" i="65" s="1"/>
  <c r="I60" i="72"/>
  <c r="K60" i="72" s="1"/>
  <c r="I21" i="71"/>
  <c r="K21" i="71" s="1"/>
  <c r="Q17" i="73"/>
  <c r="S17" i="73" s="1"/>
  <c r="Q46" i="72"/>
  <c r="S46" i="72" s="1"/>
  <c r="I28" i="68"/>
  <c r="K28" i="68" s="1"/>
  <c r="I55" i="69"/>
  <c r="K55" i="69" s="1"/>
  <c r="I69" i="67"/>
  <c r="K69" i="67" s="1"/>
  <c r="I61" i="68"/>
  <c r="K61" i="68" s="1"/>
  <c r="I44" i="72"/>
  <c r="K44" i="72" s="1"/>
  <c r="I57" i="72"/>
  <c r="K57" i="72" s="1"/>
  <c r="Q57" i="72"/>
  <c r="S57" i="72" s="1"/>
  <c r="Q50" i="71"/>
  <c r="S50" i="71" s="1"/>
  <c r="Q38" i="71"/>
  <c r="S38" i="71" s="1"/>
  <c r="I17" i="70"/>
  <c r="K17" i="70" s="1"/>
  <c r="Q54" i="70"/>
  <c r="S54" i="70" s="1"/>
  <c r="I72" i="70"/>
  <c r="K72" i="70" s="1"/>
  <c r="I54" i="70"/>
  <c r="K54" i="70" s="1"/>
  <c r="I20" i="69"/>
  <c r="K20" i="69" s="1"/>
  <c r="I36" i="69"/>
  <c r="K36" i="69" s="1"/>
  <c r="Q34" i="69"/>
  <c r="S34" i="69" s="1"/>
  <c r="Q37" i="68"/>
  <c r="S37" i="68" s="1"/>
  <c r="I72" i="66"/>
  <c r="K72" i="66" s="1"/>
  <c r="Q66" i="66"/>
  <c r="S66" i="66" s="1"/>
  <c r="I53" i="69"/>
  <c r="K53" i="69" s="1"/>
  <c r="I32" i="68"/>
  <c r="K32" i="68" s="1"/>
  <c r="Q18" i="68"/>
  <c r="S18" i="68" s="1"/>
  <c r="I37" i="69"/>
  <c r="K37" i="69" s="1"/>
  <c r="I52" i="72"/>
  <c r="K52" i="72" s="1"/>
  <c r="I44" i="73"/>
  <c r="K44" i="73" s="1"/>
  <c r="I22" i="73"/>
  <c r="K22" i="73" s="1"/>
  <c r="I33" i="72"/>
  <c r="K33" i="72" s="1"/>
  <c r="Q30" i="72"/>
  <c r="S30" i="72" s="1"/>
  <c r="Q61" i="72"/>
  <c r="S61" i="72" s="1"/>
  <c r="Q36" i="70"/>
  <c r="S36" i="70" s="1"/>
  <c r="Q58" i="70"/>
  <c r="S58" i="70" s="1"/>
  <c r="I62" i="70"/>
  <c r="K62" i="70" s="1"/>
  <c r="I21" i="68"/>
  <c r="K21" i="68" s="1"/>
  <c r="I30" i="68"/>
  <c r="K30" i="68" s="1"/>
  <c r="I18" i="66"/>
  <c r="K18" i="66" s="1"/>
  <c r="Q62" i="65"/>
  <c r="S62" i="65" s="1"/>
  <c r="Q57" i="65"/>
  <c r="S57" i="65" s="1"/>
  <c r="I65" i="65"/>
  <c r="K65" i="65" s="1"/>
  <c r="I45" i="65"/>
  <c r="K45" i="65" s="1"/>
  <c r="I49" i="69"/>
  <c r="K49" i="69" s="1"/>
  <c r="Q50" i="73"/>
  <c r="S50" i="73" s="1"/>
  <c r="Q38" i="72"/>
  <c r="S38" i="72" s="1"/>
  <c r="I24" i="71"/>
  <c r="K24" i="71" s="1"/>
  <c r="I70" i="70"/>
  <c r="K70" i="70" s="1"/>
  <c r="Q65" i="65"/>
  <c r="S65" i="65" s="1"/>
  <c r="I21" i="73"/>
  <c r="K21" i="73" s="1"/>
  <c r="Q16" i="73"/>
  <c r="S16" i="73" s="1"/>
  <c r="I72" i="73"/>
  <c r="K72" i="73" s="1"/>
  <c r="I38" i="73"/>
  <c r="K38" i="73" s="1"/>
  <c r="I28" i="71"/>
  <c r="K28" i="71" s="1"/>
  <c r="I48" i="71"/>
  <c r="K48" i="71" s="1"/>
  <c r="I50" i="66"/>
  <c r="K50" i="66" s="1"/>
  <c r="Q18" i="66"/>
  <c r="S18" i="66" s="1"/>
  <c r="Q30" i="68"/>
  <c r="S30" i="68" s="1"/>
  <c r="I41" i="69"/>
  <c r="K41" i="69" s="1"/>
  <c r="I56" i="72"/>
  <c r="K56" i="72" s="1"/>
  <c r="I68" i="73"/>
  <c r="K68" i="73" s="1"/>
  <c r="I36" i="73"/>
  <c r="K36" i="73" s="1"/>
  <c r="I26" i="73"/>
  <c r="K26" i="73" s="1"/>
  <c r="Q34" i="72"/>
  <c r="S34" i="72" s="1"/>
  <c r="I17" i="71"/>
  <c r="K17" i="71" s="1"/>
  <c r="I65" i="70"/>
  <c r="K65" i="70" s="1"/>
  <c r="I66" i="70"/>
  <c r="K66" i="70" s="1"/>
  <c r="I24" i="69"/>
  <c r="K24" i="69" s="1"/>
  <c r="I28" i="69"/>
  <c r="K28" i="69" s="1"/>
  <c r="I46" i="68"/>
  <c r="K46" i="68" s="1"/>
  <c r="I21" i="66"/>
  <c r="K21" i="66" s="1"/>
  <c r="I57" i="70"/>
  <c r="K57" i="70" s="1"/>
  <c r="I50" i="68"/>
  <c r="K50" i="68" s="1"/>
  <c r="I25" i="71"/>
  <c r="K25" i="71" s="1"/>
  <c r="Q18" i="70"/>
  <c r="S18" i="70" s="1"/>
  <c r="Q20" i="73"/>
  <c r="S20" i="73" s="1"/>
  <c r="I17" i="73"/>
  <c r="K17" i="73" s="1"/>
  <c r="Q70" i="73"/>
  <c r="S70" i="73" s="1"/>
  <c r="Q41" i="73"/>
  <c r="S41" i="73" s="1"/>
  <c r="I42" i="73"/>
  <c r="K42" i="73" s="1"/>
  <c r="Q50" i="72"/>
  <c r="S50" i="72" s="1"/>
  <c r="I22" i="72"/>
  <c r="K22" i="72" s="1"/>
  <c r="Q26" i="71"/>
  <c r="S26" i="71" s="1"/>
  <c r="I60" i="71"/>
  <c r="K60" i="71" s="1"/>
  <c r="I18" i="71"/>
  <c r="K18" i="71" s="1"/>
  <c r="I26" i="70"/>
  <c r="K26" i="70" s="1"/>
  <c r="I27" i="70"/>
  <c r="K27" i="70" s="1"/>
  <c r="Q38" i="70"/>
  <c r="S38" i="70" s="1"/>
  <c r="Q61" i="69"/>
  <c r="S61" i="69" s="1"/>
  <c r="I53" i="68"/>
  <c r="K53" i="68" s="1"/>
  <c r="I22" i="68"/>
  <c r="K22" i="68" s="1"/>
  <c r="I43" i="67"/>
  <c r="K43" i="67" s="1"/>
  <c r="I33" i="66"/>
  <c r="K33" i="66" s="1"/>
  <c r="Q43" i="65"/>
  <c r="S43" i="65" s="1"/>
  <c r="Q22" i="65"/>
  <c r="S22" i="65" s="1"/>
  <c r="I33" i="71"/>
  <c r="K33" i="71" s="1"/>
  <c r="I61" i="66"/>
  <c r="K61" i="66" s="1"/>
  <c r="Q26" i="70"/>
  <c r="S26" i="70" s="1"/>
  <c r="I49" i="70"/>
  <c r="K49" i="70" s="1"/>
  <c r="I57" i="73"/>
  <c r="K57" i="73" s="1"/>
  <c r="I60" i="73"/>
  <c r="K60" i="73" s="1"/>
  <c r="I28" i="73"/>
  <c r="K28" i="73" s="1"/>
  <c r="Q45" i="73"/>
  <c r="S45" i="73" s="1"/>
  <c r="I46" i="73"/>
  <c r="K46" i="73" s="1"/>
  <c r="I25" i="72"/>
  <c r="K25" i="72" s="1"/>
  <c r="Q54" i="72"/>
  <c r="S54" i="72" s="1"/>
  <c r="I26" i="72"/>
  <c r="K26" i="72" s="1"/>
  <c r="I64" i="71"/>
  <c r="K64" i="71" s="1"/>
  <c r="I22" i="71"/>
  <c r="K22" i="71" s="1"/>
  <c r="Q50" i="70"/>
  <c r="S50" i="70" s="1"/>
  <c r="Q33" i="69"/>
  <c r="S33" i="69" s="1"/>
  <c r="Q29" i="69"/>
  <c r="S29" i="69" s="1"/>
  <c r="I26" i="68"/>
  <c r="K26" i="68" s="1"/>
  <c r="I25" i="66"/>
  <c r="K25" i="66" s="1"/>
  <c r="I36" i="66"/>
  <c r="K36" i="66" s="1"/>
  <c r="I72" i="68"/>
  <c r="K72" i="68" s="1"/>
  <c r="I18" i="68"/>
  <c r="K18" i="68" s="1"/>
  <c r="I47" i="67"/>
  <c r="K47" i="67" s="1"/>
  <c r="I19" i="67"/>
  <c r="K19" i="67" s="1"/>
  <c r="I54" i="66"/>
  <c r="K54" i="66" s="1"/>
  <c r="Q64" i="65"/>
  <c r="S64" i="65" s="1"/>
  <c r="Q26" i="65"/>
  <c r="S26" i="65" s="1"/>
  <c r="I33" i="65"/>
  <c r="K33" i="65" s="1"/>
  <c r="I69" i="71"/>
  <c r="K69" i="71" s="1"/>
  <c r="I29" i="68"/>
  <c r="K29" i="68" s="1"/>
  <c r="Q33" i="72"/>
  <c r="S33" i="72" s="1"/>
  <c r="I16" i="73"/>
  <c r="K16" i="73" s="1"/>
  <c r="Q54" i="73"/>
  <c r="S54" i="73" s="1"/>
  <c r="Q57" i="73"/>
  <c r="S57" i="73" s="1"/>
  <c r="Q37" i="72"/>
  <c r="S37" i="72" s="1"/>
  <c r="I38" i="72"/>
  <c r="K38" i="72" s="1"/>
  <c r="I36" i="71"/>
  <c r="K36" i="71" s="1"/>
  <c r="I46" i="71"/>
  <c r="K46" i="71" s="1"/>
  <c r="I44" i="70"/>
  <c r="K44" i="70" s="1"/>
  <c r="I31" i="70"/>
  <c r="K31" i="70" s="1"/>
  <c r="I65" i="71"/>
  <c r="K65" i="71" s="1"/>
  <c r="I53" i="72"/>
  <c r="K53" i="72" s="1"/>
  <c r="Q25" i="66"/>
  <c r="S25" i="66" s="1"/>
  <c r="I53" i="70"/>
  <c r="K53" i="70" s="1"/>
  <c r="Q49" i="73"/>
  <c r="S49" i="73" s="1"/>
  <c r="I70" i="73"/>
  <c r="K70" i="73" s="1"/>
  <c r="I29" i="72"/>
  <c r="K29" i="72" s="1"/>
  <c r="I34" i="72"/>
  <c r="K34" i="72" s="1"/>
  <c r="I42" i="71"/>
  <c r="K42" i="71" s="1"/>
  <c r="Q56" i="70"/>
  <c r="S56" i="70" s="1"/>
  <c r="I61" i="69"/>
  <c r="K61" i="69" s="1"/>
  <c r="Q44" i="70"/>
  <c r="S44" i="70" s="1"/>
  <c r="Q17" i="68"/>
  <c r="S17" i="68" s="1"/>
  <c r="I34" i="68"/>
  <c r="K34" i="68" s="1"/>
  <c r="Q42" i="70"/>
  <c r="S42" i="70" s="1"/>
  <c r="Q39" i="65"/>
  <c r="S39" i="65" s="1"/>
  <c r="I57" i="66"/>
  <c r="K57" i="66" s="1"/>
  <c r="Q68" i="65"/>
  <c r="S68" i="65" s="1"/>
  <c r="Q40" i="65"/>
  <c r="S40" i="65" s="1"/>
  <c r="I70" i="65"/>
  <c r="K70" i="65" s="1"/>
  <c r="Q26" i="68"/>
  <c r="S26" i="68" s="1"/>
  <c r="I30" i="66"/>
  <c r="K30" i="66" s="1"/>
  <c r="Q21" i="69"/>
  <c r="S21" i="69" s="1"/>
  <c r="I49" i="68"/>
  <c r="K49" i="68" s="1"/>
  <c r="Q57" i="68"/>
  <c r="S57" i="68" s="1"/>
  <c r="I53" i="67"/>
  <c r="K53" i="67" s="1"/>
  <c r="I39" i="70"/>
  <c r="K39" i="70" s="1"/>
  <c r="Q67" i="65"/>
  <c r="S67" i="65" s="1"/>
  <c r="I16" i="69"/>
  <c r="K16" i="69" s="1"/>
  <c r="Q49" i="68"/>
  <c r="S49" i="68" s="1"/>
  <c r="I34" i="65"/>
  <c r="K34" i="65" s="1"/>
  <c r="I55" i="65"/>
  <c r="K55" i="65" s="1"/>
  <c r="Q71" i="65"/>
  <c r="S71" i="65" s="1"/>
  <c r="I46" i="65"/>
  <c r="K46" i="65" s="1"/>
  <c r="I43" i="65"/>
  <c r="K43" i="65" s="1"/>
  <c r="I26" i="65"/>
  <c r="K26" i="65" s="1"/>
  <c r="I40" i="65"/>
  <c r="K40" i="65" s="1"/>
  <c r="I25" i="65"/>
  <c r="K25" i="65" s="1"/>
  <c r="I68" i="65"/>
  <c r="K68" i="65" s="1"/>
  <c r="K25" i="64"/>
  <c r="L25" i="64" s="1"/>
  <c r="K37" i="64"/>
  <c r="L37" i="64" s="1"/>
  <c r="K49" i="64"/>
  <c r="L49" i="64" s="1"/>
  <c r="K61" i="64"/>
  <c r="L61" i="64" s="1"/>
  <c r="G16" i="64"/>
  <c r="H16" i="64" s="1"/>
  <c r="G28" i="64"/>
  <c r="H28" i="64" s="1"/>
  <c r="G40" i="64"/>
  <c r="H40" i="64" s="1"/>
  <c r="G52" i="64"/>
  <c r="H52" i="64" s="1"/>
  <c r="G64" i="64"/>
  <c r="H64" i="64" s="1"/>
  <c r="K20" i="63"/>
  <c r="L20" i="63" s="1"/>
  <c r="K32" i="63"/>
  <c r="L32" i="63" s="1"/>
  <c r="K44" i="63"/>
  <c r="L44" i="63" s="1"/>
  <c r="K56" i="63"/>
  <c r="L56" i="63" s="1"/>
  <c r="K68" i="63"/>
  <c r="L68" i="63" s="1"/>
  <c r="G22" i="63"/>
  <c r="H22" i="63" s="1"/>
  <c r="G34" i="63"/>
  <c r="H34" i="63" s="1"/>
  <c r="G46" i="63"/>
  <c r="H46" i="63" s="1"/>
  <c r="G58" i="63"/>
  <c r="H58" i="63" s="1"/>
  <c r="G70" i="63"/>
  <c r="H70" i="63" s="1"/>
  <c r="K24" i="62"/>
  <c r="L24" i="62" s="1"/>
  <c r="K36" i="62"/>
  <c r="L36" i="62" s="1"/>
  <c r="K48" i="62"/>
  <c r="L48" i="62" s="1"/>
  <c r="K60" i="62"/>
  <c r="L60" i="62" s="1"/>
  <c r="K72" i="62"/>
  <c r="L72" i="62" s="1"/>
  <c r="G26" i="62"/>
  <c r="H26" i="62" s="1"/>
  <c r="G38" i="62"/>
  <c r="H38" i="62" s="1"/>
  <c r="G50" i="62"/>
  <c r="H50" i="62" s="1"/>
  <c r="G62" i="62"/>
  <c r="H62" i="62" s="1"/>
  <c r="K21" i="61"/>
  <c r="L21" i="61" s="1"/>
  <c r="K33" i="61"/>
  <c r="L33" i="61" s="1"/>
  <c r="K45" i="61"/>
  <c r="L45" i="61" s="1"/>
  <c r="K57" i="61"/>
  <c r="L57" i="61" s="1"/>
  <c r="K69" i="61"/>
  <c r="L69" i="61" s="1"/>
  <c r="G24" i="61"/>
  <c r="H24" i="61" s="1"/>
  <c r="G36" i="61"/>
  <c r="H36" i="61" s="1"/>
  <c r="G48" i="61"/>
  <c r="H48" i="61" s="1"/>
  <c r="G60" i="61"/>
  <c r="H60" i="61" s="1"/>
  <c r="G72" i="61"/>
  <c r="H72" i="61" s="1"/>
  <c r="K16" i="60"/>
  <c r="L16" i="60" s="1"/>
  <c r="K28" i="60"/>
  <c r="L28" i="60" s="1"/>
  <c r="K40" i="60"/>
  <c r="L40" i="60" s="1"/>
  <c r="K52" i="60"/>
  <c r="L52" i="60" s="1"/>
  <c r="K64" i="60"/>
  <c r="L64" i="60" s="1"/>
  <c r="G18" i="60"/>
  <c r="H18" i="60" s="1"/>
  <c r="G30" i="60"/>
  <c r="H30" i="60" s="1"/>
  <c r="G42" i="60"/>
  <c r="H42" i="60" s="1"/>
  <c r="G54" i="60"/>
  <c r="H54" i="60" s="1"/>
  <c r="G66" i="60"/>
  <c r="H66" i="60" s="1"/>
  <c r="I58" i="65"/>
  <c r="K58" i="65" s="1"/>
  <c r="I31" i="65"/>
  <c r="K31" i="65" s="1"/>
  <c r="Q46" i="65"/>
  <c r="S46" i="65" s="1"/>
  <c r="I18" i="65"/>
  <c r="K18" i="65" s="1"/>
  <c r="I42" i="65"/>
  <c r="K42" i="65" s="1"/>
  <c r="K26" i="64"/>
  <c r="L26" i="64" s="1"/>
  <c r="K38" i="64"/>
  <c r="L38" i="64" s="1"/>
  <c r="K50" i="64"/>
  <c r="L50" i="64" s="1"/>
  <c r="K62" i="64"/>
  <c r="L62" i="64" s="1"/>
  <c r="G17" i="64"/>
  <c r="H17" i="64" s="1"/>
  <c r="G29" i="64"/>
  <c r="H29" i="64" s="1"/>
  <c r="G41" i="64"/>
  <c r="H41" i="64" s="1"/>
  <c r="G53" i="64"/>
  <c r="H53" i="64" s="1"/>
  <c r="G65" i="64"/>
  <c r="H65" i="64" s="1"/>
  <c r="K21" i="63"/>
  <c r="L21" i="63" s="1"/>
  <c r="K33" i="63"/>
  <c r="L33" i="63" s="1"/>
  <c r="K45" i="63"/>
  <c r="L45" i="63" s="1"/>
  <c r="K57" i="63"/>
  <c r="L57" i="63" s="1"/>
  <c r="K69" i="63"/>
  <c r="L69" i="63" s="1"/>
  <c r="G23" i="63"/>
  <c r="H23" i="63" s="1"/>
  <c r="G35" i="63"/>
  <c r="H35" i="63" s="1"/>
  <c r="G47" i="63"/>
  <c r="H47" i="63" s="1"/>
  <c r="G59" i="63"/>
  <c r="H59" i="63" s="1"/>
  <c r="G71" i="63"/>
  <c r="H71" i="63" s="1"/>
  <c r="K25" i="62"/>
  <c r="L25" i="62" s="1"/>
  <c r="K37" i="62"/>
  <c r="L37" i="62" s="1"/>
  <c r="K49" i="62"/>
  <c r="L49" i="62" s="1"/>
  <c r="K61" i="62"/>
  <c r="L61" i="62" s="1"/>
  <c r="K15" i="62"/>
  <c r="G27" i="62"/>
  <c r="H27" i="62" s="1"/>
  <c r="G39" i="62"/>
  <c r="H39" i="62" s="1"/>
  <c r="G51" i="62"/>
  <c r="H51" i="62" s="1"/>
  <c r="G63" i="62"/>
  <c r="H63" i="62" s="1"/>
  <c r="K22" i="61"/>
  <c r="L22" i="61" s="1"/>
  <c r="K34" i="61"/>
  <c r="L34" i="61" s="1"/>
  <c r="K46" i="61"/>
  <c r="L46" i="61" s="1"/>
  <c r="K58" i="61"/>
  <c r="L58" i="61" s="1"/>
  <c r="K70" i="61"/>
  <c r="L70" i="61" s="1"/>
  <c r="G25" i="61"/>
  <c r="H25" i="61" s="1"/>
  <c r="G37" i="61"/>
  <c r="H37" i="61" s="1"/>
  <c r="G49" i="61"/>
  <c r="H49" i="61" s="1"/>
  <c r="G61" i="61"/>
  <c r="H61" i="61" s="1"/>
  <c r="K15" i="61"/>
  <c r="K17" i="60"/>
  <c r="L17" i="60" s="1"/>
  <c r="K29" i="60"/>
  <c r="L29" i="60" s="1"/>
  <c r="K41" i="60"/>
  <c r="L41" i="60" s="1"/>
  <c r="K53" i="60"/>
  <c r="L53" i="60" s="1"/>
  <c r="K65" i="60"/>
  <c r="L65" i="60" s="1"/>
  <c r="G19" i="60"/>
  <c r="H19" i="60" s="1"/>
  <c r="G31" i="60"/>
  <c r="H31" i="60" s="1"/>
  <c r="G43" i="60"/>
  <c r="H43" i="60" s="1"/>
  <c r="G55" i="60"/>
  <c r="H55" i="60" s="1"/>
  <c r="G67" i="60"/>
  <c r="H67" i="60" s="1"/>
  <c r="I71" i="65"/>
  <c r="K71" i="65" s="1"/>
  <c r="Q72" i="65"/>
  <c r="S72" i="65" s="1"/>
  <c r="I52" i="65"/>
  <c r="K52" i="65" s="1"/>
  <c r="I37" i="65"/>
  <c r="K37" i="65" s="1"/>
  <c r="I30" i="65"/>
  <c r="K30" i="65" s="1"/>
  <c r="I15" i="65"/>
  <c r="K27" i="64"/>
  <c r="L27" i="64" s="1"/>
  <c r="K39" i="64"/>
  <c r="L39" i="64" s="1"/>
  <c r="K51" i="64"/>
  <c r="L51" i="64" s="1"/>
  <c r="K63" i="64"/>
  <c r="L63" i="64" s="1"/>
  <c r="G18" i="64"/>
  <c r="H18" i="64" s="1"/>
  <c r="G30" i="64"/>
  <c r="H30" i="64" s="1"/>
  <c r="G42" i="64"/>
  <c r="H42" i="64" s="1"/>
  <c r="G54" i="64"/>
  <c r="H54" i="64" s="1"/>
  <c r="G66" i="64"/>
  <c r="H66" i="64" s="1"/>
  <c r="K22" i="63"/>
  <c r="L22" i="63" s="1"/>
  <c r="K34" i="63"/>
  <c r="L34" i="63" s="1"/>
  <c r="K46" i="63"/>
  <c r="L46" i="63" s="1"/>
  <c r="K58" i="63"/>
  <c r="L58" i="63" s="1"/>
  <c r="K70" i="63"/>
  <c r="L70" i="63" s="1"/>
  <c r="G24" i="63"/>
  <c r="H24" i="63" s="1"/>
  <c r="G36" i="63"/>
  <c r="H36" i="63" s="1"/>
  <c r="G48" i="63"/>
  <c r="H48" i="63" s="1"/>
  <c r="G60" i="63"/>
  <c r="H60" i="63" s="1"/>
  <c r="G72" i="63"/>
  <c r="H72" i="63" s="1"/>
  <c r="K26" i="62"/>
  <c r="L26" i="62" s="1"/>
  <c r="K38" i="62"/>
  <c r="L38" i="62" s="1"/>
  <c r="K50" i="62"/>
  <c r="L50" i="62" s="1"/>
  <c r="K62" i="62"/>
  <c r="L62" i="62" s="1"/>
  <c r="G16" i="62"/>
  <c r="H16" i="62" s="1"/>
  <c r="G28" i="62"/>
  <c r="H28" i="62" s="1"/>
  <c r="G40" i="62"/>
  <c r="H40" i="62" s="1"/>
  <c r="G52" i="62"/>
  <c r="H52" i="62" s="1"/>
  <c r="G64" i="62"/>
  <c r="H64" i="62" s="1"/>
  <c r="K23" i="61"/>
  <c r="L23" i="61" s="1"/>
  <c r="K35" i="61"/>
  <c r="L35" i="61" s="1"/>
  <c r="K47" i="61"/>
  <c r="L47" i="61" s="1"/>
  <c r="K59" i="61"/>
  <c r="L59" i="61" s="1"/>
  <c r="K71" i="61"/>
  <c r="L71" i="61" s="1"/>
  <c r="G26" i="61"/>
  <c r="H26" i="61" s="1"/>
  <c r="G38" i="61"/>
  <c r="H38" i="61" s="1"/>
  <c r="G50" i="61"/>
  <c r="H50" i="61" s="1"/>
  <c r="G62" i="61"/>
  <c r="H62" i="61" s="1"/>
  <c r="G15" i="61"/>
  <c r="K18" i="60"/>
  <c r="L18" i="60" s="1"/>
  <c r="K30" i="60"/>
  <c r="L30" i="60" s="1"/>
  <c r="K42" i="60"/>
  <c r="L42" i="60" s="1"/>
  <c r="K54" i="60"/>
  <c r="L54" i="60" s="1"/>
  <c r="K66" i="60"/>
  <c r="L66" i="60" s="1"/>
  <c r="G20" i="60"/>
  <c r="H20" i="60" s="1"/>
  <c r="G32" i="60"/>
  <c r="H32" i="60" s="1"/>
  <c r="G44" i="60"/>
  <c r="H44" i="60" s="1"/>
  <c r="G56" i="60"/>
  <c r="H56" i="60" s="1"/>
  <c r="I59" i="65"/>
  <c r="K59" i="65" s="1"/>
  <c r="I27" i="65"/>
  <c r="K27" i="65" s="1"/>
  <c r="K16" i="64"/>
  <c r="L16" i="64" s="1"/>
  <c r="K28" i="64"/>
  <c r="L28" i="64" s="1"/>
  <c r="K40" i="64"/>
  <c r="L40" i="64" s="1"/>
  <c r="K52" i="64"/>
  <c r="L52" i="64" s="1"/>
  <c r="K64" i="64"/>
  <c r="L64" i="64" s="1"/>
  <c r="G19" i="64"/>
  <c r="H19" i="64" s="1"/>
  <c r="G31" i="64"/>
  <c r="H31" i="64" s="1"/>
  <c r="G43" i="64"/>
  <c r="H43" i="64" s="1"/>
  <c r="G55" i="64"/>
  <c r="H55" i="64" s="1"/>
  <c r="G67" i="64"/>
  <c r="H67" i="64" s="1"/>
  <c r="K23" i="63"/>
  <c r="L23" i="63" s="1"/>
  <c r="K35" i="63"/>
  <c r="L35" i="63" s="1"/>
  <c r="K47" i="63"/>
  <c r="L47" i="63" s="1"/>
  <c r="K59" i="63"/>
  <c r="L59" i="63" s="1"/>
  <c r="K71" i="63"/>
  <c r="L71" i="63" s="1"/>
  <c r="G25" i="63"/>
  <c r="H25" i="63" s="1"/>
  <c r="G37" i="63"/>
  <c r="H37" i="63" s="1"/>
  <c r="G49" i="63"/>
  <c r="H49" i="63" s="1"/>
  <c r="G61" i="63"/>
  <c r="H61" i="63" s="1"/>
  <c r="G15" i="63"/>
  <c r="K27" i="62"/>
  <c r="L27" i="62" s="1"/>
  <c r="K39" i="62"/>
  <c r="L39" i="62" s="1"/>
  <c r="K51" i="62"/>
  <c r="L51" i="62" s="1"/>
  <c r="K63" i="62"/>
  <c r="L63" i="62" s="1"/>
  <c r="G17" i="62"/>
  <c r="H17" i="62" s="1"/>
  <c r="G29" i="62"/>
  <c r="H29" i="62" s="1"/>
  <c r="G41" i="62"/>
  <c r="H41" i="62" s="1"/>
  <c r="G53" i="62"/>
  <c r="H53" i="62" s="1"/>
  <c r="G65" i="62"/>
  <c r="H65" i="62" s="1"/>
  <c r="K24" i="61"/>
  <c r="L24" i="61" s="1"/>
  <c r="K36" i="61"/>
  <c r="L36" i="61" s="1"/>
  <c r="K48" i="61"/>
  <c r="L48" i="61" s="1"/>
  <c r="K60" i="61"/>
  <c r="L60" i="61" s="1"/>
  <c r="K72" i="61"/>
  <c r="L72" i="61" s="1"/>
  <c r="G27" i="61"/>
  <c r="H27" i="61" s="1"/>
  <c r="G39" i="61"/>
  <c r="H39" i="61" s="1"/>
  <c r="G51" i="61"/>
  <c r="H51" i="61" s="1"/>
  <c r="G63" i="61"/>
  <c r="H63" i="61" s="1"/>
  <c r="K19" i="60"/>
  <c r="L19" i="60" s="1"/>
  <c r="K31" i="60"/>
  <c r="L31" i="60" s="1"/>
  <c r="K43" i="60"/>
  <c r="L43" i="60" s="1"/>
  <c r="K55" i="60"/>
  <c r="L55" i="60" s="1"/>
  <c r="K67" i="60"/>
  <c r="L67" i="60" s="1"/>
  <c r="G21" i="60"/>
  <c r="H21" i="60" s="1"/>
  <c r="G33" i="60"/>
  <c r="H33" i="60" s="1"/>
  <c r="G45" i="60"/>
  <c r="H45" i="60" s="1"/>
  <c r="G57" i="60"/>
  <c r="H57" i="60" s="1"/>
  <c r="G69" i="60"/>
  <c r="H69" i="60" s="1"/>
  <c r="I17" i="65"/>
  <c r="K17" i="65" s="1"/>
  <c r="Q36" i="65"/>
  <c r="S36" i="65" s="1"/>
  <c r="Q61" i="65"/>
  <c r="S61" i="65" s="1"/>
  <c r="I32" i="65"/>
  <c r="K32" i="65" s="1"/>
  <c r="I63" i="65"/>
  <c r="K63" i="65" s="1"/>
  <c r="K19" i="64"/>
  <c r="L19" i="64" s="1"/>
  <c r="K31" i="64"/>
  <c r="L31" i="64" s="1"/>
  <c r="K43" i="64"/>
  <c r="L43" i="64" s="1"/>
  <c r="K55" i="64"/>
  <c r="L55" i="64" s="1"/>
  <c r="K67" i="64"/>
  <c r="L67" i="64" s="1"/>
  <c r="G22" i="64"/>
  <c r="H22" i="64" s="1"/>
  <c r="G34" i="64"/>
  <c r="H34" i="64" s="1"/>
  <c r="G46" i="64"/>
  <c r="H46" i="64" s="1"/>
  <c r="G58" i="64"/>
  <c r="H58" i="64" s="1"/>
  <c r="G70" i="64"/>
  <c r="H70" i="64" s="1"/>
  <c r="K26" i="63"/>
  <c r="L26" i="63" s="1"/>
  <c r="K38" i="63"/>
  <c r="L38" i="63" s="1"/>
  <c r="K50" i="63"/>
  <c r="L50" i="63" s="1"/>
  <c r="K62" i="63"/>
  <c r="L62" i="63" s="1"/>
  <c r="G19" i="63"/>
  <c r="H19" i="63" s="1"/>
  <c r="G28" i="63"/>
  <c r="H28" i="63" s="1"/>
  <c r="G40" i="63"/>
  <c r="H40" i="63" s="1"/>
  <c r="G52" i="63"/>
  <c r="H52" i="63" s="1"/>
  <c r="G64" i="63"/>
  <c r="H64" i="63" s="1"/>
  <c r="K18" i="62"/>
  <c r="L18" i="62" s="1"/>
  <c r="K30" i="62"/>
  <c r="L30" i="62" s="1"/>
  <c r="K42" i="62"/>
  <c r="L42" i="62" s="1"/>
  <c r="K54" i="62"/>
  <c r="L54" i="62" s="1"/>
  <c r="K66" i="62"/>
  <c r="L66" i="62" s="1"/>
  <c r="G20" i="62"/>
  <c r="H20" i="62" s="1"/>
  <c r="G32" i="62"/>
  <c r="H32" i="62" s="1"/>
  <c r="G44" i="62"/>
  <c r="H44" i="62" s="1"/>
  <c r="G56" i="62"/>
  <c r="H56" i="62" s="1"/>
  <c r="G68" i="62"/>
  <c r="H68" i="62" s="1"/>
  <c r="K27" i="61"/>
  <c r="L27" i="61" s="1"/>
  <c r="K39" i="61"/>
  <c r="L39" i="61" s="1"/>
  <c r="K51" i="61"/>
  <c r="L51" i="61" s="1"/>
  <c r="K63" i="61"/>
  <c r="L63" i="61" s="1"/>
  <c r="G18" i="61"/>
  <c r="H18" i="61" s="1"/>
  <c r="G30" i="61"/>
  <c r="H30" i="61" s="1"/>
  <c r="G42" i="61"/>
  <c r="H42" i="61" s="1"/>
  <c r="G54" i="61"/>
  <c r="H54" i="61" s="1"/>
  <c r="G66" i="61"/>
  <c r="H66" i="61" s="1"/>
  <c r="K22" i="60"/>
  <c r="L22" i="60" s="1"/>
  <c r="K34" i="60"/>
  <c r="L34" i="60" s="1"/>
  <c r="K46" i="60"/>
  <c r="L46" i="60" s="1"/>
  <c r="K58" i="60"/>
  <c r="L58" i="60" s="1"/>
  <c r="K70" i="60"/>
  <c r="L70" i="60" s="1"/>
  <c r="G24" i="60"/>
  <c r="H24" i="60" s="1"/>
  <c r="G36" i="60"/>
  <c r="H36" i="60" s="1"/>
  <c r="G48" i="60"/>
  <c r="H48" i="60" s="1"/>
  <c r="G60" i="60"/>
  <c r="H60" i="60" s="1"/>
  <c r="G72" i="60"/>
  <c r="H72" i="60" s="1"/>
  <c r="I50" i="65"/>
  <c r="K50" i="65" s="1"/>
  <c r="I22" i="65"/>
  <c r="K22" i="65" s="1"/>
  <c r="Q59" i="65"/>
  <c r="S59" i="65" s="1"/>
  <c r="I66" i="65"/>
  <c r="K66" i="65" s="1"/>
  <c r="K22" i="64"/>
  <c r="L22" i="64" s="1"/>
  <c r="K34" i="64"/>
  <c r="L34" i="64" s="1"/>
  <c r="K46" i="64"/>
  <c r="L46" i="64" s="1"/>
  <c r="K58" i="64"/>
  <c r="L58" i="64" s="1"/>
  <c r="K70" i="64"/>
  <c r="L70" i="64" s="1"/>
  <c r="G25" i="64"/>
  <c r="H25" i="64" s="1"/>
  <c r="G37" i="64"/>
  <c r="H37" i="64" s="1"/>
  <c r="G49" i="64"/>
  <c r="H49" i="64" s="1"/>
  <c r="G61" i="64"/>
  <c r="H61" i="64" s="1"/>
  <c r="K15" i="64"/>
  <c r="K17" i="63"/>
  <c r="L17" i="63" s="1"/>
  <c r="K29" i="63"/>
  <c r="L29" i="63" s="1"/>
  <c r="K41" i="63"/>
  <c r="L41" i="63" s="1"/>
  <c r="K53" i="63"/>
  <c r="L53" i="63" s="1"/>
  <c r="K65" i="63"/>
  <c r="L65" i="63" s="1"/>
  <c r="G18" i="63"/>
  <c r="H18" i="63" s="1"/>
  <c r="G31" i="63"/>
  <c r="H31" i="63" s="1"/>
  <c r="G43" i="63"/>
  <c r="H43" i="63" s="1"/>
  <c r="G55" i="63"/>
  <c r="H55" i="63" s="1"/>
  <c r="G67" i="63"/>
  <c r="H67" i="63" s="1"/>
  <c r="K21" i="62"/>
  <c r="L21" i="62" s="1"/>
  <c r="K33" i="62"/>
  <c r="L33" i="62" s="1"/>
  <c r="K45" i="62"/>
  <c r="L45" i="62" s="1"/>
  <c r="K57" i="62"/>
  <c r="L57" i="62" s="1"/>
  <c r="K69" i="62"/>
  <c r="L69" i="62" s="1"/>
  <c r="G23" i="62"/>
  <c r="H23" i="62" s="1"/>
  <c r="G35" i="62"/>
  <c r="H35" i="62" s="1"/>
  <c r="G47" i="62"/>
  <c r="H47" i="62" s="1"/>
  <c r="G59" i="62"/>
  <c r="H59" i="62" s="1"/>
  <c r="G71" i="62"/>
  <c r="H71" i="62" s="1"/>
  <c r="K18" i="61"/>
  <c r="L18" i="61" s="1"/>
  <c r="K30" i="61"/>
  <c r="L30" i="61" s="1"/>
  <c r="K42" i="61"/>
  <c r="L42" i="61" s="1"/>
  <c r="K54" i="61"/>
  <c r="L54" i="61" s="1"/>
  <c r="K66" i="61"/>
  <c r="L66" i="61" s="1"/>
  <c r="G21" i="61"/>
  <c r="H21" i="61" s="1"/>
  <c r="G33" i="61"/>
  <c r="H33" i="61" s="1"/>
  <c r="G45" i="61"/>
  <c r="H45" i="61" s="1"/>
  <c r="G57" i="61"/>
  <c r="H57" i="61" s="1"/>
  <c r="G69" i="61"/>
  <c r="H69" i="61" s="1"/>
  <c r="K25" i="60"/>
  <c r="L25" i="60" s="1"/>
  <c r="K37" i="60"/>
  <c r="L37" i="60" s="1"/>
  <c r="K49" i="60"/>
  <c r="L49" i="60" s="1"/>
  <c r="K61" i="60"/>
  <c r="L61" i="60" s="1"/>
  <c r="K15" i="60"/>
  <c r="G27" i="60"/>
  <c r="H27" i="60" s="1"/>
  <c r="G39" i="60"/>
  <c r="H39" i="60" s="1"/>
  <c r="G51" i="60"/>
  <c r="H51" i="60" s="1"/>
  <c r="G63" i="60"/>
  <c r="H63" i="60" s="1"/>
  <c r="I38" i="65"/>
  <c r="K38" i="65" s="1"/>
  <c r="I53" i="65"/>
  <c r="K53" i="65" s="1"/>
  <c r="I28" i="65"/>
  <c r="K28" i="65" s="1"/>
  <c r="K29" i="64"/>
  <c r="L29" i="64" s="1"/>
  <c r="K53" i="64"/>
  <c r="L53" i="64" s="1"/>
  <c r="G20" i="64"/>
  <c r="H20" i="64" s="1"/>
  <c r="G44" i="64"/>
  <c r="H44" i="64" s="1"/>
  <c r="G68" i="64"/>
  <c r="H68" i="64" s="1"/>
  <c r="K16" i="63"/>
  <c r="L16" i="63" s="1"/>
  <c r="K40" i="63"/>
  <c r="L40" i="63" s="1"/>
  <c r="K64" i="63"/>
  <c r="L64" i="63" s="1"/>
  <c r="G30" i="63"/>
  <c r="H30" i="63" s="1"/>
  <c r="G54" i="63"/>
  <c r="H54" i="63" s="1"/>
  <c r="K19" i="62"/>
  <c r="L19" i="62" s="1"/>
  <c r="K43" i="62"/>
  <c r="L43" i="62" s="1"/>
  <c r="K67" i="62"/>
  <c r="L67" i="62" s="1"/>
  <c r="G33" i="62"/>
  <c r="H33" i="62" s="1"/>
  <c r="G57" i="62"/>
  <c r="H57" i="62" s="1"/>
  <c r="K31" i="61"/>
  <c r="L31" i="61" s="1"/>
  <c r="K55" i="61"/>
  <c r="L55" i="61" s="1"/>
  <c r="G22" i="61"/>
  <c r="H22" i="61" s="1"/>
  <c r="G46" i="61"/>
  <c r="H46" i="61" s="1"/>
  <c r="G70" i="61"/>
  <c r="H70" i="61" s="1"/>
  <c r="K23" i="60"/>
  <c r="L23" i="60" s="1"/>
  <c r="K47" i="60"/>
  <c r="L47" i="60" s="1"/>
  <c r="K71" i="60"/>
  <c r="L71" i="60" s="1"/>
  <c r="G37" i="60"/>
  <c r="H37" i="60" s="1"/>
  <c r="G61" i="60"/>
  <c r="H61" i="60" s="1"/>
  <c r="K21" i="59"/>
  <c r="L21" i="59" s="1"/>
  <c r="K33" i="59"/>
  <c r="L33" i="59" s="1"/>
  <c r="K45" i="59"/>
  <c r="L45" i="59" s="1"/>
  <c r="K57" i="59"/>
  <c r="L57" i="59" s="1"/>
  <c r="K69" i="59"/>
  <c r="L69" i="59" s="1"/>
  <c r="G23" i="59"/>
  <c r="H23" i="59" s="1"/>
  <c r="G35" i="59"/>
  <c r="H35" i="59" s="1"/>
  <c r="G47" i="59"/>
  <c r="H47" i="59" s="1"/>
  <c r="G59" i="59"/>
  <c r="H59" i="59" s="1"/>
  <c r="G71" i="59"/>
  <c r="H71" i="59" s="1"/>
  <c r="K20" i="58"/>
  <c r="L20" i="58" s="1"/>
  <c r="K32" i="58"/>
  <c r="L32" i="58" s="1"/>
  <c r="K44" i="58"/>
  <c r="L44" i="58" s="1"/>
  <c r="K56" i="58"/>
  <c r="L56" i="58" s="1"/>
  <c r="K68" i="58"/>
  <c r="L68" i="58" s="1"/>
  <c r="G22" i="58"/>
  <c r="H22" i="58" s="1"/>
  <c r="G34" i="58"/>
  <c r="H34" i="58" s="1"/>
  <c r="G46" i="58"/>
  <c r="H46" i="58" s="1"/>
  <c r="G58" i="58"/>
  <c r="H58" i="58" s="1"/>
  <c r="G70" i="58"/>
  <c r="H70" i="58" s="1"/>
  <c r="K21" i="57"/>
  <c r="L21" i="57" s="1"/>
  <c r="K42" i="57"/>
  <c r="L42" i="57" s="1"/>
  <c r="K52" i="57"/>
  <c r="L52" i="57" s="1"/>
  <c r="K62" i="57"/>
  <c r="L62" i="57" s="1"/>
  <c r="G24" i="57"/>
  <c r="H24" i="57" s="1"/>
  <c r="G40" i="57"/>
  <c r="H40" i="57" s="1"/>
  <c r="G49" i="57"/>
  <c r="H49" i="57" s="1"/>
  <c r="I21" i="65"/>
  <c r="K21" i="65" s="1"/>
  <c r="I62" i="65"/>
  <c r="K62" i="65" s="1"/>
  <c r="K33" i="64"/>
  <c r="L33" i="64" s="1"/>
  <c r="K57" i="64"/>
  <c r="L57" i="64" s="1"/>
  <c r="G24" i="64"/>
  <c r="H24" i="64" s="1"/>
  <c r="G48" i="64"/>
  <c r="H48" i="64" s="1"/>
  <c r="G72" i="64"/>
  <c r="H72" i="64" s="1"/>
  <c r="K24" i="63"/>
  <c r="L24" i="63" s="1"/>
  <c r="K48" i="63"/>
  <c r="L48" i="63" s="1"/>
  <c r="K72" i="63"/>
  <c r="L72" i="63" s="1"/>
  <c r="G38" i="63"/>
  <c r="H38" i="63" s="1"/>
  <c r="G62" i="63"/>
  <c r="H62" i="63" s="1"/>
  <c r="K23" i="62"/>
  <c r="L23" i="62" s="1"/>
  <c r="K47" i="62"/>
  <c r="L47" i="62" s="1"/>
  <c r="K71" i="62"/>
  <c r="L71" i="62" s="1"/>
  <c r="G37" i="62"/>
  <c r="H37" i="62" s="1"/>
  <c r="G61" i="62"/>
  <c r="H61" i="62" s="1"/>
  <c r="K38" i="61"/>
  <c r="L38" i="61" s="1"/>
  <c r="K62" i="61"/>
  <c r="L62" i="61" s="1"/>
  <c r="G29" i="61"/>
  <c r="H29" i="61" s="1"/>
  <c r="G53" i="61"/>
  <c r="H53" i="61" s="1"/>
  <c r="K27" i="60"/>
  <c r="L27" i="60" s="1"/>
  <c r="K51" i="60"/>
  <c r="L51" i="60" s="1"/>
  <c r="G17" i="60"/>
  <c r="H17" i="60" s="1"/>
  <c r="G41" i="60"/>
  <c r="H41" i="60" s="1"/>
  <c r="G65" i="60"/>
  <c r="H65" i="60" s="1"/>
  <c r="K24" i="59"/>
  <c r="L24" i="59" s="1"/>
  <c r="K36" i="59"/>
  <c r="L36" i="59" s="1"/>
  <c r="K48" i="59"/>
  <c r="L48" i="59" s="1"/>
  <c r="K60" i="59"/>
  <c r="L60" i="59" s="1"/>
  <c r="K72" i="59"/>
  <c r="L72" i="59" s="1"/>
  <c r="G26" i="59"/>
  <c r="H26" i="59" s="1"/>
  <c r="G38" i="59"/>
  <c r="H38" i="59" s="1"/>
  <c r="G50" i="59"/>
  <c r="H50" i="59" s="1"/>
  <c r="G62" i="59"/>
  <c r="H62" i="59" s="1"/>
  <c r="G15" i="59"/>
  <c r="K23" i="58"/>
  <c r="L23" i="58" s="1"/>
  <c r="K35" i="58"/>
  <c r="L35" i="58" s="1"/>
  <c r="K47" i="58"/>
  <c r="L47" i="58" s="1"/>
  <c r="K59" i="58"/>
  <c r="L59" i="58" s="1"/>
  <c r="K71" i="58"/>
  <c r="L71" i="58" s="1"/>
  <c r="G25" i="58"/>
  <c r="H25" i="58" s="1"/>
  <c r="G37" i="58"/>
  <c r="H37" i="58" s="1"/>
  <c r="G49" i="58"/>
  <c r="H49" i="58" s="1"/>
  <c r="G61" i="58"/>
  <c r="H61" i="58" s="1"/>
  <c r="K24" i="57"/>
  <c r="L24" i="57" s="1"/>
  <c r="K34" i="57"/>
  <c r="L34" i="57" s="1"/>
  <c r="K44" i="57"/>
  <c r="L44" i="57" s="1"/>
  <c r="I61" i="65"/>
  <c r="K61" i="65" s="1"/>
  <c r="K36" i="64"/>
  <c r="L36" i="64" s="1"/>
  <c r="K60" i="64"/>
  <c r="L60" i="64" s="1"/>
  <c r="G27" i="64"/>
  <c r="H27" i="64" s="1"/>
  <c r="G51" i="64"/>
  <c r="H51" i="64" s="1"/>
  <c r="K27" i="63"/>
  <c r="L27" i="63" s="1"/>
  <c r="K51" i="63"/>
  <c r="L51" i="63" s="1"/>
  <c r="G16" i="63"/>
  <c r="H16" i="63" s="1"/>
  <c r="G41" i="63"/>
  <c r="H41" i="63" s="1"/>
  <c r="G65" i="63"/>
  <c r="H65" i="63" s="1"/>
  <c r="K29" i="62"/>
  <c r="L29" i="62" s="1"/>
  <c r="K53" i="62"/>
  <c r="L53" i="62" s="1"/>
  <c r="G19" i="62"/>
  <c r="H19" i="62" s="1"/>
  <c r="G43" i="62"/>
  <c r="H43" i="62" s="1"/>
  <c r="G67" i="62"/>
  <c r="H67" i="62" s="1"/>
  <c r="K17" i="61"/>
  <c r="L17" i="61" s="1"/>
  <c r="K41" i="61"/>
  <c r="L41" i="61" s="1"/>
  <c r="K65" i="61"/>
  <c r="L65" i="61" s="1"/>
  <c r="G32" i="61"/>
  <c r="H32" i="61" s="1"/>
  <c r="G56" i="61"/>
  <c r="H56" i="61" s="1"/>
  <c r="K33" i="60"/>
  <c r="L33" i="60" s="1"/>
  <c r="K57" i="60"/>
  <c r="L57" i="60" s="1"/>
  <c r="G23" i="60"/>
  <c r="H23" i="60" s="1"/>
  <c r="G47" i="60"/>
  <c r="H47" i="60" s="1"/>
  <c r="G70" i="60"/>
  <c r="H70" i="60" s="1"/>
  <c r="K26" i="59"/>
  <c r="L26" i="59" s="1"/>
  <c r="K38" i="59"/>
  <c r="L38" i="59" s="1"/>
  <c r="K50" i="59"/>
  <c r="L50" i="59" s="1"/>
  <c r="K62" i="59"/>
  <c r="L62" i="59" s="1"/>
  <c r="G16" i="59"/>
  <c r="H16" i="59" s="1"/>
  <c r="G28" i="59"/>
  <c r="H28" i="59" s="1"/>
  <c r="G40" i="59"/>
  <c r="H40" i="59" s="1"/>
  <c r="G52" i="59"/>
  <c r="H52" i="59" s="1"/>
  <c r="G64" i="59"/>
  <c r="H64" i="59" s="1"/>
  <c r="K25" i="58"/>
  <c r="L25" i="58" s="1"/>
  <c r="K37" i="58"/>
  <c r="L37" i="58" s="1"/>
  <c r="K49" i="58"/>
  <c r="L49" i="58" s="1"/>
  <c r="K61" i="58"/>
  <c r="L61" i="58" s="1"/>
  <c r="K15" i="58"/>
  <c r="G27" i="58"/>
  <c r="H27" i="58" s="1"/>
  <c r="G39" i="58"/>
  <c r="H39" i="58" s="1"/>
  <c r="G51" i="58"/>
  <c r="H51" i="58" s="1"/>
  <c r="G63" i="58"/>
  <c r="H63" i="58" s="1"/>
  <c r="K71" i="57"/>
  <c r="L71" i="57" s="1"/>
  <c r="K36" i="57"/>
  <c r="L36" i="57" s="1"/>
  <c r="K46" i="57"/>
  <c r="L46" i="57" s="1"/>
  <c r="K56" i="57"/>
  <c r="L56" i="57" s="1"/>
  <c r="K67" i="57"/>
  <c r="L67" i="57" s="1"/>
  <c r="G36" i="57"/>
  <c r="H36" i="57" s="1"/>
  <c r="G44" i="57"/>
  <c r="H44" i="57" s="1"/>
  <c r="Q47" i="65"/>
  <c r="S47" i="65" s="1"/>
  <c r="I54" i="65"/>
  <c r="K54" i="65" s="1"/>
  <c r="K20" i="64"/>
  <c r="L20" i="64" s="1"/>
  <c r="K44" i="64"/>
  <c r="L44" i="64" s="1"/>
  <c r="K68" i="64"/>
  <c r="L68" i="64" s="1"/>
  <c r="G35" i="64"/>
  <c r="H35" i="64" s="1"/>
  <c r="G59" i="64"/>
  <c r="H59" i="64" s="1"/>
  <c r="K31" i="63"/>
  <c r="L31" i="63" s="1"/>
  <c r="K55" i="63"/>
  <c r="L55" i="63" s="1"/>
  <c r="G21" i="63"/>
  <c r="H21" i="63" s="1"/>
  <c r="G45" i="63"/>
  <c r="H45" i="63" s="1"/>
  <c r="G69" i="63"/>
  <c r="H69" i="63" s="1"/>
  <c r="K34" i="62"/>
  <c r="L34" i="62" s="1"/>
  <c r="K58" i="62"/>
  <c r="L58" i="62" s="1"/>
  <c r="G24" i="62"/>
  <c r="H24" i="62" s="1"/>
  <c r="G48" i="62"/>
  <c r="H48" i="62" s="1"/>
  <c r="G72" i="62"/>
  <c r="H72" i="62" s="1"/>
  <c r="K25" i="61"/>
  <c r="L25" i="61" s="1"/>
  <c r="K49" i="61"/>
  <c r="L49" i="61" s="1"/>
  <c r="G16" i="61"/>
  <c r="H16" i="61" s="1"/>
  <c r="G40" i="61"/>
  <c r="H40" i="61" s="1"/>
  <c r="G64" i="61"/>
  <c r="H64" i="61" s="1"/>
  <c r="K38" i="60"/>
  <c r="L38" i="60" s="1"/>
  <c r="K62" i="60"/>
  <c r="L62" i="60" s="1"/>
  <c r="G28" i="60"/>
  <c r="H28" i="60" s="1"/>
  <c r="G52" i="60"/>
  <c r="H52" i="60" s="1"/>
  <c r="K17" i="59"/>
  <c r="K29" i="59"/>
  <c r="L29" i="59" s="1"/>
  <c r="K41" i="59"/>
  <c r="L41" i="59" s="1"/>
  <c r="K53" i="59"/>
  <c r="L53" i="59" s="1"/>
  <c r="K65" i="59"/>
  <c r="L65" i="59" s="1"/>
  <c r="G19" i="59"/>
  <c r="H19" i="59" s="1"/>
  <c r="G31" i="59"/>
  <c r="H31" i="59" s="1"/>
  <c r="G43" i="59"/>
  <c r="H43" i="59" s="1"/>
  <c r="G55" i="59"/>
  <c r="H55" i="59" s="1"/>
  <c r="G67" i="59"/>
  <c r="H67" i="59" s="1"/>
  <c r="K16" i="58"/>
  <c r="L16" i="58" s="1"/>
  <c r="K28" i="58"/>
  <c r="L28" i="58" s="1"/>
  <c r="K40" i="58"/>
  <c r="L40" i="58" s="1"/>
  <c r="K52" i="58"/>
  <c r="L52" i="58" s="1"/>
  <c r="K64" i="58"/>
  <c r="L64" i="58" s="1"/>
  <c r="G18" i="58"/>
  <c r="H18" i="58" s="1"/>
  <c r="G30" i="58"/>
  <c r="H30" i="58" s="1"/>
  <c r="G42" i="58"/>
  <c r="H42" i="58" s="1"/>
  <c r="G54" i="58"/>
  <c r="H54" i="58" s="1"/>
  <c r="G66" i="58"/>
  <c r="H66" i="58" s="1"/>
  <c r="K18" i="57"/>
  <c r="L18" i="57" s="1"/>
  <c r="K28" i="57"/>
  <c r="L28" i="57" s="1"/>
  <c r="K38" i="57"/>
  <c r="L38" i="57" s="1"/>
  <c r="K49" i="57"/>
  <c r="L49" i="57" s="1"/>
  <c r="K59" i="57"/>
  <c r="L59" i="57" s="1"/>
  <c r="K69" i="57"/>
  <c r="L69" i="57" s="1"/>
  <c r="G21" i="57"/>
  <c r="H21" i="57" s="1"/>
  <c r="G30" i="57"/>
  <c r="H30" i="57" s="1"/>
  <c r="G38" i="57"/>
  <c r="H38" i="57" s="1"/>
  <c r="G54" i="57"/>
  <c r="H54" i="57" s="1"/>
  <c r="Q37" i="65"/>
  <c r="S37" i="65" s="1"/>
  <c r="I16" i="65"/>
  <c r="K16" i="65" s="1"/>
  <c r="K23" i="64"/>
  <c r="L23" i="64" s="1"/>
  <c r="K47" i="64"/>
  <c r="L47" i="64" s="1"/>
  <c r="K71" i="64"/>
  <c r="L71" i="64" s="1"/>
  <c r="G38" i="64"/>
  <c r="H38" i="64" s="1"/>
  <c r="G62" i="64"/>
  <c r="H62" i="64" s="1"/>
  <c r="K37" i="63"/>
  <c r="L37" i="63" s="1"/>
  <c r="K61" i="63"/>
  <c r="L61" i="63" s="1"/>
  <c r="G27" i="63"/>
  <c r="H27" i="63" s="1"/>
  <c r="G51" i="63"/>
  <c r="H51" i="63" s="1"/>
  <c r="K16" i="62"/>
  <c r="L16" i="62" s="1"/>
  <c r="K40" i="62"/>
  <c r="L40" i="62" s="1"/>
  <c r="K64" i="62"/>
  <c r="L64" i="62" s="1"/>
  <c r="G30" i="62"/>
  <c r="H30" i="62" s="1"/>
  <c r="G54" i="62"/>
  <c r="H54" i="62" s="1"/>
  <c r="K28" i="61"/>
  <c r="L28" i="61" s="1"/>
  <c r="K52" i="61"/>
  <c r="L52" i="61" s="1"/>
  <c r="G19" i="61"/>
  <c r="H19" i="61" s="1"/>
  <c r="G43" i="61"/>
  <c r="H43" i="61" s="1"/>
  <c r="G67" i="61"/>
  <c r="H67" i="61" s="1"/>
  <c r="K20" i="60"/>
  <c r="L20" i="60" s="1"/>
  <c r="K44" i="60"/>
  <c r="L44" i="60" s="1"/>
  <c r="K68" i="60"/>
  <c r="L68" i="60" s="1"/>
  <c r="G34" i="60"/>
  <c r="H34" i="60" s="1"/>
  <c r="G58" i="60"/>
  <c r="H58" i="60" s="1"/>
  <c r="K19" i="59"/>
  <c r="L19" i="59" s="1"/>
  <c r="K31" i="59"/>
  <c r="L31" i="59" s="1"/>
  <c r="K43" i="59"/>
  <c r="L43" i="59" s="1"/>
  <c r="K55" i="59"/>
  <c r="L55" i="59" s="1"/>
  <c r="K67" i="59"/>
  <c r="L67" i="59" s="1"/>
  <c r="G21" i="59"/>
  <c r="H21" i="59" s="1"/>
  <c r="G33" i="59"/>
  <c r="H33" i="59" s="1"/>
  <c r="G45" i="59"/>
  <c r="H45" i="59" s="1"/>
  <c r="G57" i="59"/>
  <c r="H57" i="59" s="1"/>
  <c r="G69" i="59"/>
  <c r="H69" i="59" s="1"/>
  <c r="K18" i="58"/>
  <c r="L18" i="58" s="1"/>
  <c r="K30" i="58"/>
  <c r="L30" i="58" s="1"/>
  <c r="K42" i="58"/>
  <c r="L42" i="58" s="1"/>
  <c r="K54" i="58"/>
  <c r="L54" i="58" s="1"/>
  <c r="K66" i="58"/>
  <c r="L66" i="58" s="1"/>
  <c r="G20" i="58"/>
  <c r="H20" i="58" s="1"/>
  <c r="G32" i="58"/>
  <c r="H32" i="58" s="1"/>
  <c r="G44" i="58"/>
  <c r="H44" i="58" s="1"/>
  <c r="G56" i="58"/>
  <c r="H56" i="58" s="1"/>
  <c r="G68" i="58"/>
  <c r="H68" i="58" s="1"/>
  <c r="K30" i="57"/>
  <c r="L30" i="57" s="1"/>
  <c r="K40" i="57"/>
  <c r="L40" i="57" s="1"/>
  <c r="K50" i="57"/>
  <c r="L50" i="57" s="1"/>
  <c r="K61" i="57"/>
  <c r="L61" i="57" s="1"/>
  <c r="G22" i="57"/>
  <c r="H22" i="57" s="1"/>
  <c r="G39" i="57"/>
  <c r="H39" i="57" s="1"/>
  <c r="G47" i="57"/>
  <c r="H47" i="57" s="1"/>
  <c r="Q49" i="65"/>
  <c r="S49" i="65" s="1"/>
  <c r="I20" i="65"/>
  <c r="K20" i="65" s="1"/>
  <c r="K24" i="64"/>
  <c r="L24" i="64" s="1"/>
  <c r="K48" i="64"/>
  <c r="L48" i="64" s="1"/>
  <c r="K72" i="64"/>
  <c r="L72" i="64" s="1"/>
  <c r="G39" i="64"/>
  <c r="H39" i="64" s="1"/>
  <c r="G63" i="64"/>
  <c r="H63" i="64" s="1"/>
  <c r="K39" i="63"/>
  <c r="L39" i="63" s="1"/>
  <c r="K63" i="63"/>
  <c r="L63" i="63" s="1"/>
  <c r="G29" i="63"/>
  <c r="H29" i="63" s="1"/>
  <c r="G53" i="63"/>
  <c r="H53" i="63" s="1"/>
  <c r="K17" i="62"/>
  <c r="L17" i="62" s="1"/>
  <c r="K41" i="62"/>
  <c r="L41" i="62" s="1"/>
  <c r="K65" i="62"/>
  <c r="L65" i="62" s="1"/>
  <c r="G31" i="62"/>
  <c r="H31" i="62" s="1"/>
  <c r="G55" i="62"/>
  <c r="H55" i="62" s="1"/>
  <c r="K29" i="61"/>
  <c r="L29" i="61" s="1"/>
  <c r="K53" i="61"/>
  <c r="L53" i="61" s="1"/>
  <c r="G20" i="61"/>
  <c r="H20" i="61" s="1"/>
  <c r="G44" i="61"/>
  <c r="H44" i="61" s="1"/>
  <c r="G68" i="61"/>
  <c r="H68" i="61" s="1"/>
  <c r="K21" i="60"/>
  <c r="L21" i="60" s="1"/>
  <c r="K45" i="60"/>
  <c r="L45" i="60" s="1"/>
  <c r="K69" i="60"/>
  <c r="L69" i="60" s="1"/>
  <c r="G35" i="60"/>
  <c r="H35" i="60" s="1"/>
  <c r="G59" i="60"/>
  <c r="H59" i="60" s="1"/>
  <c r="K20" i="59"/>
  <c r="L20" i="59" s="1"/>
  <c r="K32" i="59"/>
  <c r="L32" i="59" s="1"/>
  <c r="K44" i="59"/>
  <c r="L44" i="59" s="1"/>
  <c r="K56" i="59"/>
  <c r="L56" i="59" s="1"/>
  <c r="K68" i="59"/>
  <c r="L68" i="59" s="1"/>
  <c r="G22" i="59"/>
  <c r="H22" i="59" s="1"/>
  <c r="G34" i="59"/>
  <c r="H34" i="59" s="1"/>
  <c r="G46" i="59"/>
  <c r="H46" i="59" s="1"/>
  <c r="G58" i="59"/>
  <c r="H58" i="59" s="1"/>
  <c r="G70" i="59"/>
  <c r="H70" i="59" s="1"/>
  <c r="K19" i="58"/>
  <c r="L19" i="58" s="1"/>
  <c r="K31" i="58"/>
  <c r="L31" i="58" s="1"/>
  <c r="K43" i="58"/>
  <c r="L43" i="58" s="1"/>
  <c r="K55" i="58"/>
  <c r="L55" i="58" s="1"/>
  <c r="K67" i="58"/>
  <c r="L67" i="58" s="1"/>
  <c r="I47" i="65"/>
  <c r="K47" i="65" s="1"/>
  <c r="K32" i="64"/>
  <c r="L32" i="64" s="1"/>
  <c r="G23" i="64"/>
  <c r="G71" i="64"/>
  <c r="H71" i="64" s="1"/>
  <c r="K60" i="63"/>
  <c r="L60" i="63" s="1"/>
  <c r="G50" i="63"/>
  <c r="H50" i="63" s="1"/>
  <c r="K52" i="62"/>
  <c r="L52" i="62" s="1"/>
  <c r="G42" i="62"/>
  <c r="H42" i="62" s="1"/>
  <c r="K26" i="61"/>
  <c r="L26" i="61" s="1"/>
  <c r="G17" i="61"/>
  <c r="H17" i="61" s="1"/>
  <c r="G65" i="61"/>
  <c r="H65" i="61" s="1"/>
  <c r="K59" i="60"/>
  <c r="L59" i="60" s="1"/>
  <c r="G49" i="60"/>
  <c r="H49" i="60" s="1"/>
  <c r="K22" i="59"/>
  <c r="L22" i="59" s="1"/>
  <c r="K46" i="59"/>
  <c r="L46" i="59" s="1"/>
  <c r="K70" i="59"/>
  <c r="L70" i="59" s="1"/>
  <c r="G36" i="59"/>
  <c r="H36" i="59" s="1"/>
  <c r="G60" i="59"/>
  <c r="H60" i="59" s="1"/>
  <c r="K17" i="58"/>
  <c r="L17" i="58" s="1"/>
  <c r="K41" i="58"/>
  <c r="L41" i="58" s="1"/>
  <c r="K65" i="58"/>
  <c r="L65" i="58" s="1"/>
  <c r="G29" i="58"/>
  <c r="H29" i="58" s="1"/>
  <c r="G50" i="58"/>
  <c r="H50" i="58" s="1"/>
  <c r="G71" i="58"/>
  <c r="H71" i="58" s="1"/>
  <c r="K17" i="57"/>
  <c r="L17" i="57" s="1"/>
  <c r="K35" i="57"/>
  <c r="L35" i="57" s="1"/>
  <c r="K53" i="57"/>
  <c r="L53" i="57" s="1"/>
  <c r="G25" i="57"/>
  <c r="H25" i="57" s="1"/>
  <c r="G37" i="57"/>
  <c r="H37" i="57" s="1"/>
  <c r="G58" i="57"/>
  <c r="H58" i="57" s="1"/>
  <c r="G67" i="57"/>
  <c r="H67" i="57" s="1"/>
  <c r="G17" i="56"/>
  <c r="H17" i="56" s="1"/>
  <c r="K21" i="56"/>
  <c r="L21" i="56" s="1"/>
  <c r="G29" i="56"/>
  <c r="H29" i="56" s="1"/>
  <c r="K33" i="56"/>
  <c r="L33" i="56" s="1"/>
  <c r="G41" i="56"/>
  <c r="H41" i="56" s="1"/>
  <c r="K45" i="56"/>
  <c r="L45" i="56" s="1"/>
  <c r="G53" i="56"/>
  <c r="H53" i="56" s="1"/>
  <c r="K57" i="56"/>
  <c r="L57" i="56" s="1"/>
  <c r="G65" i="56"/>
  <c r="H65" i="56" s="1"/>
  <c r="K69" i="56"/>
  <c r="L69" i="56" s="1"/>
  <c r="K70" i="58"/>
  <c r="L70" i="58" s="1"/>
  <c r="G60" i="57"/>
  <c r="H60" i="57" s="1"/>
  <c r="G34" i="56"/>
  <c r="H34" i="56" s="1"/>
  <c r="G17" i="63"/>
  <c r="H17" i="63" s="1"/>
  <c r="K26" i="58"/>
  <c r="L26" i="58" s="1"/>
  <c r="I39" i="65"/>
  <c r="K39" i="65" s="1"/>
  <c r="K35" i="64"/>
  <c r="L35" i="64" s="1"/>
  <c r="G26" i="64"/>
  <c r="H26" i="64" s="1"/>
  <c r="G15" i="64"/>
  <c r="H15" i="64" s="1"/>
  <c r="K18" i="63"/>
  <c r="L18" i="63" s="1"/>
  <c r="K66" i="63"/>
  <c r="L66" i="63" s="1"/>
  <c r="G56" i="63"/>
  <c r="H56" i="63" s="1"/>
  <c r="K55" i="62"/>
  <c r="L55" i="62" s="1"/>
  <c r="G45" i="62"/>
  <c r="H45" i="62" s="1"/>
  <c r="K32" i="61"/>
  <c r="L32" i="61" s="1"/>
  <c r="G23" i="61"/>
  <c r="H23" i="61" s="1"/>
  <c r="G71" i="61"/>
  <c r="H71" i="61" s="1"/>
  <c r="K60" i="60"/>
  <c r="L60" i="60" s="1"/>
  <c r="G50" i="60"/>
  <c r="H50" i="60" s="1"/>
  <c r="K23" i="59"/>
  <c r="L23" i="59" s="1"/>
  <c r="K47" i="59"/>
  <c r="L47" i="59" s="1"/>
  <c r="K71" i="59"/>
  <c r="L71" i="59" s="1"/>
  <c r="G37" i="59"/>
  <c r="H37" i="59" s="1"/>
  <c r="G61" i="59"/>
  <c r="H61" i="59" s="1"/>
  <c r="K21" i="58"/>
  <c r="L21" i="58" s="1"/>
  <c r="K45" i="58"/>
  <c r="L45" i="58" s="1"/>
  <c r="K69" i="58"/>
  <c r="L69" i="58" s="1"/>
  <c r="G31" i="58"/>
  <c r="H31" i="58" s="1"/>
  <c r="G52" i="58"/>
  <c r="H52" i="58" s="1"/>
  <c r="G72" i="58"/>
  <c r="H72" i="58" s="1"/>
  <c r="K19" i="57"/>
  <c r="L19" i="57" s="1"/>
  <c r="K37" i="57"/>
  <c r="L37" i="57" s="1"/>
  <c r="K54" i="57"/>
  <c r="L54" i="57" s="1"/>
  <c r="K68" i="57"/>
  <c r="L68" i="57" s="1"/>
  <c r="G26" i="57"/>
  <c r="H26" i="57" s="1"/>
  <c r="G50" i="57"/>
  <c r="H50" i="57" s="1"/>
  <c r="G59" i="57"/>
  <c r="H59" i="57" s="1"/>
  <c r="K17" i="56"/>
  <c r="L17" i="56" s="1"/>
  <c r="K25" i="56"/>
  <c r="L25" i="56" s="1"/>
  <c r="K29" i="56"/>
  <c r="L29" i="56" s="1"/>
  <c r="K37" i="56"/>
  <c r="L37" i="56" s="1"/>
  <c r="K41" i="56"/>
  <c r="L41" i="56" s="1"/>
  <c r="K49" i="56"/>
  <c r="L49" i="56" s="1"/>
  <c r="K53" i="56"/>
  <c r="L53" i="56" s="1"/>
  <c r="K61" i="56"/>
  <c r="L61" i="56" s="1"/>
  <c r="K65" i="56"/>
  <c r="L65" i="56" s="1"/>
  <c r="G53" i="58"/>
  <c r="H53" i="58" s="1"/>
  <c r="K70" i="57"/>
  <c r="L70" i="57" s="1"/>
  <c r="G18" i="56"/>
  <c r="H18" i="56" s="1"/>
  <c r="G22" i="56"/>
  <c r="H22" i="56" s="1"/>
  <c r="G30" i="56"/>
  <c r="H30" i="56" s="1"/>
  <c r="G42" i="56"/>
  <c r="H42" i="56" s="1"/>
  <c r="G54" i="56"/>
  <c r="H54" i="56" s="1"/>
  <c r="G58" i="56"/>
  <c r="H58" i="56" s="1"/>
  <c r="G66" i="56"/>
  <c r="H66" i="56" s="1"/>
  <c r="G66" i="63"/>
  <c r="H66" i="63" s="1"/>
  <c r="Q23" i="65"/>
  <c r="S23" i="65" s="1"/>
  <c r="I51" i="65"/>
  <c r="K51" i="65" s="1"/>
  <c r="K41" i="64"/>
  <c r="L41" i="64" s="1"/>
  <c r="G32" i="64"/>
  <c r="H32" i="64" s="1"/>
  <c r="K19" i="63"/>
  <c r="L19" i="63" s="1"/>
  <c r="K67" i="63"/>
  <c r="L67" i="63" s="1"/>
  <c r="G57" i="63"/>
  <c r="H57" i="63" s="1"/>
  <c r="K56" i="62"/>
  <c r="L56" i="62" s="1"/>
  <c r="G46" i="62"/>
  <c r="H46" i="62" s="1"/>
  <c r="K37" i="61"/>
  <c r="L37" i="61" s="1"/>
  <c r="G28" i="61"/>
  <c r="H28" i="61" s="1"/>
  <c r="K72" i="60"/>
  <c r="L72" i="60" s="1"/>
  <c r="K63" i="60"/>
  <c r="L63" i="60" s="1"/>
  <c r="G53" i="60"/>
  <c r="H53" i="60" s="1"/>
  <c r="K25" i="59"/>
  <c r="L25" i="59" s="1"/>
  <c r="K49" i="59"/>
  <c r="L49" i="59" s="1"/>
  <c r="K15" i="59"/>
  <c r="L15" i="59" s="1"/>
  <c r="G39" i="59"/>
  <c r="H39" i="59" s="1"/>
  <c r="G63" i="59"/>
  <c r="H63" i="59" s="1"/>
  <c r="K22" i="58"/>
  <c r="L22" i="58" s="1"/>
  <c r="K46" i="58"/>
  <c r="L46" i="58" s="1"/>
  <c r="G33" i="58"/>
  <c r="H33" i="58" s="1"/>
  <c r="K20" i="57"/>
  <c r="L20" i="57" s="1"/>
  <c r="K55" i="57"/>
  <c r="L55" i="57" s="1"/>
  <c r="G68" i="57"/>
  <c r="H68" i="57" s="1"/>
  <c r="G46" i="56"/>
  <c r="H46" i="56" s="1"/>
  <c r="G70" i="56"/>
  <c r="H70" i="56" s="1"/>
  <c r="K20" i="62"/>
  <c r="L20" i="62" s="1"/>
  <c r="I64" i="65"/>
  <c r="K64" i="65" s="1"/>
  <c r="K42" i="64"/>
  <c r="L42" i="64" s="1"/>
  <c r="G33" i="64"/>
  <c r="H33" i="64" s="1"/>
  <c r="K25" i="63"/>
  <c r="L25" i="63" s="1"/>
  <c r="K15" i="63"/>
  <c r="G63" i="63"/>
  <c r="H63" i="63" s="1"/>
  <c r="K59" i="62"/>
  <c r="L59" i="62" s="1"/>
  <c r="G49" i="62"/>
  <c r="H49" i="62" s="1"/>
  <c r="K40" i="61"/>
  <c r="L40" i="61" s="1"/>
  <c r="G31" i="61"/>
  <c r="H31" i="61" s="1"/>
  <c r="K24" i="60"/>
  <c r="L24" i="60" s="1"/>
  <c r="G62" i="60"/>
  <c r="H62" i="60" s="1"/>
  <c r="K27" i="59"/>
  <c r="L27" i="59" s="1"/>
  <c r="K51" i="59"/>
  <c r="L51" i="59" s="1"/>
  <c r="G17" i="59"/>
  <c r="H17" i="59" s="1"/>
  <c r="G41" i="59"/>
  <c r="H41" i="59" s="1"/>
  <c r="G65" i="59"/>
  <c r="H65" i="59" s="1"/>
  <c r="K24" i="58"/>
  <c r="L24" i="58" s="1"/>
  <c r="K48" i="58"/>
  <c r="L48" i="58" s="1"/>
  <c r="K72" i="58"/>
  <c r="L72" i="58" s="1"/>
  <c r="G35" i="58"/>
  <c r="H35" i="58" s="1"/>
  <c r="G55" i="58"/>
  <c r="H55" i="58" s="1"/>
  <c r="K22" i="57"/>
  <c r="L22" i="57" s="1"/>
  <c r="K39" i="57"/>
  <c r="L39" i="57" s="1"/>
  <c r="K72" i="57"/>
  <c r="L72" i="57" s="1"/>
  <c r="G27" i="57"/>
  <c r="H27" i="57" s="1"/>
  <c r="G51" i="57"/>
  <c r="H51" i="57" s="1"/>
  <c r="G61" i="57"/>
  <c r="H61" i="57" s="1"/>
  <c r="K18" i="56"/>
  <c r="L18" i="56" s="1"/>
  <c r="G26" i="56"/>
  <c r="H26" i="56" s="1"/>
  <c r="K30" i="56"/>
  <c r="L30" i="56" s="1"/>
  <c r="G38" i="56"/>
  <c r="H38" i="56" s="1"/>
  <c r="K42" i="56"/>
  <c r="L42" i="56" s="1"/>
  <c r="G50" i="56"/>
  <c r="H50" i="56" s="1"/>
  <c r="K54" i="56"/>
  <c r="L54" i="56" s="1"/>
  <c r="G62" i="56"/>
  <c r="H62" i="56" s="1"/>
  <c r="K66" i="56"/>
  <c r="L66" i="56" s="1"/>
  <c r="K68" i="62"/>
  <c r="L68" i="62" s="1"/>
  <c r="K43" i="61"/>
  <c r="L43" i="61" s="1"/>
  <c r="G34" i="61"/>
  <c r="H34" i="61" s="1"/>
  <c r="K26" i="60"/>
  <c r="L26" i="60" s="1"/>
  <c r="G16" i="60"/>
  <c r="H16" i="60" s="1"/>
  <c r="G64" i="60"/>
  <c r="H64" i="60" s="1"/>
  <c r="K52" i="59"/>
  <c r="L52" i="59" s="1"/>
  <c r="G18" i="59"/>
  <c r="H18" i="59" s="1"/>
  <c r="G42" i="59"/>
  <c r="H42" i="59" s="1"/>
  <c r="G66" i="59"/>
  <c r="H66" i="59" s="1"/>
  <c r="K50" i="58"/>
  <c r="L50" i="58" s="1"/>
  <c r="G16" i="58"/>
  <c r="H16" i="58" s="1"/>
  <c r="G57" i="58"/>
  <c r="H57" i="58" s="1"/>
  <c r="Q24" i="65"/>
  <c r="S24" i="65" s="1"/>
  <c r="K45" i="64"/>
  <c r="L45" i="64" s="1"/>
  <c r="G36" i="64"/>
  <c r="H36" i="64" s="1"/>
  <c r="K28" i="63"/>
  <c r="L28" i="63" s="1"/>
  <c r="G58" i="62"/>
  <c r="H58" i="62" s="1"/>
  <c r="K28" i="59"/>
  <c r="L28" i="59" s="1"/>
  <c r="Q25" i="65"/>
  <c r="S25" i="65" s="1"/>
  <c r="K54" i="64"/>
  <c r="L54" i="64" s="1"/>
  <c r="G45" i="64"/>
  <c r="H45" i="64" s="1"/>
  <c r="K30" i="63"/>
  <c r="L30" i="63" s="1"/>
  <c r="G20" i="63"/>
  <c r="H20" i="63" s="1"/>
  <c r="G68" i="63"/>
  <c r="H68" i="63" s="1"/>
  <c r="K22" i="62"/>
  <c r="L22" i="62" s="1"/>
  <c r="K70" i="62"/>
  <c r="L70" i="62" s="1"/>
  <c r="G60" i="62"/>
  <c r="H60" i="62" s="1"/>
  <c r="K44" i="61"/>
  <c r="L44" i="61" s="1"/>
  <c r="G35" i="61"/>
  <c r="H35" i="61" s="1"/>
  <c r="K32" i="60"/>
  <c r="L32" i="60" s="1"/>
  <c r="G22" i="60"/>
  <c r="H22" i="60" s="1"/>
  <c r="G68" i="60"/>
  <c r="H68" i="60" s="1"/>
  <c r="K30" i="59"/>
  <c r="L30" i="59" s="1"/>
  <c r="K54" i="59"/>
  <c r="L54" i="59" s="1"/>
  <c r="G20" i="59"/>
  <c r="H20" i="59" s="1"/>
  <c r="G44" i="59"/>
  <c r="H44" i="59" s="1"/>
  <c r="G68" i="59"/>
  <c r="H68" i="59" s="1"/>
  <c r="K27" i="58"/>
  <c r="L27" i="58" s="1"/>
  <c r="K51" i="58"/>
  <c r="L51" i="58" s="1"/>
  <c r="G17" i="58"/>
  <c r="H17" i="58" s="1"/>
  <c r="G38" i="58"/>
  <c r="H38" i="58" s="1"/>
  <c r="G59" i="58"/>
  <c r="H59" i="58" s="1"/>
  <c r="K25" i="57"/>
  <c r="L25" i="57" s="1"/>
  <c r="K43" i="57"/>
  <c r="L43" i="57" s="1"/>
  <c r="K58" i="57"/>
  <c r="L58" i="57" s="1"/>
  <c r="G17" i="57"/>
  <c r="H17" i="57" s="1"/>
  <c r="G29" i="57"/>
  <c r="H29" i="57" s="1"/>
  <c r="G42" i="57"/>
  <c r="H42" i="57" s="1"/>
  <c r="G52" i="57"/>
  <c r="H52" i="57" s="1"/>
  <c r="G62" i="57"/>
  <c r="H62" i="57" s="1"/>
  <c r="G19" i="56"/>
  <c r="H19" i="56" s="1"/>
  <c r="G27" i="56"/>
  <c r="H27" i="56" s="1"/>
  <c r="G31" i="56"/>
  <c r="H31" i="56" s="1"/>
  <c r="G39" i="56"/>
  <c r="H39" i="56" s="1"/>
  <c r="G43" i="56"/>
  <c r="H43" i="56" s="1"/>
  <c r="G51" i="56"/>
  <c r="H51" i="56" s="1"/>
  <c r="G55" i="56"/>
  <c r="H55" i="56" s="1"/>
  <c r="G63" i="56"/>
  <c r="H63" i="56" s="1"/>
  <c r="G67" i="56"/>
  <c r="H67" i="56" s="1"/>
  <c r="G71" i="56"/>
  <c r="H71" i="56" s="1"/>
  <c r="I35" i="65"/>
  <c r="K35" i="65" s="1"/>
  <c r="K56" i="64"/>
  <c r="L56" i="64" s="1"/>
  <c r="G47" i="64"/>
  <c r="H47" i="64" s="1"/>
  <c r="K36" i="63"/>
  <c r="L36" i="63" s="1"/>
  <c r="G26" i="63"/>
  <c r="H26" i="63" s="1"/>
  <c r="K28" i="62"/>
  <c r="L28" i="62" s="1"/>
  <c r="G18" i="62"/>
  <c r="H18" i="62" s="1"/>
  <c r="G66" i="62"/>
  <c r="H66" i="62" s="1"/>
  <c r="K50" i="61"/>
  <c r="L50" i="61" s="1"/>
  <c r="G41" i="61"/>
  <c r="H41" i="61" s="1"/>
  <c r="K35" i="60"/>
  <c r="L35" i="60" s="1"/>
  <c r="G25" i="60"/>
  <c r="H25" i="60" s="1"/>
  <c r="G71" i="60"/>
  <c r="H71" i="60" s="1"/>
  <c r="K34" i="59"/>
  <c r="L34" i="59" s="1"/>
  <c r="K58" i="59"/>
  <c r="L58" i="59" s="1"/>
  <c r="G24" i="59"/>
  <c r="H24" i="59" s="1"/>
  <c r="G48" i="59"/>
  <c r="H48" i="59" s="1"/>
  <c r="G72" i="59"/>
  <c r="H72" i="59" s="1"/>
  <c r="K29" i="58"/>
  <c r="L29" i="58" s="1"/>
  <c r="K53" i="58"/>
  <c r="L53" i="58" s="1"/>
  <c r="G19" i="58"/>
  <c r="H19" i="58" s="1"/>
  <c r="G40" i="58"/>
  <c r="H40" i="58" s="1"/>
  <c r="G60" i="58"/>
  <c r="H60" i="58" s="1"/>
  <c r="K26" i="57"/>
  <c r="L26" i="57" s="1"/>
  <c r="K60" i="57"/>
  <c r="L60" i="57" s="1"/>
  <c r="G18" i="57"/>
  <c r="H18" i="57" s="1"/>
  <c r="G31" i="57"/>
  <c r="H31" i="57" s="1"/>
  <c r="G43" i="57"/>
  <c r="H43" i="57" s="1"/>
  <c r="G53" i="57"/>
  <c r="H53" i="57" s="1"/>
  <c r="G70" i="57"/>
  <c r="H70" i="57" s="1"/>
  <c r="G23" i="56"/>
  <c r="H23" i="56" s="1"/>
  <c r="K27" i="56"/>
  <c r="L27" i="56" s="1"/>
  <c r="G35" i="56"/>
  <c r="H35" i="56" s="1"/>
  <c r="K39" i="56"/>
  <c r="L39" i="56" s="1"/>
  <c r="G47" i="56"/>
  <c r="H47" i="56" s="1"/>
  <c r="K51" i="56"/>
  <c r="L51" i="56" s="1"/>
  <c r="G59" i="56"/>
  <c r="H59" i="56" s="1"/>
  <c r="K63" i="56"/>
  <c r="L63" i="56" s="1"/>
  <c r="Q48" i="65"/>
  <c r="S48" i="65" s="1"/>
  <c r="K59" i="64"/>
  <c r="L59" i="64" s="1"/>
  <c r="G50" i="64"/>
  <c r="H50" i="64" s="1"/>
  <c r="K42" i="63"/>
  <c r="L42" i="63" s="1"/>
  <c r="G32" i="63"/>
  <c r="H32" i="63" s="1"/>
  <c r="K31" i="62"/>
  <c r="L31" i="62" s="1"/>
  <c r="G21" i="62"/>
  <c r="H21" i="62" s="1"/>
  <c r="G69" i="62"/>
  <c r="H69" i="62" s="1"/>
  <c r="K56" i="61"/>
  <c r="L56" i="61" s="1"/>
  <c r="G47" i="61"/>
  <c r="H47" i="61" s="1"/>
  <c r="K36" i="60"/>
  <c r="L36" i="60" s="1"/>
  <c r="G26" i="60"/>
  <c r="H26" i="60" s="1"/>
  <c r="G15" i="60"/>
  <c r="K35" i="59"/>
  <c r="L35" i="59" s="1"/>
  <c r="K59" i="59"/>
  <c r="L59" i="59" s="1"/>
  <c r="G25" i="59"/>
  <c r="H25" i="59" s="1"/>
  <c r="G49" i="59"/>
  <c r="H49" i="59" s="1"/>
  <c r="K33" i="58"/>
  <c r="L33" i="58" s="1"/>
  <c r="K57" i="58"/>
  <c r="L57" i="58" s="1"/>
  <c r="G21" i="58"/>
  <c r="H21" i="58" s="1"/>
  <c r="G41" i="58"/>
  <c r="H41" i="58" s="1"/>
  <c r="G62" i="58"/>
  <c r="H62" i="58" s="1"/>
  <c r="K27" i="57"/>
  <c r="L27" i="57" s="1"/>
  <c r="K45" i="57"/>
  <c r="L45" i="57" s="1"/>
  <c r="G19" i="57"/>
  <c r="H19" i="57" s="1"/>
  <c r="G32" i="57"/>
  <c r="H32" i="57" s="1"/>
  <c r="G55" i="57"/>
  <c r="H55" i="57" s="1"/>
  <c r="G63" i="57"/>
  <c r="H63" i="57" s="1"/>
  <c r="G71" i="57"/>
  <c r="H71" i="57" s="1"/>
  <c r="G15" i="56"/>
  <c r="K19" i="56"/>
  <c r="L19" i="56" s="1"/>
  <c r="K23" i="56"/>
  <c r="L23" i="56" s="1"/>
  <c r="K31" i="56"/>
  <c r="L31" i="56" s="1"/>
  <c r="K35" i="56"/>
  <c r="L35" i="56" s="1"/>
  <c r="K43" i="56"/>
  <c r="L43" i="56" s="1"/>
  <c r="K47" i="56"/>
  <c r="L47" i="56" s="1"/>
  <c r="K55" i="56"/>
  <c r="L55" i="56" s="1"/>
  <c r="K59" i="56"/>
  <c r="L59" i="56" s="1"/>
  <c r="K67" i="56"/>
  <c r="L67" i="56" s="1"/>
  <c r="K71" i="56"/>
  <c r="L71" i="56" s="1"/>
  <c r="K21" i="64"/>
  <c r="L21" i="64" s="1"/>
  <c r="K52" i="63"/>
  <c r="L52" i="63" s="1"/>
  <c r="G70" i="62"/>
  <c r="H70" i="62" s="1"/>
  <c r="K19" i="61"/>
  <c r="L19" i="61" s="1"/>
  <c r="K50" i="60"/>
  <c r="L50" i="60" s="1"/>
  <c r="K40" i="59"/>
  <c r="L40" i="59" s="1"/>
  <c r="G54" i="59"/>
  <c r="H54" i="59" s="1"/>
  <c r="K62" i="58"/>
  <c r="L62" i="58" s="1"/>
  <c r="G65" i="58"/>
  <c r="H65" i="58" s="1"/>
  <c r="K51" i="57"/>
  <c r="L51" i="57" s="1"/>
  <c r="G33" i="57"/>
  <c r="H33" i="57" s="1"/>
  <c r="G57" i="57"/>
  <c r="H57" i="57" s="1"/>
  <c r="K20" i="56"/>
  <c r="L20" i="56" s="1"/>
  <c r="G49" i="56"/>
  <c r="H49" i="56" s="1"/>
  <c r="G60" i="56"/>
  <c r="H60" i="56" s="1"/>
  <c r="K68" i="56"/>
  <c r="L68" i="56" s="1"/>
  <c r="K63" i="58"/>
  <c r="L63" i="58" s="1"/>
  <c r="G67" i="58"/>
  <c r="H67" i="58" s="1"/>
  <c r="K57" i="57"/>
  <c r="L57" i="57" s="1"/>
  <c r="G21" i="56"/>
  <c r="H21" i="56" s="1"/>
  <c r="K40" i="56"/>
  <c r="L40" i="56" s="1"/>
  <c r="K50" i="56"/>
  <c r="L50" i="56" s="1"/>
  <c r="K60" i="56"/>
  <c r="L60" i="56" s="1"/>
  <c r="G69" i="56"/>
  <c r="H69" i="56" s="1"/>
  <c r="G34" i="57"/>
  <c r="H34" i="57" s="1"/>
  <c r="K22" i="56"/>
  <c r="L22" i="56" s="1"/>
  <c r="G32" i="56"/>
  <c r="H32" i="56" s="1"/>
  <c r="G52" i="56"/>
  <c r="H52" i="56" s="1"/>
  <c r="K70" i="56"/>
  <c r="L70" i="56" s="1"/>
  <c r="G24" i="58"/>
  <c r="H24" i="58" s="1"/>
  <c r="K64" i="57"/>
  <c r="L64" i="57" s="1"/>
  <c r="K32" i="56"/>
  <c r="L32" i="56" s="1"/>
  <c r="G61" i="56"/>
  <c r="H61" i="56" s="1"/>
  <c r="K29" i="57"/>
  <c r="L29" i="57" s="1"/>
  <c r="K24" i="56"/>
  <c r="L24" i="56" s="1"/>
  <c r="K62" i="56"/>
  <c r="L62" i="56" s="1"/>
  <c r="G44" i="63"/>
  <c r="H44" i="63" s="1"/>
  <c r="G28" i="58"/>
  <c r="H28" i="58" s="1"/>
  <c r="K66" i="57"/>
  <c r="L66" i="57" s="1"/>
  <c r="K15" i="56"/>
  <c r="L15" i="56" s="1"/>
  <c r="K44" i="62"/>
  <c r="L44" i="62" s="1"/>
  <c r="G16" i="57"/>
  <c r="H16" i="57" s="1"/>
  <c r="G66" i="57"/>
  <c r="H66" i="57" s="1"/>
  <c r="G36" i="56"/>
  <c r="H36" i="56" s="1"/>
  <c r="G69" i="64"/>
  <c r="H69" i="64" s="1"/>
  <c r="G32" i="59"/>
  <c r="H32" i="59" s="1"/>
  <c r="G34" i="62"/>
  <c r="H34" i="62" s="1"/>
  <c r="K39" i="60"/>
  <c r="L39" i="60" s="1"/>
  <c r="K38" i="56"/>
  <c r="L38" i="56" s="1"/>
  <c r="K49" i="63"/>
  <c r="L49" i="63" s="1"/>
  <c r="G53" i="59"/>
  <c r="H53" i="59" s="1"/>
  <c r="Q35" i="65"/>
  <c r="S35" i="65" s="1"/>
  <c r="I44" i="65"/>
  <c r="K44" i="65" s="1"/>
  <c r="K30" i="64"/>
  <c r="L30" i="64" s="1"/>
  <c r="K54" i="63"/>
  <c r="L54" i="63" s="1"/>
  <c r="G15" i="62"/>
  <c r="K20" i="61"/>
  <c r="L20" i="61" s="1"/>
  <c r="K56" i="60"/>
  <c r="L56" i="60" s="1"/>
  <c r="K42" i="59"/>
  <c r="L42" i="59" s="1"/>
  <c r="G56" i="59"/>
  <c r="H56" i="59" s="1"/>
  <c r="G41" i="57"/>
  <c r="H41" i="57" s="1"/>
  <c r="G64" i="57"/>
  <c r="H64" i="57" s="1"/>
  <c r="K52" i="56"/>
  <c r="L52" i="56" s="1"/>
  <c r="G21" i="64"/>
  <c r="H21" i="64" s="1"/>
  <c r="K68" i="61"/>
  <c r="L68" i="61" s="1"/>
  <c r="K66" i="59"/>
  <c r="L66" i="59" s="1"/>
  <c r="G44" i="56"/>
  <c r="H44" i="56" s="1"/>
  <c r="G23" i="57"/>
  <c r="H23" i="57" s="1"/>
  <c r="K48" i="56"/>
  <c r="L48" i="56" s="1"/>
  <c r="K18" i="64"/>
  <c r="L18" i="64" s="1"/>
  <c r="K16" i="61"/>
  <c r="L16" i="61" s="1"/>
  <c r="G40" i="56"/>
  <c r="H40" i="56" s="1"/>
  <c r="K65" i="64"/>
  <c r="L65" i="64" s="1"/>
  <c r="G33" i="63"/>
  <c r="H33" i="63" s="1"/>
  <c r="K61" i="61"/>
  <c r="L61" i="61" s="1"/>
  <c r="G29" i="60"/>
  <c r="H29" i="60" s="1"/>
  <c r="K61" i="59"/>
  <c r="L61" i="59" s="1"/>
  <c r="G23" i="58"/>
  <c r="H23" i="58" s="1"/>
  <c r="G69" i="58"/>
  <c r="H69" i="58" s="1"/>
  <c r="K16" i="57"/>
  <c r="L16" i="57" s="1"/>
  <c r="K63" i="57"/>
  <c r="L63" i="57" s="1"/>
  <c r="G35" i="57"/>
  <c r="H35" i="57" s="1"/>
  <c r="G24" i="56"/>
  <c r="H24" i="56" s="1"/>
  <c r="K65" i="57"/>
  <c r="L65" i="57" s="1"/>
  <c r="I49" i="65"/>
  <c r="K49" i="65" s="1"/>
  <c r="K35" i="62"/>
  <c r="L35" i="62" s="1"/>
  <c r="G46" i="60"/>
  <c r="H46" i="60" s="1"/>
  <c r="G65" i="57"/>
  <c r="H65" i="57" s="1"/>
  <c r="K34" i="56"/>
  <c r="L34" i="56" s="1"/>
  <c r="G56" i="64"/>
  <c r="H56" i="64" s="1"/>
  <c r="K34" i="58"/>
  <c r="L34" i="58" s="1"/>
  <c r="K32" i="57"/>
  <c r="L32" i="57" s="1"/>
  <c r="G16" i="56"/>
  <c r="H16" i="56" s="1"/>
  <c r="G48" i="56"/>
  <c r="H48" i="56" s="1"/>
  <c r="K43" i="63"/>
  <c r="L43" i="63" s="1"/>
  <c r="G51" i="59"/>
  <c r="H51" i="59" s="1"/>
  <c r="K48" i="57"/>
  <c r="L48" i="57" s="1"/>
  <c r="K28" i="56"/>
  <c r="L28" i="56" s="1"/>
  <c r="K60" i="58"/>
  <c r="L60" i="58" s="1"/>
  <c r="G28" i="57"/>
  <c r="H28" i="57" s="1"/>
  <c r="G20" i="56"/>
  <c r="H20" i="56" s="1"/>
  <c r="G68" i="56"/>
  <c r="H68" i="56" s="1"/>
  <c r="I56" i="65"/>
  <c r="K56" i="65" s="1"/>
  <c r="K66" i="64"/>
  <c r="L66" i="64" s="1"/>
  <c r="G39" i="63"/>
  <c r="H39" i="63" s="1"/>
  <c r="K64" i="61"/>
  <c r="L64" i="61" s="1"/>
  <c r="G38" i="60"/>
  <c r="H38" i="60" s="1"/>
  <c r="K63" i="59"/>
  <c r="L63" i="59" s="1"/>
  <c r="K23" i="57"/>
  <c r="L23" i="57" s="1"/>
  <c r="G72" i="56"/>
  <c r="H72" i="56" s="1"/>
  <c r="K72" i="56"/>
  <c r="L72" i="56" s="1"/>
  <c r="K31" i="57"/>
  <c r="L31" i="57" s="1"/>
  <c r="G64" i="56"/>
  <c r="H64" i="56" s="1"/>
  <c r="G52" i="61"/>
  <c r="H52" i="61" s="1"/>
  <c r="G27" i="59"/>
  <c r="H27" i="59" s="1"/>
  <c r="G25" i="56"/>
  <c r="H25" i="56" s="1"/>
  <c r="G25" i="62"/>
  <c r="H25" i="62" s="1"/>
  <c r="G47" i="58"/>
  <c r="H47" i="58" s="1"/>
  <c r="K17" i="64"/>
  <c r="L17" i="64" s="1"/>
  <c r="G15" i="57"/>
  <c r="K48" i="60"/>
  <c r="L48" i="60" s="1"/>
  <c r="K58" i="56"/>
  <c r="L58" i="56" s="1"/>
  <c r="K69" i="64"/>
  <c r="L69" i="64" s="1"/>
  <c r="G42" i="63"/>
  <c r="H42" i="63" s="1"/>
  <c r="K32" i="62"/>
  <c r="L32" i="62" s="1"/>
  <c r="K67" i="61"/>
  <c r="L67" i="61" s="1"/>
  <c r="G40" i="60"/>
  <c r="H40" i="60" s="1"/>
  <c r="K64" i="59"/>
  <c r="L64" i="59" s="1"/>
  <c r="G26" i="58"/>
  <c r="H26" i="58" s="1"/>
  <c r="G33" i="56"/>
  <c r="H33" i="56" s="1"/>
  <c r="G36" i="58"/>
  <c r="H36" i="58" s="1"/>
  <c r="G45" i="57"/>
  <c r="H45" i="57" s="1"/>
  <c r="K44" i="56"/>
  <c r="L44" i="56" s="1"/>
  <c r="G59" i="61"/>
  <c r="H59" i="61" s="1"/>
  <c r="K15" i="57"/>
  <c r="K56" i="56"/>
  <c r="L56" i="56" s="1"/>
  <c r="Q60" i="65"/>
  <c r="S60" i="65" s="1"/>
  <c r="K37" i="59"/>
  <c r="L37" i="59" s="1"/>
  <c r="G48" i="58"/>
  <c r="H48" i="58" s="1"/>
  <c r="G57" i="56"/>
  <c r="H57" i="56" s="1"/>
  <c r="G36" i="62"/>
  <c r="H36" i="62" s="1"/>
  <c r="K39" i="59"/>
  <c r="L39" i="59" s="1"/>
  <c r="G64" i="58"/>
  <c r="H64" i="58" s="1"/>
  <c r="G56" i="57"/>
  <c r="H56" i="57" s="1"/>
  <c r="I36" i="65"/>
  <c r="K36" i="65" s="1"/>
  <c r="G57" i="64"/>
  <c r="H57" i="64" s="1"/>
  <c r="K46" i="62"/>
  <c r="L46" i="62" s="1"/>
  <c r="G55" i="61"/>
  <c r="H55" i="61" s="1"/>
  <c r="G29" i="59"/>
  <c r="H29" i="59" s="1"/>
  <c r="K36" i="58"/>
  <c r="L36" i="58" s="1"/>
  <c r="G43" i="58"/>
  <c r="H43" i="58" s="1"/>
  <c r="G15" i="58"/>
  <c r="K33" i="57"/>
  <c r="L33" i="57" s="1"/>
  <c r="G20" i="57"/>
  <c r="H20" i="57" s="1"/>
  <c r="G46" i="57"/>
  <c r="H46" i="57" s="1"/>
  <c r="G69" i="57"/>
  <c r="H69" i="57" s="1"/>
  <c r="K26" i="56"/>
  <c r="L26" i="56" s="1"/>
  <c r="K36" i="56"/>
  <c r="L36" i="56" s="1"/>
  <c r="G45" i="56"/>
  <c r="H45" i="56" s="1"/>
  <c r="K64" i="56"/>
  <c r="L64" i="56" s="1"/>
  <c r="G60" i="64"/>
  <c r="H60" i="64" s="1"/>
  <c r="G22" i="62"/>
  <c r="H22" i="62" s="1"/>
  <c r="G58" i="61"/>
  <c r="H58" i="61" s="1"/>
  <c r="K16" i="59"/>
  <c r="L16" i="59" s="1"/>
  <c r="G30" i="59"/>
  <c r="H30" i="59" s="1"/>
  <c r="K38" i="58"/>
  <c r="L38" i="58" s="1"/>
  <c r="G45" i="58"/>
  <c r="H45" i="58" s="1"/>
  <c r="K41" i="57"/>
  <c r="L41" i="57" s="1"/>
  <c r="G48" i="57"/>
  <c r="H48" i="57" s="1"/>
  <c r="G72" i="57"/>
  <c r="H72" i="57" s="1"/>
  <c r="K16" i="56"/>
  <c r="G28" i="56"/>
  <c r="H28" i="56" s="1"/>
  <c r="K46" i="56"/>
  <c r="L46" i="56" s="1"/>
  <c r="G56" i="56"/>
  <c r="H56" i="56" s="1"/>
  <c r="K18" i="59"/>
  <c r="L18" i="59" s="1"/>
  <c r="K39" i="58"/>
  <c r="L39" i="58" s="1"/>
  <c r="K47" i="57"/>
  <c r="L47" i="57" s="1"/>
  <c r="G37" i="56"/>
  <c r="H37" i="56" s="1"/>
  <c r="K58" i="58"/>
  <c r="L58" i="58" s="1"/>
  <c r="K18" i="39"/>
  <c r="G152" i="39"/>
  <c r="G18" i="39"/>
  <c r="Q15" i="48"/>
  <c r="S15" i="48" s="1"/>
  <c r="I15" i="48"/>
  <c r="K15" i="48" s="1"/>
  <c r="I15" i="49"/>
  <c r="K15" i="49" s="1"/>
  <c r="I15" i="47"/>
  <c r="K15" i="47" s="1"/>
  <c r="Q15" i="47"/>
  <c r="S15" i="47" s="1"/>
  <c r="M173" i="50"/>
  <c r="M174" i="50" s="1"/>
  <c r="F29" i="52"/>
  <c r="D39" i="52"/>
  <c r="G92" i="40"/>
  <c r="V41" i="40"/>
  <c r="E37" i="33"/>
  <c r="K192" i="39"/>
  <c r="K156" i="39"/>
  <c r="K119" i="39"/>
  <c r="K83" i="39"/>
  <c r="K47" i="39"/>
  <c r="K154" i="39"/>
  <c r="G183" i="39"/>
  <c r="G146" i="39"/>
  <c r="G110" i="39"/>
  <c r="G74" i="39"/>
  <c r="G38" i="39"/>
  <c r="K96" i="39"/>
  <c r="K173" i="39"/>
  <c r="K136" i="39"/>
  <c r="K100" i="39"/>
  <c r="K64" i="39"/>
  <c r="K28" i="39"/>
  <c r="K181" i="39"/>
  <c r="G173" i="39"/>
  <c r="G136" i="39"/>
  <c r="G100" i="39"/>
  <c r="G64" i="39"/>
  <c r="G28" i="39"/>
  <c r="K105" i="39"/>
  <c r="K126" i="39"/>
  <c r="G184" i="39"/>
  <c r="G147" i="39"/>
  <c r="G111" i="39"/>
  <c r="G75" i="39"/>
  <c r="G39" i="39"/>
  <c r="K189" i="39"/>
  <c r="K153" i="39"/>
  <c r="K116" i="39"/>
  <c r="K80" i="39"/>
  <c r="K44" i="39"/>
  <c r="K117" i="39"/>
  <c r="G180" i="39"/>
  <c r="G143" i="39"/>
  <c r="G107" i="39"/>
  <c r="G71" i="39"/>
  <c r="G35" i="39"/>
  <c r="K72" i="39"/>
  <c r="K170" i="39"/>
  <c r="K133" i="39"/>
  <c r="K97" i="39"/>
  <c r="K61" i="39"/>
  <c r="K25" i="39"/>
  <c r="K132" i="39"/>
  <c r="G170" i="39"/>
  <c r="G133" i="39"/>
  <c r="G97" i="39"/>
  <c r="G61" i="39"/>
  <c r="G25" i="39"/>
  <c r="K99" i="39"/>
  <c r="K108" i="39"/>
  <c r="G181" i="39"/>
  <c r="G144" i="39"/>
  <c r="G108" i="39"/>
  <c r="G72" i="39"/>
  <c r="G36" i="39"/>
  <c r="K22" i="39"/>
  <c r="G167" i="39"/>
  <c r="G130" i="39"/>
  <c r="G94" i="39"/>
  <c r="G22" i="39"/>
  <c r="K90" i="39"/>
  <c r="K102" i="39"/>
  <c r="G178" i="39"/>
  <c r="G105" i="39"/>
  <c r="G69" i="39"/>
  <c r="G33" i="39"/>
  <c r="K110" i="39"/>
  <c r="K74" i="39"/>
  <c r="K63" i="39"/>
  <c r="G137" i="39"/>
  <c r="G101" i="39"/>
  <c r="G65" i="39"/>
  <c r="G29" i="39"/>
  <c r="K27" i="39"/>
  <c r="K127" i="39"/>
  <c r="K91" i="39"/>
  <c r="K55" i="39"/>
  <c r="K33" i="39"/>
  <c r="K186" i="39"/>
  <c r="K149" i="39"/>
  <c r="K113" i="39"/>
  <c r="K77" i="39"/>
  <c r="K41" i="39"/>
  <c r="K81" i="39"/>
  <c r="G177" i="39"/>
  <c r="G140" i="39"/>
  <c r="G104" i="39"/>
  <c r="G68" i="39"/>
  <c r="G32" i="39"/>
  <c r="K51" i="39"/>
  <c r="K167" i="39"/>
  <c r="K130" i="39"/>
  <c r="K94" i="39"/>
  <c r="K58" i="39"/>
  <c r="K84" i="39"/>
  <c r="G58" i="39"/>
  <c r="G141" i="39"/>
  <c r="G174" i="39"/>
  <c r="K19" i="39"/>
  <c r="K183" i="39"/>
  <c r="K146" i="39"/>
  <c r="K38" i="39"/>
  <c r="K180" i="39"/>
  <c r="K143" i="39"/>
  <c r="K107" i="39"/>
  <c r="K71" i="39"/>
  <c r="K35" i="39"/>
  <c r="K45" i="39"/>
  <c r="G171" i="39"/>
  <c r="G134" i="39"/>
  <c r="G98" i="39"/>
  <c r="G62" i="39"/>
  <c r="G26" i="39"/>
  <c r="K197" i="39"/>
  <c r="K161" i="39"/>
  <c r="K165" i="39"/>
  <c r="K128" i="39"/>
  <c r="K162" i="39"/>
  <c r="K92" i="39"/>
  <c r="K26" i="39"/>
  <c r="G168" i="39"/>
  <c r="G116" i="39"/>
  <c r="G50" i="39"/>
  <c r="K191" i="39"/>
  <c r="K142" i="39"/>
  <c r="K82" i="39"/>
  <c r="K34" i="39"/>
  <c r="G191" i="39"/>
  <c r="G145" i="39"/>
  <c r="G91" i="39"/>
  <c r="G46" i="39"/>
  <c r="K129" i="39"/>
  <c r="K87" i="39"/>
  <c r="G166" i="39"/>
  <c r="G120" i="39"/>
  <c r="G66" i="39"/>
  <c r="G21" i="39"/>
  <c r="K23" i="39"/>
  <c r="G113" i="39"/>
  <c r="G47" i="39"/>
  <c r="K139" i="39"/>
  <c r="K79" i="39"/>
  <c r="K31" i="39"/>
  <c r="G142" i="39"/>
  <c r="G88" i="39"/>
  <c r="K123" i="39"/>
  <c r="K69" i="39"/>
  <c r="G163" i="39"/>
  <c r="G63" i="39"/>
  <c r="G114" i="39"/>
  <c r="G41" i="39"/>
  <c r="K73" i="39"/>
  <c r="G127" i="39"/>
  <c r="K78" i="39"/>
  <c r="G102" i="39"/>
  <c r="K65" i="39"/>
  <c r="G23" i="39"/>
  <c r="K150" i="39"/>
  <c r="G79" i="39"/>
  <c r="K21" i="39"/>
  <c r="G150" i="39"/>
  <c r="G149" i="39"/>
  <c r="K52" i="39"/>
  <c r="G118" i="39"/>
  <c r="K39" i="39"/>
  <c r="G93" i="39"/>
  <c r="K56" i="39"/>
  <c r="K158" i="39"/>
  <c r="G115" i="39"/>
  <c r="K24" i="39"/>
  <c r="K53" i="39"/>
  <c r="K155" i="39"/>
  <c r="G67" i="39"/>
  <c r="G132" i="39"/>
  <c r="G52" i="39"/>
  <c r="G81" i="39"/>
  <c r="K168" i="39"/>
  <c r="K85" i="39"/>
  <c r="G49" i="39"/>
  <c r="G24" i="39"/>
  <c r="K159" i="39"/>
  <c r="K89" i="39"/>
  <c r="G165" i="39"/>
  <c r="K188" i="39"/>
  <c r="G188" i="39"/>
  <c r="G43" i="39"/>
  <c r="G117" i="39"/>
  <c r="K111" i="39"/>
  <c r="G160" i="39"/>
  <c r="G60" i="39"/>
  <c r="K182" i="39"/>
  <c r="K166" i="39"/>
  <c r="G182" i="39"/>
  <c r="G37" i="39"/>
  <c r="G157" i="39"/>
  <c r="G156" i="39"/>
  <c r="K118" i="39"/>
  <c r="G124" i="39"/>
  <c r="G99" i="39"/>
  <c r="K62" i="39"/>
  <c r="K30" i="39"/>
  <c r="G86" i="39"/>
  <c r="K176" i="39"/>
  <c r="K67" i="39"/>
  <c r="G76" i="39"/>
  <c r="G196" i="39"/>
  <c r="G161" i="39"/>
  <c r="G190" i="39"/>
  <c r="G45" i="39"/>
  <c r="K104" i="39"/>
  <c r="K157" i="39"/>
  <c r="K48" i="39"/>
  <c r="K175" i="39"/>
  <c r="G87" i="39"/>
  <c r="G172" i="39"/>
  <c r="K95" i="39"/>
  <c r="K145" i="39"/>
  <c r="G103" i="39"/>
  <c r="G78" i="39"/>
  <c r="K140" i="39"/>
  <c r="K86" i="39"/>
  <c r="K20" i="39"/>
  <c r="G162" i="39"/>
  <c r="G95" i="39"/>
  <c r="G44" i="39"/>
  <c r="K185" i="39"/>
  <c r="K124" i="39"/>
  <c r="K76" i="39"/>
  <c r="K196" i="39"/>
  <c r="G185" i="39"/>
  <c r="G139" i="39"/>
  <c r="G85" i="39"/>
  <c r="G40" i="39"/>
  <c r="K57" i="39"/>
  <c r="K42" i="39"/>
  <c r="G57" i="39"/>
  <c r="K169" i="39"/>
  <c r="K179" i="39"/>
  <c r="G179" i="39"/>
  <c r="K66" i="39"/>
  <c r="G54" i="39"/>
  <c r="K131" i="39"/>
  <c r="G153" i="39"/>
  <c r="G20" i="39"/>
  <c r="K115" i="39"/>
  <c r="K114" i="39"/>
  <c r="G121" i="39"/>
  <c r="G31" i="39"/>
  <c r="G51" i="39"/>
  <c r="K125" i="39"/>
  <c r="G83" i="39"/>
  <c r="K164" i="39"/>
  <c r="K75" i="39"/>
  <c r="G19" i="39"/>
  <c r="G138" i="39"/>
  <c r="K93" i="39"/>
  <c r="K184" i="39"/>
  <c r="K49" i="39"/>
  <c r="K178" i="39"/>
  <c r="G90" i="39"/>
  <c r="G128" i="39"/>
  <c r="K106" i="39"/>
  <c r="G158" i="39"/>
  <c r="G187" i="39"/>
  <c r="G42" i="39"/>
  <c r="K144" i="39"/>
  <c r="G27" i="39"/>
  <c r="G186" i="39"/>
  <c r="K37" i="39"/>
  <c r="K138" i="39"/>
  <c r="K137" i="39"/>
  <c r="K68" i="39"/>
  <c r="K187" i="39"/>
  <c r="G159" i="39"/>
  <c r="G92" i="39"/>
  <c r="K121" i="39"/>
  <c r="G82" i="39"/>
  <c r="K70" i="39"/>
  <c r="G34" i="39"/>
  <c r="G176" i="39"/>
  <c r="G96" i="39"/>
  <c r="K59" i="39"/>
  <c r="K112" i="39"/>
  <c r="G73" i="39"/>
  <c r="G193" i="39"/>
  <c r="G48" i="39"/>
  <c r="K195" i="39"/>
  <c r="G131" i="39"/>
  <c r="G80" i="39"/>
  <c r="K109" i="39"/>
  <c r="G70" i="39"/>
  <c r="G135" i="39"/>
  <c r="K177" i="39"/>
  <c r="G77" i="39"/>
  <c r="K46" i="39"/>
  <c r="K172" i="39"/>
  <c r="K147" i="39"/>
  <c r="G119" i="39"/>
  <c r="K194" i="39"/>
  <c r="G148" i="39"/>
  <c r="G169" i="39"/>
  <c r="K134" i="39"/>
  <c r="G89" i="39"/>
  <c r="G154" i="39"/>
  <c r="K54" i="39"/>
  <c r="K193" i="39"/>
  <c r="K190" i="39"/>
  <c r="G164" i="39"/>
  <c r="K122" i="39"/>
  <c r="K60" i="39"/>
  <c r="G195" i="39"/>
  <c r="G112" i="39"/>
  <c r="G53" i="39"/>
  <c r="G123" i="39"/>
  <c r="K174" i="39"/>
  <c r="K101" i="39"/>
  <c r="K50" i="39"/>
  <c r="G192" i="39"/>
  <c r="G125" i="39"/>
  <c r="G59" i="39"/>
  <c r="K141" i="39"/>
  <c r="K151" i="39"/>
  <c r="K103" i="39"/>
  <c r="K43" i="39"/>
  <c r="K36" i="39"/>
  <c r="G155" i="39"/>
  <c r="G109" i="39"/>
  <c r="G55" i="39"/>
  <c r="K160" i="39"/>
  <c r="K163" i="39"/>
  <c r="G175" i="39"/>
  <c r="G129" i="39"/>
  <c r="G84" i="39"/>
  <c r="G30" i="39"/>
  <c r="K171" i="39"/>
  <c r="K98" i="39"/>
  <c r="K32" i="39"/>
  <c r="G189" i="39"/>
  <c r="G122" i="39"/>
  <c r="G56" i="39"/>
  <c r="K120" i="39"/>
  <c r="K148" i="39"/>
  <c r="K88" i="39"/>
  <c r="K40" i="39"/>
  <c r="G197" i="39"/>
  <c r="G151" i="39"/>
  <c r="G106" i="39"/>
  <c r="G126" i="39"/>
  <c r="K29" i="39"/>
  <c r="G194" i="39"/>
  <c r="K135" i="39"/>
  <c r="Q71" i="49"/>
  <c r="S71" i="49" s="1"/>
  <c r="I60" i="49"/>
  <c r="K60" i="49" s="1"/>
  <c r="I54" i="49"/>
  <c r="K54" i="49" s="1"/>
  <c r="Q48" i="49"/>
  <c r="S48" i="49" s="1"/>
  <c r="I43" i="49"/>
  <c r="K43" i="49" s="1"/>
  <c r="Q37" i="49"/>
  <c r="S37" i="49" s="1"/>
  <c r="Q31" i="49"/>
  <c r="S31" i="49" s="1"/>
  <c r="Q25" i="49"/>
  <c r="S25" i="49" s="1"/>
  <c r="Q19" i="49"/>
  <c r="S19" i="49" s="1"/>
  <c r="I64" i="48"/>
  <c r="K64" i="48" s="1"/>
  <c r="Q59" i="48"/>
  <c r="S59" i="48" s="1"/>
  <c r="Q54" i="48"/>
  <c r="S54" i="48" s="1"/>
  <c r="I45" i="48"/>
  <c r="K45" i="48" s="1"/>
  <c r="I41" i="48"/>
  <c r="K41" i="48" s="1"/>
  <c r="Q31" i="48"/>
  <c r="S31" i="48" s="1"/>
  <c r="Q26" i="48"/>
  <c r="S26" i="48" s="1"/>
  <c r="I22" i="48"/>
  <c r="K22" i="48" s="1"/>
  <c r="I66" i="47"/>
  <c r="K66" i="47" s="1"/>
  <c r="I60" i="47"/>
  <c r="K60" i="47" s="1"/>
  <c r="Q54" i="47"/>
  <c r="S54" i="47" s="1"/>
  <c r="Q49" i="47"/>
  <c r="S49" i="47" s="1"/>
  <c r="I44" i="47"/>
  <c r="K44" i="47" s="1"/>
  <c r="Q38" i="47"/>
  <c r="S38" i="47" s="1"/>
  <c r="I33" i="47"/>
  <c r="K33" i="47" s="1"/>
  <c r="I27" i="47"/>
  <c r="K27" i="47" s="1"/>
  <c r="Q21" i="47"/>
  <c r="S21" i="47" s="1"/>
  <c r="I16" i="47"/>
  <c r="K16" i="47" s="1"/>
  <c r="I71" i="46"/>
  <c r="K71" i="46" s="1"/>
  <c r="I66" i="46"/>
  <c r="K66" i="46" s="1"/>
  <c r="Q55" i="46"/>
  <c r="S55" i="46" s="1"/>
  <c r="I50" i="46"/>
  <c r="K50" i="46" s="1"/>
  <c r="I45" i="46"/>
  <c r="K45" i="46" s="1"/>
  <c r="I40" i="46"/>
  <c r="K40" i="46" s="1"/>
  <c r="I35" i="46"/>
  <c r="K35" i="46" s="1"/>
  <c r="I30" i="46"/>
  <c r="K30" i="46" s="1"/>
  <c r="I24" i="46"/>
  <c r="K24" i="46" s="1"/>
  <c r="I19" i="46"/>
  <c r="K19" i="46" s="1"/>
  <c r="L69" i="37"/>
  <c r="L63" i="37"/>
  <c r="L57" i="37"/>
  <c r="L51" i="37"/>
  <c r="L45" i="37"/>
  <c r="L39" i="37"/>
  <c r="L33" i="37"/>
  <c r="L27" i="37"/>
  <c r="L21" i="37"/>
  <c r="H70" i="36"/>
  <c r="H65" i="36"/>
  <c r="L59" i="36"/>
  <c r="H54" i="36"/>
  <c r="L48" i="36"/>
  <c r="L42" i="36"/>
  <c r="H37" i="36"/>
  <c r="L31" i="36"/>
  <c r="L26" i="36"/>
  <c r="H21" i="36"/>
  <c r="H69" i="35"/>
  <c r="H58" i="35"/>
  <c r="H52" i="35"/>
  <c r="H47" i="35"/>
  <c r="H41" i="35"/>
  <c r="H35" i="35"/>
  <c r="H24" i="35"/>
  <c r="L72" i="34"/>
  <c r="H67" i="34"/>
  <c r="L61" i="34"/>
  <c r="H56" i="34"/>
  <c r="H51" i="34"/>
  <c r="H45" i="34"/>
  <c r="H39" i="34"/>
  <c r="H33" i="34"/>
  <c r="H27" i="34"/>
  <c r="H21" i="34"/>
  <c r="I71" i="49"/>
  <c r="K71" i="49" s="1"/>
  <c r="Q65" i="49"/>
  <c r="S65" i="49" s="1"/>
  <c r="Q59" i="49"/>
  <c r="S59" i="49" s="1"/>
  <c r="I48" i="49"/>
  <c r="K48" i="49" s="1"/>
  <c r="Q42" i="49"/>
  <c r="S42" i="49" s="1"/>
  <c r="I37" i="49"/>
  <c r="K37" i="49" s="1"/>
  <c r="I31" i="49"/>
  <c r="K31" i="49" s="1"/>
  <c r="I25" i="49"/>
  <c r="K25" i="49" s="1"/>
  <c r="I19" i="49"/>
  <c r="K19" i="49" s="1"/>
  <c r="Q68" i="48"/>
  <c r="S68" i="48" s="1"/>
  <c r="Q63" i="48"/>
  <c r="S63" i="48" s="1"/>
  <c r="I54" i="48"/>
  <c r="K54" i="48" s="1"/>
  <c r="I50" i="48"/>
  <c r="K50" i="48" s="1"/>
  <c r="Q40" i="48"/>
  <c r="S40" i="48" s="1"/>
  <c r="Q35" i="48"/>
  <c r="S35" i="48" s="1"/>
  <c r="I31" i="48"/>
  <c r="K31" i="48" s="1"/>
  <c r="Q21" i="48"/>
  <c r="S21" i="48" s="1"/>
  <c r="I17" i="48"/>
  <c r="K17" i="48" s="1"/>
  <c r="Q71" i="47"/>
  <c r="S71" i="47" s="1"/>
  <c r="Q65" i="47"/>
  <c r="S65" i="47" s="1"/>
  <c r="I54" i="47"/>
  <c r="K54" i="47" s="1"/>
  <c r="I49" i="47"/>
  <c r="K49" i="47" s="1"/>
  <c r="Q43" i="47"/>
  <c r="S43" i="47" s="1"/>
  <c r="I38" i="47"/>
  <c r="K38" i="47" s="1"/>
  <c r="Q32" i="47"/>
  <c r="S32" i="47" s="1"/>
  <c r="Q26" i="47"/>
  <c r="S26" i="47" s="1"/>
  <c r="I21" i="47"/>
  <c r="K21" i="47" s="1"/>
  <c r="Q70" i="46"/>
  <c r="S70" i="46" s="1"/>
  <c r="Q65" i="46"/>
  <c r="S65" i="46" s="1"/>
  <c r="I60" i="46"/>
  <c r="K60" i="46" s="1"/>
  <c r="I55" i="46"/>
  <c r="K55" i="46" s="1"/>
  <c r="Q49" i="46"/>
  <c r="S49" i="46" s="1"/>
  <c r="Q44" i="46"/>
  <c r="S44" i="46" s="1"/>
  <c r="Q39" i="46"/>
  <c r="S39" i="46" s="1"/>
  <c r="Q34" i="46"/>
  <c r="S34" i="46" s="1"/>
  <c r="Q29" i="46"/>
  <c r="S29" i="46" s="1"/>
  <c r="Q18" i="46"/>
  <c r="S18" i="46" s="1"/>
  <c r="H69" i="37"/>
  <c r="H63" i="37"/>
  <c r="H57" i="37"/>
  <c r="H51" i="37"/>
  <c r="H45" i="37"/>
  <c r="H39" i="37"/>
  <c r="H33" i="37"/>
  <c r="H27" i="37"/>
  <c r="H21" i="37"/>
  <c r="L64" i="36"/>
  <c r="H59" i="36"/>
  <c r="L53" i="36"/>
  <c r="H48" i="36"/>
  <c r="H42" i="36"/>
  <c r="H31" i="36"/>
  <c r="H26" i="36"/>
  <c r="L20" i="36"/>
  <c r="H63" i="35"/>
  <c r="H29" i="35"/>
  <c r="H18" i="35"/>
  <c r="H72" i="34"/>
  <c r="L66" i="34"/>
  <c r="H61" i="34"/>
  <c r="L55" i="34"/>
  <c r="L50" i="34"/>
  <c r="L44" i="34"/>
  <c r="L38" i="34"/>
  <c r="L32" i="34"/>
  <c r="L26" i="34"/>
  <c r="L20" i="34"/>
  <c r="Q70" i="49"/>
  <c r="S70" i="49" s="1"/>
  <c r="I65" i="49"/>
  <c r="K65" i="49" s="1"/>
  <c r="I59" i="49"/>
  <c r="K59" i="49" s="1"/>
  <c r="Q53" i="49"/>
  <c r="S53" i="49" s="1"/>
  <c r="I42" i="49"/>
  <c r="K42" i="49" s="1"/>
  <c r="Q36" i="49"/>
  <c r="S36" i="49" s="1"/>
  <c r="Q30" i="49"/>
  <c r="S30" i="49" s="1"/>
  <c r="Q24" i="49"/>
  <c r="S24" i="49" s="1"/>
  <c r="Q18" i="49"/>
  <c r="S18" i="49" s="1"/>
  <c r="Q72" i="48"/>
  <c r="S72" i="48" s="1"/>
  <c r="I63" i="48"/>
  <c r="K63" i="48" s="1"/>
  <c r="I59" i="48"/>
  <c r="K59" i="48" s="1"/>
  <c r="Q49" i="48"/>
  <c r="S49" i="48" s="1"/>
  <c r="Q44" i="48"/>
  <c r="S44" i="48" s="1"/>
  <c r="I40" i="48"/>
  <c r="K40" i="48" s="1"/>
  <c r="Q30" i="48"/>
  <c r="S30" i="48" s="1"/>
  <c r="I26" i="48"/>
  <c r="K26" i="48" s="1"/>
  <c r="I21" i="48"/>
  <c r="K21" i="48" s="1"/>
  <c r="Q16" i="48"/>
  <c r="S16" i="48" s="1"/>
  <c r="I71" i="47"/>
  <c r="K71" i="47" s="1"/>
  <c r="I65" i="47"/>
  <c r="K65" i="47" s="1"/>
  <c r="Q59" i="47"/>
  <c r="S59" i="47" s="1"/>
  <c r="Q48" i="47"/>
  <c r="S48" i="47" s="1"/>
  <c r="I43" i="47"/>
  <c r="K43" i="47" s="1"/>
  <c r="Q37" i="47"/>
  <c r="S37" i="47" s="1"/>
  <c r="I32" i="47"/>
  <c r="K32" i="47" s="1"/>
  <c r="I26" i="47"/>
  <c r="K26" i="47" s="1"/>
  <c r="Q20" i="47"/>
  <c r="S20" i="47" s="1"/>
  <c r="I70" i="46"/>
  <c r="K70" i="46" s="1"/>
  <c r="I65" i="46"/>
  <c r="K65" i="46" s="1"/>
  <c r="Q54" i="46"/>
  <c r="S54" i="46" s="1"/>
  <c r="I49" i="46"/>
  <c r="K49" i="46" s="1"/>
  <c r="I44" i="46"/>
  <c r="K44" i="46" s="1"/>
  <c r="I39" i="46"/>
  <c r="K39" i="46" s="1"/>
  <c r="I34" i="46"/>
  <c r="K34" i="46" s="1"/>
  <c r="I29" i="46"/>
  <c r="K29" i="46" s="1"/>
  <c r="Q23" i="46"/>
  <c r="S23" i="46" s="1"/>
  <c r="L68" i="37"/>
  <c r="L62" i="37"/>
  <c r="L56" i="37"/>
  <c r="L50" i="37"/>
  <c r="L44" i="37"/>
  <c r="L38" i="37"/>
  <c r="L32" i="37"/>
  <c r="L26" i="37"/>
  <c r="L20" i="37"/>
  <c r="L69" i="36"/>
  <c r="H64" i="36"/>
  <c r="L58" i="36"/>
  <c r="H53" i="36"/>
  <c r="L47" i="36"/>
  <c r="L41" i="36"/>
  <c r="L36" i="36"/>
  <c r="L25" i="36"/>
  <c r="H20" i="36"/>
  <c r="H68" i="35"/>
  <c r="H57" i="35"/>
  <c r="H46" i="35"/>
  <c r="H40" i="35"/>
  <c r="H34" i="35"/>
  <c r="H23" i="35"/>
  <c r="L71" i="34"/>
  <c r="H66" i="34"/>
  <c r="L60" i="34"/>
  <c r="H55" i="34"/>
  <c r="H50" i="34"/>
  <c r="H44" i="34"/>
  <c r="H38" i="34"/>
  <c r="H32" i="34"/>
  <c r="H26" i="34"/>
  <c r="I70" i="49"/>
  <c r="K70" i="49" s="1"/>
  <c r="Q64" i="49"/>
  <c r="S64" i="49" s="1"/>
  <c r="Q58" i="49"/>
  <c r="S58" i="49" s="1"/>
  <c r="I53" i="49"/>
  <c r="K53" i="49" s="1"/>
  <c r="Q47" i="49"/>
  <c r="S47" i="49" s="1"/>
  <c r="I36" i="49"/>
  <c r="K36" i="49" s="1"/>
  <c r="I30" i="49"/>
  <c r="K30" i="49" s="1"/>
  <c r="I24" i="49"/>
  <c r="K24" i="49" s="1"/>
  <c r="I18" i="49"/>
  <c r="K18" i="49" s="1"/>
  <c r="I72" i="48"/>
  <c r="K72" i="48" s="1"/>
  <c r="I68" i="48"/>
  <c r="K68" i="48" s="1"/>
  <c r="Q58" i="48"/>
  <c r="S58" i="48" s="1"/>
  <c r="Q53" i="48"/>
  <c r="S53" i="48" s="1"/>
  <c r="I49" i="48"/>
  <c r="K49" i="48" s="1"/>
  <c r="Q39" i="48"/>
  <c r="S39" i="48" s="1"/>
  <c r="I35" i="48"/>
  <c r="K35" i="48" s="1"/>
  <c r="I30" i="48"/>
  <c r="K30" i="48" s="1"/>
  <c r="Q25" i="48"/>
  <c r="S25" i="48" s="1"/>
  <c r="Q20" i="48"/>
  <c r="S20" i="48" s="1"/>
  <c r="I16" i="48"/>
  <c r="K16" i="48" s="1"/>
  <c r="Q70" i="47"/>
  <c r="S70" i="47" s="1"/>
  <c r="Q64" i="47"/>
  <c r="S64" i="47" s="1"/>
  <c r="I59" i="47"/>
  <c r="K59" i="47" s="1"/>
  <c r="Q53" i="47"/>
  <c r="S53" i="47" s="1"/>
  <c r="I48" i="47"/>
  <c r="K48" i="47" s="1"/>
  <c r="Q42" i="47"/>
  <c r="S42" i="47" s="1"/>
  <c r="I37" i="47"/>
  <c r="K37" i="47" s="1"/>
  <c r="Q31" i="47"/>
  <c r="S31" i="47" s="1"/>
  <c r="Q25" i="47"/>
  <c r="S25" i="47" s="1"/>
  <c r="I20" i="47"/>
  <c r="K20" i="47" s="1"/>
  <c r="Q69" i="46"/>
  <c r="S69" i="46" s="1"/>
  <c r="Q64" i="46"/>
  <c r="S64" i="46" s="1"/>
  <c r="Q59" i="46"/>
  <c r="S59" i="46" s="1"/>
  <c r="Q48" i="46"/>
  <c r="S48" i="46" s="1"/>
  <c r="Q38" i="46"/>
  <c r="S38" i="46" s="1"/>
  <c r="Q33" i="46"/>
  <c r="S33" i="46" s="1"/>
  <c r="Q28" i="46"/>
  <c r="S28" i="46" s="1"/>
  <c r="I23" i="46"/>
  <c r="K23" i="46" s="1"/>
  <c r="I18" i="46"/>
  <c r="K18" i="46" s="1"/>
  <c r="H68" i="37"/>
  <c r="H62" i="37"/>
  <c r="H56" i="37"/>
  <c r="H50" i="37"/>
  <c r="H44" i="37"/>
  <c r="H38" i="37"/>
  <c r="H32" i="37"/>
  <c r="H26" i="37"/>
  <c r="H20" i="37"/>
  <c r="H69" i="36"/>
  <c r="H58" i="36"/>
  <c r="L52" i="36"/>
  <c r="H47" i="36"/>
  <c r="H41" i="36"/>
  <c r="H36" i="36"/>
  <c r="L30" i="36"/>
  <c r="H25" i="36"/>
  <c r="L19" i="36"/>
  <c r="H62" i="35"/>
  <c r="H51" i="35"/>
  <c r="H28" i="35"/>
  <c r="H17" i="35"/>
  <c r="H71" i="34"/>
  <c r="L65" i="34"/>
  <c r="H60" i="34"/>
  <c r="L49" i="34"/>
  <c r="L43" i="34"/>
  <c r="L37" i="34"/>
  <c r="L31" i="34"/>
  <c r="L25" i="34"/>
  <c r="L19" i="34"/>
  <c r="Q69" i="49"/>
  <c r="S69" i="49" s="1"/>
  <c r="I64" i="49"/>
  <c r="K64" i="49" s="1"/>
  <c r="I58" i="49"/>
  <c r="K58" i="49" s="1"/>
  <c r="Q52" i="49"/>
  <c r="S52" i="49" s="1"/>
  <c r="I47" i="49"/>
  <c r="K47" i="49" s="1"/>
  <c r="Q41" i="49"/>
  <c r="S41" i="49" s="1"/>
  <c r="Q35" i="49"/>
  <c r="S35" i="49" s="1"/>
  <c r="Q29" i="49"/>
  <c r="S29" i="49" s="1"/>
  <c r="Q23" i="49"/>
  <c r="S23" i="49" s="1"/>
  <c r="Q17" i="49"/>
  <c r="S17" i="49" s="1"/>
  <c r="Q67" i="48"/>
  <c r="S67" i="48" s="1"/>
  <c r="Q62" i="48"/>
  <c r="S62" i="48" s="1"/>
  <c r="I58" i="48"/>
  <c r="K58" i="48" s="1"/>
  <c r="Q48" i="48"/>
  <c r="S48" i="48" s="1"/>
  <c r="I44" i="48"/>
  <c r="K44" i="48" s="1"/>
  <c r="I39" i="48"/>
  <c r="K39" i="48" s="1"/>
  <c r="Q34" i="48"/>
  <c r="S34" i="48" s="1"/>
  <c r="Q29" i="48"/>
  <c r="S29" i="48" s="1"/>
  <c r="I25" i="48"/>
  <c r="K25" i="48" s="1"/>
  <c r="I70" i="47"/>
  <c r="K70" i="47" s="1"/>
  <c r="I64" i="47"/>
  <c r="K64" i="47" s="1"/>
  <c r="Q58" i="47"/>
  <c r="S58" i="47" s="1"/>
  <c r="I53" i="47"/>
  <c r="K53" i="47" s="1"/>
  <c r="I42" i="47"/>
  <c r="K42" i="47" s="1"/>
  <c r="Q36" i="47"/>
  <c r="S36" i="47" s="1"/>
  <c r="I31" i="47"/>
  <c r="K31" i="47" s="1"/>
  <c r="I25" i="47"/>
  <c r="K25" i="47" s="1"/>
  <c r="Q19" i="47"/>
  <c r="S19" i="47" s="1"/>
  <c r="I69" i="46"/>
  <c r="K69" i="46" s="1"/>
  <c r="I64" i="46"/>
  <c r="K64" i="46" s="1"/>
  <c r="I59" i="46"/>
  <c r="K59" i="46" s="1"/>
  <c r="I54" i="46"/>
  <c r="K54" i="46" s="1"/>
  <c r="Q43" i="46"/>
  <c r="S43" i="46" s="1"/>
  <c r="I38" i="46"/>
  <c r="K38" i="46" s="1"/>
  <c r="I33" i="46"/>
  <c r="K33" i="46" s="1"/>
  <c r="I28" i="46"/>
  <c r="K28" i="46" s="1"/>
  <c r="Q22" i="46"/>
  <c r="S22" i="46" s="1"/>
  <c r="Q17" i="46"/>
  <c r="S17" i="46" s="1"/>
  <c r="L73" i="37"/>
  <c r="L67" i="37"/>
  <c r="L61" i="37"/>
  <c r="L55" i="37"/>
  <c r="L49" i="37"/>
  <c r="L43" i="37"/>
  <c r="L37" i="37"/>
  <c r="L31" i="37"/>
  <c r="L25" i="37"/>
  <c r="L19" i="37"/>
  <c r="L73" i="36"/>
  <c r="L68" i="36"/>
  <c r="L63" i="36"/>
  <c r="H52" i="36"/>
  <c r="L46" i="36"/>
  <c r="L40" i="36"/>
  <c r="L35" i="36"/>
  <c r="H30" i="36"/>
  <c r="L24" i="36"/>
  <c r="H19" i="36"/>
  <c r="H73" i="35"/>
  <c r="H67" i="35"/>
  <c r="H56" i="35"/>
  <c r="H45" i="35"/>
  <c r="H39" i="35"/>
  <c r="H33" i="35"/>
  <c r="H22" i="35"/>
  <c r="L70" i="34"/>
  <c r="H65" i="34"/>
  <c r="L59" i="34"/>
  <c r="L54" i="34"/>
  <c r="H49" i="34"/>
  <c r="H43" i="34"/>
  <c r="H37" i="34"/>
  <c r="H31" i="34"/>
  <c r="H25" i="34"/>
  <c r="Q68" i="49"/>
  <c r="S68" i="49" s="1"/>
  <c r="I63" i="49"/>
  <c r="K63" i="49" s="1"/>
  <c r="I57" i="49"/>
  <c r="K57" i="49" s="1"/>
  <c r="Q51" i="49"/>
  <c r="S51" i="49" s="1"/>
  <c r="I46" i="49"/>
  <c r="K46" i="49" s="1"/>
  <c r="Q40" i="49"/>
  <c r="S40" i="49" s="1"/>
  <c r="Q34" i="49"/>
  <c r="S34" i="49" s="1"/>
  <c r="Q28" i="49"/>
  <c r="S28" i="49" s="1"/>
  <c r="Q22" i="49"/>
  <c r="S22" i="49" s="1"/>
  <c r="Q16" i="49"/>
  <c r="S16" i="49" s="1"/>
  <c r="Q66" i="48"/>
  <c r="S66" i="48" s="1"/>
  <c r="I62" i="48"/>
  <c r="K62" i="48" s="1"/>
  <c r="I57" i="48"/>
  <c r="K57" i="48" s="1"/>
  <c r="Q52" i="48"/>
  <c r="S52" i="48" s="1"/>
  <c r="Q47" i="48"/>
  <c r="S47" i="48" s="1"/>
  <c r="I43" i="48"/>
  <c r="K43" i="48" s="1"/>
  <c r="Q33" i="48"/>
  <c r="S33" i="48" s="1"/>
  <c r="I29" i="48"/>
  <c r="K29" i="48" s="1"/>
  <c r="I24" i="48"/>
  <c r="K24" i="48" s="1"/>
  <c r="Q19" i="48"/>
  <c r="S19" i="48" s="1"/>
  <c r="I69" i="47"/>
  <c r="K69" i="47" s="1"/>
  <c r="I63" i="47"/>
  <c r="K63" i="47" s="1"/>
  <c r="Q57" i="47"/>
  <c r="S57" i="47" s="1"/>
  <c r="I52" i="47"/>
  <c r="K52" i="47" s="1"/>
  <c r="I47" i="47"/>
  <c r="K47" i="47" s="1"/>
  <c r="Q41" i="47"/>
  <c r="S41" i="47" s="1"/>
  <c r="I30" i="47"/>
  <c r="K30" i="47" s="1"/>
  <c r="I24" i="47"/>
  <c r="K24" i="47" s="1"/>
  <c r="Q18" i="47"/>
  <c r="S18" i="47" s="1"/>
  <c r="I68" i="46"/>
  <c r="K68" i="46" s="1"/>
  <c r="I63" i="46"/>
  <c r="K63" i="46" s="1"/>
  <c r="I58" i="46"/>
  <c r="K58" i="46" s="1"/>
  <c r="I53" i="46"/>
  <c r="K53" i="46" s="1"/>
  <c r="Q42" i="46"/>
  <c r="S42" i="46" s="1"/>
  <c r="I37" i="46"/>
  <c r="K37" i="46" s="1"/>
  <c r="I32" i="46"/>
  <c r="K32" i="46" s="1"/>
  <c r="I27" i="46"/>
  <c r="K27" i="46" s="1"/>
  <c r="Q21" i="46"/>
  <c r="S21" i="46" s="1"/>
  <c r="Q16" i="46"/>
  <c r="S16" i="46" s="1"/>
  <c r="L72" i="37"/>
  <c r="L66" i="37"/>
  <c r="L60" i="37"/>
  <c r="L54" i="37"/>
  <c r="L48" i="37"/>
  <c r="L42" i="37"/>
  <c r="L36" i="37"/>
  <c r="L30" i="37"/>
  <c r="L24" i="37"/>
  <c r="L18" i="37"/>
  <c r="L67" i="36"/>
  <c r="L62" i="36"/>
  <c r="H57" i="36"/>
  <c r="H51" i="36"/>
  <c r="L45" i="36"/>
  <c r="L34" i="36"/>
  <c r="H29" i="36"/>
  <c r="L23" i="36"/>
  <c r="H18" i="36"/>
  <c r="H72" i="35"/>
  <c r="H55" i="35"/>
  <c r="H44" i="35"/>
  <c r="H38" i="35"/>
  <c r="H32" i="35"/>
  <c r="H21" i="35"/>
  <c r="H64" i="34"/>
  <c r="L58" i="34"/>
  <c r="L53" i="34"/>
  <c r="H48" i="34"/>
  <c r="H42" i="34"/>
  <c r="H36" i="34"/>
  <c r="H30" i="34"/>
  <c r="H24" i="34"/>
  <c r="Q67" i="49"/>
  <c r="S67" i="49" s="1"/>
  <c r="I62" i="49"/>
  <c r="K62" i="49" s="1"/>
  <c r="I56" i="49"/>
  <c r="K56" i="49" s="1"/>
  <c r="Q50" i="49"/>
  <c r="S50" i="49" s="1"/>
  <c r="I45" i="49"/>
  <c r="K45" i="49" s="1"/>
  <c r="Q39" i="49"/>
  <c r="S39" i="49" s="1"/>
  <c r="Q33" i="49"/>
  <c r="S33" i="49" s="1"/>
  <c r="Q27" i="49"/>
  <c r="S27" i="49" s="1"/>
  <c r="Q21" i="49"/>
  <c r="S21" i="49" s="1"/>
  <c r="Q15" i="49"/>
  <c r="S15" i="49" s="1"/>
  <c r="Q70" i="48"/>
  <c r="S70" i="48" s="1"/>
  <c r="Q65" i="48"/>
  <c r="S65" i="48" s="1"/>
  <c r="I61" i="48"/>
  <c r="K61" i="48" s="1"/>
  <c r="Q51" i="48"/>
  <c r="S51" i="48" s="1"/>
  <c r="I47" i="48"/>
  <c r="K47" i="48" s="1"/>
  <c r="I42" i="48"/>
  <c r="K42" i="48" s="1"/>
  <c r="Q37" i="48"/>
  <c r="S37" i="48" s="1"/>
  <c r="I28" i="48"/>
  <c r="K28" i="48" s="1"/>
  <c r="Q23" i="48"/>
  <c r="S23" i="48" s="1"/>
  <c r="Q18" i="48"/>
  <c r="S18" i="48" s="1"/>
  <c r="I68" i="47"/>
  <c r="K68" i="47" s="1"/>
  <c r="I62" i="47"/>
  <c r="K62" i="47" s="1"/>
  <c r="Q56" i="47"/>
  <c r="S56" i="47" s="1"/>
  <c r="I51" i="47"/>
  <c r="K51" i="47" s="1"/>
  <c r="I46" i="47"/>
  <c r="K46" i="47" s="1"/>
  <c r="Q40" i="47"/>
  <c r="S40" i="47" s="1"/>
  <c r="I35" i="47"/>
  <c r="K35" i="47" s="1"/>
  <c r="I29" i="47"/>
  <c r="K29" i="47" s="1"/>
  <c r="Q23" i="47"/>
  <c r="S23" i="47" s="1"/>
  <c r="Q67" i="46"/>
  <c r="S67" i="46" s="1"/>
  <c r="I62" i="46"/>
  <c r="K62" i="46" s="1"/>
  <c r="I57" i="46"/>
  <c r="K57" i="46" s="1"/>
  <c r="I52" i="46"/>
  <c r="K52" i="46" s="1"/>
  <c r="I47" i="46"/>
  <c r="K47" i="46" s="1"/>
  <c r="I42" i="46"/>
  <c r="K42" i="46" s="1"/>
  <c r="Q31" i="46"/>
  <c r="S31" i="46" s="1"/>
  <c r="I26" i="46"/>
  <c r="K26" i="46" s="1"/>
  <c r="Q20" i="46"/>
  <c r="S20" i="46" s="1"/>
  <c r="Q15" i="46"/>
  <c r="S15" i="46" s="1"/>
  <c r="L71" i="37"/>
  <c r="L65" i="37"/>
  <c r="L59" i="37"/>
  <c r="L53" i="37"/>
  <c r="L47" i="37"/>
  <c r="L41" i="37"/>
  <c r="L35" i="37"/>
  <c r="L29" i="37"/>
  <c r="L23" i="37"/>
  <c r="L17" i="37"/>
  <c r="H72" i="36"/>
  <c r="L61" i="36"/>
  <c r="H56" i="36"/>
  <c r="H50" i="36"/>
  <c r="L44" i="36"/>
  <c r="H39" i="36"/>
  <c r="L33" i="36"/>
  <c r="H28" i="36"/>
  <c r="L22" i="36"/>
  <c r="H17" i="36"/>
  <c r="H71" i="35"/>
  <c r="H60" i="35"/>
  <c r="H54" i="35"/>
  <c r="H43" i="35"/>
  <c r="H37" i="35"/>
  <c r="H31" i="35"/>
  <c r="H20" i="35"/>
  <c r="H69" i="34"/>
  <c r="L63" i="34"/>
  <c r="L52" i="34"/>
  <c r="H47" i="34"/>
  <c r="H41" i="34"/>
  <c r="H35" i="34"/>
  <c r="H29" i="34"/>
  <c r="H23" i="34"/>
  <c r="I67" i="49"/>
  <c r="K67" i="49" s="1"/>
  <c r="Q61" i="49"/>
  <c r="S61" i="49" s="1"/>
  <c r="Q55" i="49"/>
  <c r="S55" i="49" s="1"/>
  <c r="I50" i="49"/>
  <c r="K50" i="49" s="1"/>
  <c r="Q44" i="49"/>
  <c r="S44" i="49" s="1"/>
  <c r="I39" i="49"/>
  <c r="K39" i="49" s="1"/>
  <c r="I33" i="49"/>
  <c r="K33" i="49" s="1"/>
  <c r="I27" i="49"/>
  <c r="K27" i="49" s="1"/>
  <c r="I21" i="49"/>
  <c r="K21" i="49" s="1"/>
  <c r="I70" i="48"/>
  <c r="K70" i="48" s="1"/>
  <c r="Q60" i="48"/>
  <c r="S60" i="48" s="1"/>
  <c r="I56" i="48"/>
  <c r="K56" i="48" s="1"/>
  <c r="I51" i="48"/>
  <c r="K51" i="48" s="1"/>
  <c r="Q46" i="48"/>
  <c r="S46" i="48" s="1"/>
  <c r="I37" i="48"/>
  <c r="K37" i="48" s="1"/>
  <c r="Q32" i="48"/>
  <c r="S32" i="48" s="1"/>
  <c r="Q27" i="48"/>
  <c r="S27" i="48" s="1"/>
  <c r="I18" i="48"/>
  <c r="K18" i="48" s="1"/>
  <c r="Q67" i="47"/>
  <c r="S67" i="47" s="1"/>
  <c r="Q61" i="47"/>
  <c r="S61" i="47" s="1"/>
  <c r="I56" i="47"/>
  <c r="K56" i="47" s="1"/>
  <c r="Q45" i="47"/>
  <c r="S45" i="47" s="1"/>
  <c r="I40" i="47"/>
  <c r="K40" i="47" s="1"/>
  <c r="Q34" i="47"/>
  <c r="S34" i="47" s="1"/>
  <c r="Q28" i="47"/>
  <c r="S28" i="47" s="1"/>
  <c r="I23" i="47"/>
  <c r="K23" i="47" s="1"/>
  <c r="Q17" i="47"/>
  <c r="S17" i="47" s="1"/>
  <c r="I72" i="46"/>
  <c r="K72" i="46" s="1"/>
  <c r="I67" i="46"/>
  <c r="K67" i="46" s="1"/>
  <c r="Q61" i="46"/>
  <c r="S61" i="46" s="1"/>
  <c r="Q56" i="46"/>
  <c r="S56" i="46" s="1"/>
  <c r="Q51" i="46"/>
  <c r="S51" i="46" s="1"/>
  <c r="Q46" i="46"/>
  <c r="S46" i="46" s="1"/>
  <c r="Q41" i="46"/>
  <c r="S41" i="46" s="1"/>
  <c r="I36" i="46"/>
  <c r="K36" i="46" s="1"/>
  <c r="I31" i="46"/>
  <c r="K31" i="46" s="1"/>
  <c r="Q25" i="46"/>
  <c r="S25" i="46" s="1"/>
  <c r="I20" i="46"/>
  <c r="K20" i="46" s="1"/>
  <c r="H71" i="37"/>
  <c r="H65" i="37"/>
  <c r="H59" i="37"/>
  <c r="H53" i="37"/>
  <c r="H47" i="37"/>
  <c r="H41" i="37"/>
  <c r="H35" i="37"/>
  <c r="H29" i="37"/>
  <c r="H23" i="37"/>
  <c r="H17" i="37"/>
  <c r="L71" i="36"/>
  <c r="L66" i="36"/>
  <c r="H61" i="36"/>
  <c r="L55" i="36"/>
  <c r="L49" i="36"/>
  <c r="H44" i="36"/>
  <c r="L38" i="36"/>
  <c r="H33" i="36"/>
  <c r="H22" i="36"/>
  <c r="H65" i="35"/>
  <c r="H25" i="35"/>
  <c r="L68" i="34"/>
  <c r="H63" i="34"/>
  <c r="L57" i="34"/>
  <c r="H52" i="34"/>
  <c r="L46" i="34"/>
  <c r="L40" i="34"/>
  <c r="L34" i="34"/>
  <c r="L28" i="34"/>
  <c r="L22" i="34"/>
  <c r="I72" i="49"/>
  <c r="K72" i="49" s="1"/>
  <c r="I66" i="49"/>
  <c r="K66" i="49" s="1"/>
  <c r="Q60" i="49"/>
  <c r="S60" i="49" s="1"/>
  <c r="Q54" i="49"/>
  <c r="S54" i="49" s="1"/>
  <c r="I49" i="49"/>
  <c r="K49" i="49" s="1"/>
  <c r="Q43" i="49"/>
  <c r="S43" i="49" s="1"/>
  <c r="I38" i="49"/>
  <c r="K38" i="49" s="1"/>
  <c r="I32" i="49"/>
  <c r="K32" i="49" s="1"/>
  <c r="I26" i="49"/>
  <c r="K26" i="49" s="1"/>
  <c r="I20" i="49"/>
  <c r="K20" i="49" s="1"/>
  <c r="I69" i="48"/>
  <c r="K69" i="48" s="1"/>
  <c r="Q64" i="48"/>
  <c r="S64" i="48" s="1"/>
  <c r="I55" i="48"/>
  <c r="K55" i="48" s="1"/>
  <c r="Q50" i="48"/>
  <c r="S50" i="48" s="1"/>
  <c r="Q45" i="48"/>
  <c r="S45" i="48" s="1"/>
  <c r="I36" i="48"/>
  <c r="K36" i="48" s="1"/>
  <c r="I32" i="48"/>
  <c r="K32" i="48" s="1"/>
  <c r="Q22" i="48"/>
  <c r="S22" i="48" s="1"/>
  <c r="Q17" i="48"/>
  <c r="S17" i="48" s="1"/>
  <c r="I72" i="47"/>
  <c r="K72" i="47" s="1"/>
  <c r="Q66" i="47"/>
  <c r="S66" i="47" s="1"/>
  <c r="Q60" i="47"/>
  <c r="S60" i="47" s="1"/>
  <c r="I55" i="47"/>
  <c r="K55" i="47" s="1"/>
  <c r="I50" i="47"/>
  <c r="K50" i="47" s="1"/>
  <c r="Q44" i="47"/>
  <c r="S44" i="47" s="1"/>
  <c r="I39" i="47"/>
  <c r="K39" i="47" s="1"/>
  <c r="Q33" i="47"/>
  <c r="S33" i="47" s="1"/>
  <c r="Q27" i="47"/>
  <c r="S27" i="47" s="1"/>
  <c r="I22" i="47"/>
  <c r="K22" i="47" s="1"/>
  <c r="Q16" i="47"/>
  <c r="S16" i="47" s="1"/>
  <c r="Q71" i="46"/>
  <c r="S71" i="46" s="1"/>
  <c r="Q60" i="46"/>
  <c r="S60" i="46" s="1"/>
  <c r="Q50" i="46"/>
  <c r="S50" i="46" s="1"/>
  <c r="Q45" i="46"/>
  <c r="S45" i="46" s="1"/>
  <c r="Q40" i="46"/>
  <c r="S40" i="46" s="1"/>
  <c r="Q35" i="46"/>
  <c r="S35" i="46" s="1"/>
  <c r="Q24" i="46"/>
  <c r="S24" i="46" s="1"/>
  <c r="Q19" i="46"/>
  <c r="S19" i="46" s="1"/>
  <c r="H70" i="37"/>
  <c r="H64" i="37"/>
  <c r="H58" i="37"/>
  <c r="H52" i="37"/>
  <c r="H46" i="37"/>
  <c r="H40" i="37"/>
  <c r="H34" i="37"/>
  <c r="H28" i="37"/>
  <c r="H22" i="37"/>
  <c r="L70" i="36"/>
  <c r="L65" i="36"/>
  <c r="H60" i="36"/>
  <c r="L54" i="36"/>
  <c r="H43" i="36"/>
  <c r="L37" i="36"/>
  <c r="H32" i="36"/>
  <c r="H27" i="36"/>
  <c r="L21" i="36"/>
  <c r="H64" i="35"/>
  <c r="H30" i="35"/>
  <c r="H73" i="34"/>
  <c r="L67" i="34"/>
  <c r="H62" i="34"/>
  <c r="L56" i="34"/>
  <c r="L51" i="34"/>
  <c r="L45" i="34"/>
  <c r="L39" i="34"/>
  <c r="L33" i="34"/>
  <c r="L27" i="34"/>
  <c r="L21" i="34"/>
  <c r="Q66" i="49"/>
  <c r="S66" i="49" s="1"/>
  <c r="I44" i="49"/>
  <c r="K44" i="49" s="1"/>
  <c r="Q20" i="49"/>
  <c r="S20" i="49" s="1"/>
  <c r="I65" i="48"/>
  <c r="K65" i="48" s="1"/>
  <c r="I46" i="48"/>
  <c r="K46" i="48" s="1"/>
  <c r="I27" i="48"/>
  <c r="K27" i="48" s="1"/>
  <c r="Q72" i="47"/>
  <c r="S72" i="47" s="1"/>
  <c r="Q50" i="47"/>
  <c r="S50" i="47" s="1"/>
  <c r="I28" i="47"/>
  <c r="K28" i="47" s="1"/>
  <c r="I51" i="46"/>
  <c r="K51" i="46" s="1"/>
  <c r="Q30" i="46"/>
  <c r="S30" i="46" s="1"/>
  <c r="H55" i="37"/>
  <c r="H31" i="37"/>
  <c r="H55" i="36"/>
  <c r="L32" i="36"/>
  <c r="H53" i="34"/>
  <c r="L29" i="34"/>
  <c r="L72" i="36"/>
  <c r="H70" i="34"/>
  <c r="L24" i="34"/>
  <c r="Q38" i="48"/>
  <c r="S38" i="48" s="1"/>
  <c r="H48" i="37"/>
  <c r="Q63" i="49"/>
  <c r="S63" i="49" s="1"/>
  <c r="I41" i="49"/>
  <c r="K41" i="49" s="1"/>
  <c r="I17" i="49"/>
  <c r="K17" i="49" s="1"/>
  <c r="Q43" i="48"/>
  <c r="S43" i="48" s="1"/>
  <c r="Q24" i="48"/>
  <c r="S24" i="48" s="1"/>
  <c r="Q69" i="47"/>
  <c r="S69" i="47" s="1"/>
  <c r="Q47" i="47"/>
  <c r="S47" i="47" s="1"/>
  <c r="Q24" i="47"/>
  <c r="S24" i="47" s="1"/>
  <c r="Q68" i="46"/>
  <c r="S68" i="46" s="1"/>
  <c r="I48" i="46"/>
  <c r="K48" i="46" s="1"/>
  <c r="Q27" i="46"/>
  <c r="S27" i="46" s="1"/>
  <c r="H54" i="37"/>
  <c r="H30" i="37"/>
  <c r="H73" i="36"/>
  <c r="L51" i="36"/>
  <c r="L29" i="36"/>
  <c r="H53" i="35"/>
  <c r="L73" i="34"/>
  <c r="H28" i="34"/>
  <c r="L28" i="37"/>
  <c r="L28" i="36"/>
  <c r="H50" i="35"/>
  <c r="L48" i="34"/>
  <c r="I35" i="49"/>
  <c r="K35" i="49" s="1"/>
  <c r="H68" i="34"/>
  <c r="I34" i="49"/>
  <c r="K34" i="49" s="1"/>
  <c r="H45" i="36"/>
  <c r="H20" i="34"/>
  <c r="Q39" i="47"/>
  <c r="S39" i="47" s="1"/>
  <c r="H43" i="37"/>
  <c r="Q71" i="48"/>
  <c r="S71" i="48" s="1"/>
  <c r="Q37" i="46"/>
  <c r="S37" i="46" s="1"/>
  <c r="H63" i="36"/>
  <c r="H19" i="35"/>
  <c r="Q62" i="49"/>
  <c r="S62" i="49" s="1"/>
  <c r="I40" i="49"/>
  <c r="K40" i="49" s="1"/>
  <c r="I16" i="49"/>
  <c r="K16" i="49" s="1"/>
  <c r="Q61" i="48"/>
  <c r="S61" i="48" s="1"/>
  <c r="Q42" i="48"/>
  <c r="S42" i="48" s="1"/>
  <c r="Q68" i="47"/>
  <c r="S68" i="47" s="1"/>
  <c r="Q46" i="47"/>
  <c r="S46" i="47" s="1"/>
  <c r="Q47" i="46"/>
  <c r="S47" i="46" s="1"/>
  <c r="Q26" i="46"/>
  <c r="S26" i="46" s="1"/>
  <c r="L52" i="37"/>
  <c r="L50" i="36"/>
  <c r="H27" i="35"/>
  <c r="I43" i="46"/>
  <c r="K43" i="46" s="1"/>
  <c r="H48" i="35"/>
  <c r="I21" i="46"/>
  <c r="K21" i="46" s="1"/>
  <c r="L22" i="37"/>
  <c r="L42" i="34"/>
  <c r="Q32" i="49"/>
  <c r="S32" i="49" s="1"/>
  <c r="H19" i="37"/>
  <c r="I29" i="49"/>
  <c r="K29" i="49" s="1"/>
  <c r="I36" i="47"/>
  <c r="K36" i="47" s="1"/>
  <c r="H42" i="37"/>
  <c r="H42" i="35"/>
  <c r="H40" i="34"/>
  <c r="I61" i="49"/>
  <c r="K61" i="49" s="1"/>
  <c r="Q38" i="49"/>
  <c r="S38" i="49" s="1"/>
  <c r="I60" i="48"/>
  <c r="K60" i="48" s="1"/>
  <c r="Q41" i="48"/>
  <c r="S41" i="48" s="1"/>
  <c r="I23" i="48"/>
  <c r="K23" i="48" s="1"/>
  <c r="I67" i="47"/>
  <c r="K67" i="47" s="1"/>
  <c r="I45" i="47"/>
  <c r="K45" i="47" s="1"/>
  <c r="Q22" i="47"/>
  <c r="S22" i="47" s="1"/>
  <c r="Q66" i="46"/>
  <c r="S66" i="46" s="1"/>
  <c r="I46" i="46"/>
  <c r="K46" i="46" s="1"/>
  <c r="I25" i="46"/>
  <c r="K25" i="46" s="1"/>
  <c r="H73" i="37"/>
  <c r="H49" i="37"/>
  <c r="H25" i="37"/>
  <c r="H71" i="36"/>
  <c r="H49" i="36"/>
  <c r="L27" i="36"/>
  <c r="H49" i="35"/>
  <c r="H26" i="35"/>
  <c r="L69" i="34"/>
  <c r="L47" i="34"/>
  <c r="L23" i="34"/>
  <c r="Q57" i="49"/>
  <c r="S57" i="49" s="1"/>
  <c r="Q57" i="48"/>
  <c r="S57" i="48" s="1"/>
  <c r="I20" i="48"/>
  <c r="K20" i="48" s="1"/>
  <c r="Q63" i="47"/>
  <c r="S63" i="47" s="1"/>
  <c r="I19" i="47"/>
  <c r="K19" i="47" s="1"/>
  <c r="Q63" i="46"/>
  <c r="S63" i="46" s="1"/>
  <c r="I22" i="46"/>
  <c r="K22" i="46" s="1"/>
  <c r="H72" i="37"/>
  <c r="H24" i="37"/>
  <c r="H68" i="36"/>
  <c r="H46" i="36"/>
  <c r="H24" i="36"/>
  <c r="H70" i="35"/>
  <c r="H46" i="34"/>
  <c r="H22" i="34"/>
  <c r="Q56" i="49"/>
  <c r="S56" i="49" s="1"/>
  <c r="Q56" i="48"/>
  <c r="S56" i="48" s="1"/>
  <c r="I38" i="48"/>
  <c r="K38" i="48" s="1"/>
  <c r="I19" i="48"/>
  <c r="K19" i="48" s="1"/>
  <c r="Q62" i="47"/>
  <c r="S62" i="47" s="1"/>
  <c r="I41" i="47"/>
  <c r="K41" i="47" s="1"/>
  <c r="I18" i="47"/>
  <c r="K18" i="47" s="1"/>
  <c r="Q62" i="46"/>
  <c r="S62" i="46" s="1"/>
  <c r="L70" i="37"/>
  <c r="L46" i="37"/>
  <c r="H67" i="36"/>
  <c r="H23" i="36"/>
  <c r="L64" i="34"/>
  <c r="I55" i="49"/>
  <c r="K55" i="49" s="1"/>
  <c r="Q55" i="48"/>
  <c r="S55" i="48" s="1"/>
  <c r="Q36" i="48"/>
  <c r="S36" i="48" s="1"/>
  <c r="I61" i="47"/>
  <c r="K61" i="47" s="1"/>
  <c r="I17" i="47"/>
  <c r="K17" i="47" s="1"/>
  <c r="I61" i="46"/>
  <c r="K61" i="46" s="1"/>
  <c r="H67" i="37"/>
  <c r="H66" i="36"/>
  <c r="L43" i="36"/>
  <c r="H66" i="35"/>
  <c r="H19" i="34"/>
  <c r="I52" i="49"/>
  <c r="K52" i="49" s="1"/>
  <c r="I53" i="48"/>
  <c r="K53" i="48" s="1"/>
  <c r="I34" i="48"/>
  <c r="K34" i="48" s="1"/>
  <c r="Q58" i="46"/>
  <c r="S58" i="46" s="1"/>
  <c r="I17" i="46"/>
  <c r="K17" i="46" s="1"/>
  <c r="H66" i="37"/>
  <c r="H18" i="37"/>
  <c r="L18" i="36"/>
  <c r="L62" i="34"/>
  <c r="L18" i="34"/>
  <c r="I51" i="49"/>
  <c r="K51" i="49" s="1"/>
  <c r="I28" i="49"/>
  <c r="K28" i="49" s="1"/>
  <c r="I71" i="48"/>
  <c r="K71" i="48" s="1"/>
  <c r="I52" i="48"/>
  <c r="K52" i="48" s="1"/>
  <c r="I33" i="48"/>
  <c r="K33" i="48" s="1"/>
  <c r="I57" i="47"/>
  <c r="K57" i="47" s="1"/>
  <c r="Q35" i="47"/>
  <c r="S35" i="47" s="1"/>
  <c r="Q57" i="46"/>
  <c r="S57" i="46" s="1"/>
  <c r="Q36" i="46"/>
  <c r="S36" i="46" s="1"/>
  <c r="I16" i="46"/>
  <c r="K16" i="46" s="1"/>
  <c r="L64" i="37"/>
  <c r="L40" i="37"/>
  <c r="H62" i="36"/>
  <c r="L39" i="36"/>
  <c r="L17" i="36"/>
  <c r="H61" i="35"/>
  <c r="H59" i="34"/>
  <c r="L36" i="34"/>
  <c r="H18" i="34"/>
  <c r="Q72" i="46"/>
  <c r="S72" i="46" s="1"/>
  <c r="Q72" i="49"/>
  <c r="S72" i="49" s="1"/>
  <c r="Q49" i="49"/>
  <c r="S49" i="49" s="1"/>
  <c r="Q26" i="49"/>
  <c r="S26" i="49" s="1"/>
  <c r="Q69" i="48"/>
  <c r="S69" i="48" s="1"/>
  <c r="Q55" i="47"/>
  <c r="S55" i="47" s="1"/>
  <c r="I34" i="47"/>
  <c r="K34" i="47" s="1"/>
  <c r="I56" i="46"/>
  <c r="K56" i="46" s="1"/>
  <c r="H61" i="37"/>
  <c r="H37" i="37"/>
  <c r="L60" i="36"/>
  <c r="H38" i="36"/>
  <c r="H58" i="34"/>
  <c r="L35" i="34"/>
  <c r="L17" i="34"/>
  <c r="I68" i="49"/>
  <c r="K68" i="49" s="1"/>
  <c r="I22" i="49"/>
  <c r="K22" i="49" s="1"/>
  <c r="I66" i="48"/>
  <c r="K66" i="48" s="1"/>
  <c r="Q28" i="48"/>
  <c r="S28" i="48" s="1"/>
  <c r="Q29" i="47"/>
  <c r="S29" i="47" s="1"/>
  <c r="Q52" i="46"/>
  <c r="S52" i="46" s="1"/>
  <c r="L58" i="37"/>
  <c r="L56" i="36"/>
  <c r="H54" i="34"/>
  <c r="I69" i="49"/>
  <c r="K69" i="49" s="1"/>
  <c r="Q46" i="49"/>
  <c r="S46" i="49" s="1"/>
  <c r="I23" i="49"/>
  <c r="K23" i="49" s="1"/>
  <c r="I67" i="48"/>
  <c r="K67" i="48" s="1"/>
  <c r="I48" i="48"/>
  <c r="K48" i="48" s="1"/>
  <c r="Q52" i="47"/>
  <c r="S52" i="47" s="1"/>
  <c r="Q30" i="47"/>
  <c r="S30" i="47" s="1"/>
  <c r="Q53" i="46"/>
  <c r="S53" i="46" s="1"/>
  <c r="Q32" i="46"/>
  <c r="S32" i="46" s="1"/>
  <c r="H60" i="37"/>
  <c r="H36" i="37"/>
  <c r="L57" i="36"/>
  <c r="H35" i="36"/>
  <c r="H59" i="35"/>
  <c r="H36" i="35"/>
  <c r="H57" i="34"/>
  <c r="H34" i="34"/>
  <c r="H17" i="34"/>
  <c r="Q45" i="49"/>
  <c r="S45" i="49" s="1"/>
  <c r="Q51" i="47"/>
  <c r="S51" i="47" s="1"/>
  <c r="L34" i="37"/>
  <c r="H34" i="36"/>
  <c r="L30" i="34"/>
  <c r="I41" i="46"/>
  <c r="K41" i="46" s="1"/>
  <c r="L41" i="34"/>
  <c r="I58" i="47"/>
  <c r="K58" i="47" s="1"/>
  <c r="H40" i="36"/>
  <c r="M169" i="12"/>
  <c r="M171" i="12" s="1"/>
  <c r="E93" i="2"/>
  <c r="J93" i="2" s="1"/>
  <c r="R48" i="51" l="1"/>
  <c r="R168" i="51"/>
  <c r="J98" i="51"/>
  <c r="J146" i="51"/>
  <c r="J60" i="51"/>
  <c r="R22" i="51"/>
  <c r="R106" i="51"/>
  <c r="J77" i="51"/>
  <c r="R82" i="51"/>
  <c r="J42" i="51"/>
  <c r="J66" i="51"/>
  <c r="R153" i="51"/>
  <c r="J177" i="51"/>
  <c r="J194" i="51"/>
  <c r="R50" i="51"/>
  <c r="J181" i="51"/>
  <c r="R117" i="51"/>
  <c r="R123" i="51"/>
  <c r="R76" i="51"/>
  <c r="R61" i="51"/>
  <c r="J90" i="51"/>
  <c r="R183" i="51"/>
  <c r="J24" i="51"/>
  <c r="R32" i="51"/>
  <c r="R194" i="51"/>
  <c r="J35" i="51"/>
  <c r="J106" i="51"/>
  <c r="J28" i="51"/>
  <c r="R17" i="51"/>
  <c r="J44" i="51"/>
  <c r="R35" i="51"/>
  <c r="J120" i="51"/>
  <c r="R43" i="51"/>
  <c r="J102" i="51"/>
  <c r="J130" i="51"/>
  <c r="J165" i="51"/>
  <c r="R132" i="51"/>
  <c r="R44" i="51"/>
  <c r="J157" i="51"/>
  <c r="R115" i="51"/>
  <c r="J176" i="51"/>
  <c r="R97" i="51"/>
  <c r="J32" i="51"/>
  <c r="J133" i="51"/>
  <c r="R80" i="51"/>
  <c r="J23" i="51"/>
  <c r="R52" i="51"/>
  <c r="R86" i="51"/>
  <c r="J126" i="51"/>
  <c r="R67" i="51"/>
  <c r="R36" i="51"/>
  <c r="J111" i="51"/>
  <c r="R154" i="51"/>
  <c r="R60" i="51"/>
  <c r="R124" i="51"/>
  <c r="R159" i="51"/>
  <c r="R54" i="51"/>
  <c r="J30" i="51"/>
  <c r="R108" i="51"/>
  <c r="R184" i="51"/>
  <c r="J46" i="51"/>
  <c r="R151" i="51"/>
  <c r="R102" i="51"/>
  <c r="R24" i="51"/>
  <c r="R160" i="51"/>
  <c r="R58" i="51"/>
  <c r="R104" i="51"/>
  <c r="R112" i="51"/>
  <c r="J78" i="51"/>
  <c r="J17" i="51"/>
  <c r="J168" i="51"/>
  <c r="R64" i="51"/>
  <c r="J52" i="51"/>
  <c r="R130" i="51"/>
  <c r="R177" i="51"/>
  <c r="R185" i="51"/>
  <c r="J187" i="51"/>
  <c r="J171" i="51"/>
  <c r="R66" i="51"/>
  <c r="J21" i="51"/>
  <c r="J175" i="51"/>
  <c r="R178" i="51"/>
  <c r="J20" i="51"/>
  <c r="J152" i="51"/>
  <c r="R41" i="51"/>
  <c r="R34" i="51"/>
  <c r="J153" i="51"/>
  <c r="R138" i="51"/>
  <c r="J34" i="51"/>
  <c r="R175" i="51"/>
  <c r="J188" i="51"/>
  <c r="R167" i="51"/>
  <c r="J149" i="51"/>
  <c r="J93" i="51"/>
  <c r="R53" i="51"/>
  <c r="J178" i="51"/>
  <c r="J195" i="51"/>
  <c r="R150" i="51"/>
  <c r="R92" i="51"/>
  <c r="R99" i="51"/>
  <c r="R147" i="51"/>
  <c r="R156" i="51"/>
  <c r="J49" i="51"/>
  <c r="R129" i="51"/>
  <c r="J173" i="51"/>
  <c r="R75" i="51"/>
  <c r="J140" i="51"/>
  <c r="J160" i="51"/>
  <c r="R55" i="51"/>
  <c r="R27" i="51"/>
  <c r="R89" i="51"/>
  <c r="J55" i="51"/>
  <c r="J132" i="51"/>
  <c r="R37" i="51"/>
  <c r="J29" i="51"/>
  <c r="R33" i="51"/>
  <c r="J36" i="51"/>
  <c r="J109" i="51"/>
  <c r="J63" i="51"/>
  <c r="R170" i="51"/>
  <c r="R174" i="51"/>
  <c r="J119" i="51"/>
  <c r="R187" i="51"/>
  <c r="J131" i="51"/>
  <c r="J154" i="51"/>
  <c r="R49" i="51"/>
  <c r="J184" i="51"/>
  <c r="R119" i="51"/>
  <c r="R172" i="51"/>
  <c r="J74" i="51"/>
  <c r="R19" i="51"/>
  <c r="J19" i="51"/>
  <c r="R136" i="51"/>
  <c r="J73" i="51"/>
  <c r="J128" i="51"/>
  <c r="R20" i="51"/>
  <c r="J193" i="51"/>
  <c r="J96" i="51"/>
  <c r="J27" i="51"/>
  <c r="R193" i="51"/>
  <c r="J147" i="51"/>
  <c r="R98" i="51"/>
  <c r="J92" i="51"/>
  <c r="J141" i="51"/>
  <c r="R142" i="51"/>
  <c r="R109" i="51"/>
  <c r="R180" i="51"/>
  <c r="J167" i="51"/>
  <c r="J38" i="51"/>
  <c r="J62" i="51"/>
  <c r="J191" i="51"/>
  <c r="J41" i="51"/>
  <c r="R31" i="51"/>
  <c r="R192" i="51"/>
  <c r="J94" i="51"/>
  <c r="J180" i="51"/>
  <c r="R91" i="51"/>
  <c r="J91" i="51"/>
  <c r="R62" i="51"/>
  <c r="R69" i="51"/>
  <c r="J72" i="51"/>
  <c r="J67" i="51"/>
  <c r="R93" i="51"/>
  <c r="J104" i="51"/>
  <c r="J185" i="51"/>
  <c r="J48" i="51"/>
  <c r="J121" i="51"/>
  <c r="R133" i="51"/>
  <c r="J95" i="51"/>
  <c r="J40" i="51"/>
  <c r="J65" i="51"/>
  <c r="R51" i="51"/>
  <c r="R127" i="51"/>
  <c r="R103" i="51"/>
  <c r="R162" i="51"/>
  <c r="J127" i="51"/>
  <c r="J159" i="51"/>
  <c r="J57" i="51"/>
  <c r="J99" i="51"/>
  <c r="J26" i="51"/>
  <c r="R105" i="51"/>
  <c r="J47" i="51"/>
  <c r="J108" i="51"/>
  <c r="J182" i="51"/>
  <c r="J136" i="51"/>
  <c r="R131" i="51"/>
  <c r="J53" i="51"/>
  <c r="R149" i="51"/>
  <c r="J79" i="51"/>
  <c r="J50" i="51"/>
  <c r="R45" i="51"/>
  <c r="R121" i="51"/>
  <c r="R145" i="51"/>
  <c r="J166" i="51"/>
  <c r="J76" i="51"/>
  <c r="J85" i="51"/>
  <c r="R139" i="51"/>
  <c r="R111" i="51"/>
  <c r="J190" i="51"/>
  <c r="J100" i="51"/>
  <c r="R125" i="51"/>
  <c r="J89" i="51"/>
  <c r="J110" i="51"/>
  <c r="R182" i="51"/>
  <c r="J145" i="51"/>
  <c r="R135" i="51"/>
  <c r="J83" i="51"/>
  <c r="R77" i="51"/>
  <c r="J43" i="51"/>
  <c r="J174" i="51"/>
  <c r="R85" i="51"/>
  <c r="J58" i="51"/>
  <c r="R101" i="51"/>
  <c r="R152" i="51"/>
  <c r="J84" i="51"/>
  <c r="J158" i="51"/>
  <c r="R23" i="51"/>
  <c r="J138" i="51"/>
  <c r="J148" i="51"/>
  <c r="J143" i="51"/>
  <c r="R87" i="51"/>
  <c r="R164" i="51"/>
  <c r="R29" i="51"/>
  <c r="J54" i="51"/>
  <c r="J164" i="51"/>
  <c r="R137" i="51"/>
  <c r="R57" i="51"/>
  <c r="R63" i="51"/>
  <c r="J101" i="51"/>
  <c r="R141" i="51"/>
  <c r="J116" i="51"/>
  <c r="J144" i="51"/>
  <c r="R40" i="51"/>
  <c r="R176" i="51"/>
  <c r="J169" i="51"/>
  <c r="J113" i="51"/>
  <c r="R186" i="51"/>
  <c r="J115" i="51"/>
  <c r="J125" i="51"/>
  <c r="R81" i="51"/>
  <c r="R158" i="51"/>
  <c r="R95" i="51"/>
  <c r="R70" i="51"/>
  <c r="J68" i="51"/>
  <c r="J196" i="51"/>
  <c r="R88" i="51"/>
  <c r="J25" i="51"/>
  <c r="J122" i="51"/>
  <c r="J56" i="51"/>
  <c r="R122" i="51"/>
  <c r="R196" i="51"/>
  <c r="R59" i="51"/>
  <c r="J80" i="51"/>
  <c r="J163" i="51"/>
  <c r="R94" i="51"/>
  <c r="J103" i="51"/>
  <c r="J189" i="51"/>
  <c r="R65" i="51"/>
  <c r="R140" i="51"/>
  <c r="J70" i="51"/>
  <c r="J107" i="51"/>
  <c r="R72" i="51"/>
  <c r="R148" i="51"/>
  <c r="J150" i="51"/>
  <c r="R100" i="51"/>
  <c r="R39" i="51"/>
  <c r="J114" i="51"/>
  <c r="R46" i="51"/>
  <c r="R116" i="51"/>
  <c r="R190" i="51"/>
  <c r="J151" i="51"/>
  <c r="R74" i="51"/>
  <c r="R84" i="51"/>
  <c r="R161" i="51"/>
  <c r="R113" i="51"/>
  <c r="J88" i="51"/>
  <c r="R90" i="51"/>
  <c r="R30" i="51"/>
  <c r="J142" i="51"/>
  <c r="R144" i="51"/>
  <c r="R128" i="51"/>
  <c r="J112" i="51"/>
  <c r="J82" i="51"/>
  <c r="J170" i="51"/>
  <c r="J179" i="51"/>
  <c r="J172" i="51"/>
  <c r="R155" i="51"/>
  <c r="J118" i="51"/>
  <c r="J61" i="51"/>
  <c r="J134" i="51"/>
  <c r="R26" i="51"/>
  <c r="R195" i="51"/>
  <c r="R169" i="51"/>
  <c r="J183" i="51"/>
  <c r="R179" i="51"/>
  <c r="J33" i="51"/>
  <c r="R71" i="51"/>
  <c r="J186" i="51"/>
  <c r="R134" i="51"/>
  <c r="R42" i="51"/>
  <c r="R189" i="51"/>
  <c r="J18" i="51"/>
  <c r="R28" i="51"/>
  <c r="R146" i="51"/>
  <c r="R47" i="51"/>
  <c r="R120" i="51"/>
  <c r="J86" i="51"/>
  <c r="R171" i="51"/>
  <c r="R110" i="51"/>
  <c r="J137" i="51"/>
  <c r="J51" i="51"/>
  <c r="J124" i="51"/>
  <c r="J71" i="51"/>
  <c r="R126" i="51"/>
  <c r="J129" i="51"/>
  <c r="J162" i="51"/>
  <c r="R96" i="51"/>
  <c r="J31" i="51"/>
  <c r="J69" i="51"/>
  <c r="R107" i="51"/>
  <c r="R181" i="51"/>
  <c r="R165" i="51"/>
  <c r="R21" i="51"/>
  <c r="R79" i="51"/>
  <c r="R78" i="51"/>
  <c r="J45" i="51"/>
  <c r="J156" i="51"/>
  <c r="J75" i="51"/>
  <c r="R83" i="51"/>
  <c r="R157" i="51"/>
  <c r="R56" i="51"/>
  <c r="J135" i="51"/>
  <c r="J39" i="51"/>
  <c r="J59" i="51"/>
  <c r="J87" i="51"/>
  <c r="J161" i="51"/>
  <c r="R173" i="51"/>
  <c r="J192" i="51"/>
  <c r="R163" i="51"/>
  <c r="R25" i="51"/>
  <c r="R68" i="51"/>
  <c r="J97" i="51"/>
  <c r="J139" i="51"/>
  <c r="J105" i="51"/>
  <c r="R73" i="51"/>
  <c r="R143" i="51"/>
  <c r="J37" i="51"/>
  <c r="J22" i="51"/>
  <c r="R166" i="51"/>
  <c r="J64" i="51"/>
  <c r="R188" i="51"/>
  <c r="R114" i="51"/>
  <c r="R191" i="51"/>
  <c r="J81" i="51"/>
  <c r="J155" i="51"/>
  <c r="R18" i="51"/>
  <c r="R38" i="51"/>
  <c r="R118" i="51"/>
  <c r="J123" i="51"/>
  <c r="K15" i="70"/>
  <c r="K73" i="70" s="1"/>
  <c r="I73" i="70"/>
  <c r="G73" i="60"/>
  <c r="F23" i="19" s="1"/>
  <c r="H15" i="60"/>
  <c r="H73" i="60" s="1"/>
  <c r="K73" i="63"/>
  <c r="H26" i="19" s="1"/>
  <c r="L15" i="63"/>
  <c r="L73" i="63" s="1"/>
  <c r="I73" i="65"/>
  <c r="K15" i="65"/>
  <c r="K73" i="65" s="1"/>
  <c r="K73" i="64"/>
  <c r="H27" i="19" s="1"/>
  <c r="L15" i="64"/>
  <c r="L73" i="64" s="1"/>
  <c r="H15" i="58"/>
  <c r="H73" i="58" s="1"/>
  <c r="G73" i="58"/>
  <c r="F21" i="19" s="1"/>
  <c r="H15" i="62"/>
  <c r="H73" i="62" s="1"/>
  <c r="G73" i="62"/>
  <c r="F25" i="19" s="1"/>
  <c r="K73" i="59"/>
  <c r="H22" i="19" s="1"/>
  <c r="L17" i="59"/>
  <c r="L73" i="59" s="1"/>
  <c r="S15" i="71"/>
  <c r="S73" i="71" s="1"/>
  <c r="Q73" i="71"/>
  <c r="K15" i="68"/>
  <c r="K73" i="68" s="1"/>
  <c r="I73" i="68"/>
  <c r="S15" i="70"/>
  <c r="S73" i="70" s="1"/>
  <c r="Q73" i="70"/>
  <c r="L15" i="58"/>
  <c r="L73" i="58" s="1"/>
  <c r="K73" i="58"/>
  <c r="H21" i="19" s="1"/>
  <c r="G73" i="63"/>
  <c r="F26" i="19" s="1"/>
  <c r="H15" i="63"/>
  <c r="H73" i="63" s="1"/>
  <c r="I73" i="67"/>
  <c r="K15" i="67"/>
  <c r="K73" i="67" s="1"/>
  <c r="K15" i="66"/>
  <c r="K73" i="66" s="1"/>
  <c r="I73" i="66"/>
  <c r="Q73" i="69"/>
  <c r="S17" i="69"/>
  <c r="S73" i="69" s="1"/>
  <c r="S15" i="66"/>
  <c r="S73" i="66" s="1"/>
  <c r="Q73" i="66"/>
  <c r="L15" i="61"/>
  <c r="L73" i="61" s="1"/>
  <c r="K73" i="61"/>
  <c r="H24" i="19" s="1"/>
  <c r="S15" i="72"/>
  <c r="S73" i="72" s="1"/>
  <c r="Q73" i="72"/>
  <c r="K15" i="73"/>
  <c r="K73" i="73" s="1"/>
  <c r="I73" i="73"/>
  <c r="K73" i="60"/>
  <c r="H23" i="19" s="1"/>
  <c r="L15" i="60"/>
  <c r="L73" i="60" s="1"/>
  <c r="S15" i="68"/>
  <c r="S73" i="68" s="1"/>
  <c r="Q73" i="68"/>
  <c r="K73" i="56"/>
  <c r="H19" i="19" s="1"/>
  <c r="L16" i="56"/>
  <c r="L73" i="56" s="1"/>
  <c r="L15" i="57"/>
  <c r="L73" i="57" s="1"/>
  <c r="K73" i="57"/>
  <c r="H20" i="19" s="1"/>
  <c r="H15" i="59"/>
  <c r="H73" i="59" s="1"/>
  <c r="G73" i="59"/>
  <c r="F22" i="19" s="1"/>
  <c r="L15" i="62"/>
  <c r="L73" i="62" s="1"/>
  <c r="K73" i="62"/>
  <c r="H25" i="19" s="1"/>
  <c r="S15" i="65"/>
  <c r="S73" i="65" s="1"/>
  <c r="Q73" i="65"/>
  <c r="Q73" i="67"/>
  <c r="S15" i="67"/>
  <c r="S73" i="67" s="1"/>
  <c r="K15" i="72"/>
  <c r="K73" i="72" s="1"/>
  <c r="I73" i="72"/>
  <c r="K15" i="69"/>
  <c r="K73" i="69" s="1"/>
  <c r="I73" i="69"/>
  <c r="H15" i="56"/>
  <c r="H73" i="56" s="1"/>
  <c r="G73" i="56"/>
  <c r="F19" i="19" s="1"/>
  <c r="G73" i="64"/>
  <c r="F27" i="19" s="1"/>
  <c r="H23" i="64"/>
  <c r="H73" i="64" s="1"/>
  <c r="K15" i="71"/>
  <c r="K73" i="71" s="1"/>
  <c r="I73" i="71"/>
  <c r="H15" i="57"/>
  <c r="H73" i="57" s="1"/>
  <c r="G73" i="57"/>
  <c r="F20" i="19" s="1"/>
  <c r="H15" i="61"/>
  <c r="H73" i="61" s="1"/>
  <c r="G73" i="61"/>
  <c r="F24" i="19" s="1"/>
  <c r="S15" i="73"/>
  <c r="S73" i="73" s="1"/>
  <c r="Q73" i="73"/>
  <c r="K27" i="35"/>
  <c r="L27" i="35" s="1"/>
  <c r="T26" i="47"/>
  <c r="K60" i="35"/>
  <c r="L60" i="35" s="1"/>
  <c r="T59" i="47"/>
  <c r="K25" i="35"/>
  <c r="L25" i="35" s="1"/>
  <c r="T24" i="47"/>
  <c r="K46" i="35"/>
  <c r="L46" i="35" s="1"/>
  <c r="T45" i="47"/>
  <c r="K64" i="35"/>
  <c r="L64" i="35" s="1"/>
  <c r="T63" i="47"/>
  <c r="K55" i="35"/>
  <c r="L55" i="35" s="1"/>
  <c r="T54" i="47"/>
  <c r="K33" i="35"/>
  <c r="L33" i="35" s="1"/>
  <c r="T32" i="47"/>
  <c r="K34" i="35"/>
  <c r="L34" i="35" s="1"/>
  <c r="T33" i="47"/>
  <c r="K20" i="35"/>
  <c r="L20" i="35" s="1"/>
  <c r="T19" i="47"/>
  <c r="K68" i="35"/>
  <c r="L68" i="35" s="1"/>
  <c r="T67" i="47"/>
  <c r="K37" i="35"/>
  <c r="L37" i="35" s="1"/>
  <c r="T36" i="47"/>
  <c r="K39" i="35"/>
  <c r="L39" i="35" s="1"/>
  <c r="T38" i="47"/>
  <c r="K35" i="35"/>
  <c r="L35" i="35" s="1"/>
  <c r="T34" i="47"/>
  <c r="K19" i="35"/>
  <c r="L19" i="35" s="1"/>
  <c r="T18" i="47"/>
  <c r="K26" i="35"/>
  <c r="L26" i="35" s="1"/>
  <c r="T25" i="47"/>
  <c r="K59" i="35"/>
  <c r="L59" i="35" s="1"/>
  <c r="T58" i="47"/>
  <c r="K66" i="35"/>
  <c r="L66" i="35" s="1"/>
  <c r="T65" i="47"/>
  <c r="K44" i="35"/>
  <c r="L44" i="35" s="1"/>
  <c r="T43" i="47"/>
  <c r="K73" i="46"/>
  <c r="I73" i="46"/>
  <c r="K40" i="35"/>
  <c r="L40" i="35" s="1"/>
  <c r="T39" i="47"/>
  <c r="K61" i="35"/>
  <c r="L61" i="35" s="1"/>
  <c r="T60" i="47"/>
  <c r="K69" i="35"/>
  <c r="L69" i="35" s="1"/>
  <c r="T68" i="47"/>
  <c r="K43" i="35"/>
  <c r="L43" i="35" s="1"/>
  <c r="T42" i="47"/>
  <c r="K58" i="35"/>
  <c r="L58" i="35" s="1"/>
  <c r="T57" i="47"/>
  <c r="K71" i="35"/>
  <c r="L71" i="35" s="1"/>
  <c r="T70" i="47"/>
  <c r="K21" i="35"/>
  <c r="L21" i="35" s="1"/>
  <c r="K32" i="35"/>
  <c r="L32" i="35" s="1"/>
  <c r="T31" i="47"/>
  <c r="K56" i="35"/>
  <c r="L56" i="35" s="1"/>
  <c r="T55" i="47"/>
  <c r="K49" i="35"/>
  <c r="L49" i="35" s="1"/>
  <c r="T48" i="47"/>
  <c r="K31" i="35"/>
  <c r="L31" i="35" s="1"/>
  <c r="T30" i="47"/>
  <c r="K29" i="35"/>
  <c r="L29" i="35" s="1"/>
  <c r="T28" i="47"/>
  <c r="K45" i="35"/>
  <c r="L45" i="35" s="1"/>
  <c r="T44" i="47"/>
  <c r="K52" i="35"/>
  <c r="L52" i="35" s="1"/>
  <c r="T51" i="47"/>
  <c r="K54" i="35"/>
  <c r="L54" i="35" s="1"/>
  <c r="T53" i="47"/>
  <c r="K36" i="35"/>
  <c r="L36" i="35" s="1"/>
  <c r="T35" i="47"/>
  <c r="K22" i="35"/>
  <c r="L22" i="35" s="1"/>
  <c r="T21" i="47"/>
  <c r="K63" i="35"/>
  <c r="L63" i="35" s="1"/>
  <c r="T62" i="47"/>
  <c r="K18" i="35"/>
  <c r="L18" i="35" s="1"/>
  <c r="T17" i="47"/>
  <c r="K47" i="35"/>
  <c r="L47" i="35" s="1"/>
  <c r="T46" i="47"/>
  <c r="K62" i="35"/>
  <c r="L62" i="35" s="1"/>
  <c r="T61" i="47"/>
  <c r="K23" i="35"/>
  <c r="L23" i="35" s="1"/>
  <c r="T22" i="47"/>
  <c r="K24" i="35"/>
  <c r="L24" i="35" s="1"/>
  <c r="T23" i="47"/>
  <c r="K28" i="35"/>
  <c r="L28" i="35" s="1"/>
  <c r="T27" i="47"/>
  <c r="K51" i="35"/>
  <c r="L51" i="35" s="1"/>
  <c r="T50" i="47"/>
  <c r="S73" i="46"/>
  <c r="K73" i="35"/>
  <c r="L73" i="35" s="1"/>
  <c r="T72" i="47"/>
  <c r="K50" i="35"/>
  <c r="L50" i="35" s="1"/>
  <c r="T49" i="47"/>
  <c r="K70" i="35"/>
  <c r="L70" i="35" s="1"/>
  <c r="T69" i="47"/>
  <c r="K30" i="35"/>
  <c r="L30" i="35" s="1"/>
  <c r="T29" i="47"/>
  <c r="K41" i="35"/>
  <c r="L41" i="35" s="1"/>
  <c r="T40" i="47"/>
  <c r="K57" i="35"/>
  <c r="L57" i="35" s="1"/>
  <c r="T56" i="47"/>
  <c r="K42" i="35"/>
  <c r="L42" i="35" s="1"/>
  <c r="T41" i="47"/>
  <c r="I73" i="48"/>
  <c r="K73" i="48"/>
  <c r="K48" i="35"/>
  <c r="L48" i="35" s="1"/>
  <c r="T47" i="47"/>
  <c r="K16" i="35"/>
  <c r="L16" i="35" s="1"/>
  <c r="K38" i="35"/>
  <c r="L38" i="35" s="1"/>
  <c r="T37" i="47"/>
  <c r="K17" i="35"/>
  <c r="L17" i="35" s="1"/>
  <c r="T16" i="47"/>
  <c r="K72" i="35"/>
  <c r="L72" i="35" s="1"/>
  <c r="T71" i="47"/>
  <c r="K67" i="35"/>
  <c r="L67" i="35" s="1"/>
  <c r="T66" i="47"/>
  <c r="K53" i="35"/>
  <c r="L53" i="35" s="1"/>
  <c r="T52" i="47"/>
  <c r="K65" i="35"/>
  <c r="L65" i="35" s="1"/>
  <c r="T64" i="47"/>
  <c r="Q73" i="48"/>
  <c r="S73" i="48"/>
  <c r="H74" i="34"/>
  <c r="G94" i="40"/>
  <c r="V94" i="40" s="1"/>
  <c r="G104" i="40"/>
  <c r="V92" i="40"/>
  <c r="L16" i="34"/>
  <c r="L74" i="34" s="1"/>
  <c r="K74" i="34"/>
  <c r="H15" i="33" s="1"/>
  <c r="I73" i="47"/>
  <c r="L16" i="37"/>
  <c r="L74" i="37" s="1"/>
  <c r="K74" i="37"/>
  <c r="H18" i="33" s="1"/>
  <c r="Q73" i="49"/>
  <c r="G74" i="36"/>
  <c r="F17" i="33" s="1"/>
  <c r="H16" i="36"/>
  <c r="H74" i="36" s="1"/>
  <c r="Q73" i="47"/>
  <c r="G74" i="34"/>
  <c r="F15" i="33" s="1"/>
  <c r="H16" i="37"/>
  <c r="H74" i="37" s="1"/>
  <c r="G74" i="37"/>
  <c r="F18" i="33" s="1"/>
  <c r="H16" i="35"/>
  <c r="H74" i="35" s="1"/>
  <c r="G74" i="35"/>
  <c r="F16" i="33" s="1"/>
  <c r="K74" i="36"/>
  <c r="H17" i="33" s="1"/>
  <c r="L16" i="36"/>
  <c r="L74" i="36" s="1"/>
  <c r="Q73" i="46"/>
  <c r="I73" i="49"/>
  <c r="K20" i="16"/>
  <c r="L20" i="16" s="1"/>
  <c r="K28" i="16"/>
  <c r="L28" i="16" s="1"/>
  <c r="K36" i="16"/>
  <c r="L36" i="16" s="1"/>
  <c r="K44" i="16"/>
  <c r="L44" i="16" s="1"/>
  <c r="K52" i="16"/>
  <c r="L52" i="16" s="1"/>
  <c r="K60" i="16"/>
  <c r="L60" i="16" s="1"/>
  <c r="K68" i="16"/>
  <c r="L68" i="16" s="1"/>
  <c r="G34" i="16"/>
  <c r="H34" i="16" s="1"/>
  <c r="G50" i="16"/>
  <c r="H50" i="16" s="1"/>
  <c r="G58" i="16"/>
  <c r="H58" i="16" s="1"/>
  <c r="G66" i="16"/>
  <c r="H66" i="16" s="1"/>
  <c r="K52" i="23"/>
  <c r="L52" i="23" s="1"/>
  <c r="G42" i="23"/>
  <c r="H42" i="23" s="1"/>
  <c r="K20" i="18"/>
  <c r="L20" i="18" s="1"/>
  <c r="K52" i="18"/>
  <c r="L52" i="18" s="1"/>
  <c r="G18" i="18"/>
  <c r="H18" i="18" s="1"/>
  <c r="G50" i="18"/>
  <c r="H50" i="18" s="1"/>
  <c r="G28" i="17"/>
  <c r="H28" i="17" s="1"/>
  <c r="G68" i="17"/>
  <c r="H68" i="17" s="1"/>
  <c r="G67" i="18"/>
  <c r="H67" i="18" s="1"/>
  <c r="K21" i="16"/>
  <c r="L21" i="16" s="1"/>
  <c r="K29" i="16"/>
  <c r="L29" i="16" s="1"/>
  <c r="K37" i="16"/>
  <c r="L37" i="16" s="1"/>
  <c r="K45" i="16"/>
  <c r="L45" i="16" s="1"/>
  <c r="K53" i="16"/>
  <c r="L53" i="16" s="1"/>
  <c r="K61" i="16"/>
  <c r="L61" i="16" s="1"/>
  <c r="K69" i="16"/>
  <c r="L69" i="16" s="1"/>
  <c r="G19" i="16"/>
  <c r="H19" i="16" s="1"/>
  <c r="G27" i="16"/>
  <c r="H27" i="16" s="1"/>
  <c r="G35" i="16"/>
  <c r="H35" i="16" s="1"/>
  <c r="G43" i="16"/>
  <c r="H43" i="16" s="1"/>
  <c r="G51" i="16"/>
  <c r="H51" i="16" s="1"/>
  <c r="G59" i="16"/>
  <c r="H59" i="16" s="1"/>
  <c r="G67" i="16"/>
  <c r="H67" i="16" s="1"/>
  <c r="K21" i="23"/>
  <c r="L21" i="23" s="1"/>
  <c r="K29" i="23"/>
  <c r="L29" i="23" s="1"/>
  <c r="K37" i="23"/>
  <c r="L37" i="23" s="1"/>
  <c r="K45" i="23"/>
  <c r="L45" i="23" s="1"/>
  <c r="K53" i="23"/>
  <c r="L53" i="23" s="1"/>
  <c r="K61" i="23"/>
  <c r="L61" i="23" s="1"/>
  <c r="K69" i="23"/>
  <c r="L69" i="23" s="1"/>
  <c r="G19" i="23"/>
  <c r="H19" i="23" s="1"/>
  <c r="G27" i="23"/>
  <c r="H27" i="23" s="1"/>
  <c r="G35" i="23"/>
  <c r="H35" i="23" s="1"/>
  <c r="G43" i="23"/>
  <c r="H43" i="23" s="1"/>
  <c r="G51" i="23"/>
  <c r="H51" i="23" s="1"/>
  <c r="G59" i="23"/>
  <c r="H59" i="23" s="1"/>
  <c r="G67" i="23"/>
  <c r="H67" i="23" s="1"/>
  <c r="K21" i="18"/>
  <c r="L21" i="18" s="1"/>
  <c r="K29" i="18"/>
  <c r="L29" i="18" s="1"/>
  <c r="K37" i="18"/>
  <c r="L37" i="18" s="1"/>
  <c r="K45" i="18"/>
  <c r="L45" i="18" s="1"/>
  <c r="K53" i="18"/>
  <c r="L53" i="18" s="1"/>
  <c r="K61" i="18"/>
  <c r="L61" i="18" s="1"/>
  <c r="K69" i="18"/>
  <c r="L69" i="18" s="1"/>
  <c r="G19" i="18"/>
  <c r="H19" i="18" s="1"/>
  <c r="G27" i="18"/>
  <c r="H27" i="18" s="1"/>
  <c r="G35" i="18"/>
  <c r="H35" i="18" s="1"/>
  <c r="G59" i="18"/>
  <c r="H59" i="18" s="1"/>
  <c r="K22" i="16"/>
  <c r="L22" i="16" s="1"/>
  <c r="K30" i="16"/>
  <c r="L30" i="16" s="1"/>
  <c r="K38" i="16"/>
  <c r="L38" i="16" s="1"/>
  <c r="K46" i="16"/>
  <c r="L46" i="16" s="1"/>
  <c r="K54" i="16"/>
  <c r="L54" i="16" s="1"/>
  <c r="K62" i="16"/>
  <c r="L62" i="16" s="1"/>
  <c r="K70" i="16"/>
  <c r="L70" i="16" s="1"/>
  <c r="G20" i="16"/>
  <c r="H20" i="16" s="1"/>
  <c r="G28" i="16"/>
  <c r="H28" i="16" s="1"/>
  <c r="G36" i="16"/>
  <c r="H36" i="16" s="1"/>
  <c r="G44" i="16"/>
  <c r="H44" i="16" s="1"/>
  <c r="G52" i="16"/>
  <c r="H52" i="16" s="1"/>
  <c r="G60" i="16"/>
  <c r="H60" i="16" s="1"/>
  <c r="G68" i="16"/>
  <c r="H68" i="16" s="1"/>
  <c r="K22" i="23"/>
  <c r="L22" i="23" s="1"/>
  <c r="K30" i="23"/>
  <c r="L30" i="23" s="1"/>
  <c r="K38" i="23"/>
  <c r="L38" i="23" s="1"/>
  <c r="K46" i="23"/>
  <c r="L46" i="23" s="1"/>
  <c r="K54" i="23"/>
  <c r="L54" i="23" s="1"/>
  <c r="K62" i="23"/>
  <c r="L62" i="23" s="1"/>
  <c r="K70" i="23"/>
  <c r="L70" i="23" s="1"/>
  <c r="G20" i="23"/>
  <c r="H20" i="23" s="1"/>
  <c r="G28" i="23"/>
  <c r="H28" i="23" s="1"/>
  <c r="G36" i="23"/>
  <c r="H36" i="23" s="1"/>
  <c r="G44" i="23"/>
  <c r="H44" i="23" s="1"/>
  <c r="G52" i="23"/>
  <c r="H52" i="23" s="1"/>
  <c r="G60" i="23"/>
  <c r="H60" i="23" s="1"/>
  <c r="G68" i="23"/>
  <c r="H68" i="23" s="1"/>
  <c r="K22" i="18"/>
  <c r="L22" i="18" s="1"/>
  <c r="K30" i="18"/>
  <c r="L30" i="18" s="1"/>
  <c r="K38" i="18"/>
  <c r="L38" i="18" s="1"/>
  <c r="K46" i="18"/>
  <c r="L46" i="18" s="1"/>
  <c r="K54" i="18"/>
  <c r="L54" i="18" s="1"/>
  <c r="K62" i="18"/>
  <c r="L62" i="18" s="1"/>
  <c r="K70" i="18"/>
  <c r="L70" i="18" s="1"/>
  <c r="G20" i="18"/>
  <c r="H20" i="18" s="1"/>
  <c r="G28" i="18"/>
  <c r="H28" i="18" s="1"/>
  <c r="G36" i="18"/>
  <c r="H36" i="18" s="1"/>
  <c r="G44" i="18"/>
  <c r="H44" i="18" s="1"/>
  <c r="G52" i="18"/>
  <c r="H52" i="18" s="1"/>
  <c r="G60" i="18"/>
  <c r="H60" i="18" s="1"/>
  <c r="G68" i="18"/>
  <c r="H68" i="18" s="1"/>
  <c r="K16" i="17"/>
  <c r="K24" i="17"/>
  <c r="L24" i="17" s="1"/>
  <c r="K32" i="17"/>
  <c r="L32" i="17" s="1"/>
  <c r="K40" i="17"/>
  <c r="L40" i="17" s="1"/>
  <c r="K48" i="17"/>
  <c r="L48" i="17" s="1"/>
  <c r="K56" i="17"/>
  <c r="L56" i="17" s="1"/>
  <c r="K64" i="17"/>
  <c r="L64" i="17" s="1"/>
  <c r="K72" i="17"/>
  <c r="L72" i="17" s="1"/>
  <c r="G22" i="17"/>
  <c r="H22" i="17" s="1"/>
  <c r="G30" i="17"/>
  <c r="H30" i="17" s="1"/>
  <c r="G38" i="17"/>
  <c r="H38" i="17" s="1"/>
  <c r="G46" i="17"/>
  <c r="H46" i="17" s="1"/>
  <c r="G54" i="17"/>
  <c r="H54" i="17" s="1"/>
  <c r="G62" i="17"/>
  <c r="H62" i="17" s="1"/>
  <c r="G70" i="17"/>
  <c r="H70" i="17" s="1"/>
  <c r="K71" i="23"/>
  <c r="L71" i="23" s="1"/>
  <c r="G61" i="23"/>
  <c r="H61" i="23" s="1"/>
  <c r="K31" i="18"/>
  <c r="L31" i="18" s="1"/>
  <c r="K47" i="18"/>
  <c r="L47" i="18" s="1"/>
  <c r="K63" i="18"/>
  <c r="L63" i="18" s="1"/>
  <c r="K71" i="18"/>
  <c r="L71" i="18" s="1"/>
  <c r="G29" i="18"/>
  <c r="H29" i="18" s="1"/>
  <c r="G37" i="18"/>
  <c r="H37" i="18" s="1"/>
  <c r="G53" i="18"/>
  <c r="H53" i="18" s="1"/>
  <c r="G61" i="18"/>
  <c r="H61" i="18" s="1"/>
  <c r="K17" i="17"/>
  <c r="L17" i="17" s="1"/>
  <c r="K23" i="16"/>
  <c r="L23" i="16" s="1"/>
  <c r="K31" i="16"/>
  <c r="L31" i="16" s="1"/>
  <c r="K39" i="16"/>
  <c r="L39" i="16" s="1"/>
  <c r="K47" i="16"/>
  <c r="L47" i="16" s="1"/>
  <c r="K55" i="16"/>
  <c r="L55" i="16" s="1"/>
  <c r="K63" i="16"/>
  <c r="L63" i="16" s="1"/>
  <c r="K71" i="16"/>
  <c r="L71" i="16" s="1"/>
  <c r="G21" i="16"/>
  <c r="H21" i="16" s="1"/>
  <c r="G29" i="16"/>
  <c r="H29" i="16" s="1"/>
  <c r="G37" i="16"/>
  <c r="H37" i="16" s="1"/>
  <c r="G45" i="16"/>
  <c r="H45" i="16" s="1"/>
  <c r="G53" i="16"/>
  <c r="H53" i="16" s="1"/>
  <c r="G61" i="16"/>
  <c r="H61" i="16" s="1"/>
  <c r="G69" i="16"/>
  <c r="H69" i="16" s="1"/>
  <c r="K23" i="23"/>
  <c r="L23" i="23" s="1"/>
  <c r="K31" i="23"/>
  <c r="L31" i="23" s="1"/>
  <c r="K39" i="23"/>
  <c r="L39" i="23" s="1"/>
  <c r="K47" i="23"/>
  <c r="L47" i="23" s="1"/>
  <c r="K55" i="23"/>
  <c r="L55" i="23" s="1"/>
  <c r="K63" i="23"/>
  <c r="L63" i="23" s="1"/>
  <c r="G21" i="23"/>
  <c r="H21" i="23" s="1"/>
  <c r="G29" i="23"/>
  <c r="H29" i="23" s="1"/>
  <c r="G37" i="23"/>
  <c r="H37" i="23" s="1"/>
  <c r="G45" i="23"/>
  <c r="H45" i="23" s="1"/>
  <c r="G53" i="23"/>
  <c r="H53" i="23" s="1"/>
  <c r="G69" i="23"/>
  <c r="H69" i="23" s="1"/>
  <c r="K23" i="18"/>
  <c r="L23" i="18" s="1"/>
  <c r="K39" i="18"/>
  <c r="L39" i="18" s="1"/>
  <c r="K55" i="18"/>
  <c r="L55" i="18" s="1"/>
  <c r="G21" i="18"/>
  <c r="H21" i="18" s="1"/>
  <c r="G45" i="18"/>
  <c r="H45" i="18" s="1"/>
  <c r="G69" i="18"/>
  <c r="H69" i="18" s="1"/>
  <c r="K16" i="16"/>
  <c r="L16" i="16" s="1"/>
  <c r="K24" i="16"/>
  <c r="L24" i="16" s="1"/>
  <c r="K32" i="16"/>
  <c r="L32" i="16" s="1"/>
  <c r="K40" i="16"/>
  <c r="L40" i="16" s="1"/>
  <c r="K48" i="16"/>
  <c r="L48" i="16" s="1"/>
  <c r="K56" i="16"/>
  <c r="L56" i="16" s="1"/>
  <c r="K64" i="16"/>
  <c r="L64" i="16" s="1"/>
  <c r="K72" i="16"/>
  <c r="L72" i="16" s="1"/>
  <c r="G22" i="16"/>
  <c r="H22" i="16" s="1"/>
  <c r="G30" i="16"/>
  <c r="H30" i="16" s="1"/>
  <c r="G38" i="16"/>
  <c r="H38" i="16" s="1"/>
  <c r="G46" i="16"/>
  <c r="H46" i="16" s="1"/>
  <c r="G54" i="16"/>
  <c r="H54" i="16" s="1"/>
  <c r="G62" i="16"/>
  <c r="H62" i="16" s="1"/>
  <c r="G70" i="16"/>
  <c r="H70" i="16" s="1"/>
  <c r="K16" i="23"/>
  <c r="L16" i="23" s="1"/>
  <c r="K24" i="23"/>
  <c r="L24" i="23" s="1"/>
  <c r="K32" i="23"/>
  <c r="L32" i="23" s="1"/>
  <c r="K40" i="23"/>
  <c r="L40" i="23" s="1"/>
  <c r="K48" i="23"/>
  <c r="L48" i="23" s="1"/>
  <c r="K56" i="23"/>
  <c r="L56" i="23" s="1"/>
  <c r="K64" i="23"/>
  <c r="L64" i="23" s="1"/>
  <c r="K72" i="23"/>
  <c r="L72" i="23" s="1"/>
  <c r="G22" i="23"/>
  <c r="H22" i="23" s="1"/>
  <c r="G30" i="23"/>
  <c r="H30" i="23" s="1"/>
  <c r="G38" i="23"/>
  <c r="H38" i="23" s="1"/>
  <c r="G46" i="23"/>
  <c r="H46" i="23" s="1"/>
  <c r="G54" i="23"/>
  <c r="H54" i="23" s="1"/>
  <c r="G62" i="23"/>
  <c r="H62" i="23" s="1"/>
  <c r="G70" i="23"/>
  <c r="H70" i="23" s="1"/>
  <c r="K16" i="18"/>
  <c r="L16" i="18" s="1"/>
  <c r="K24" i="18"/>
  <c r="L24" i="18" s="1"/>
  <c r="K32" i="18"/>
  <c r="L32" i="18" s="1"/>
  <c r="K40" i="18"/>
  <c r="L40" i="18" s="1"/>
  <c r="K48" i="18"/>
  <c r="L48" i="18" s="1"/>
  <c r="K56" i="18"/>
  <c r="L56" i="18" s="1"/>
  <c r="K64" i="18"/>
  <c r="L64" i="18" s="1"/>
  <c r="K72" i="18"/>
  <c r="L72" i="18" s="1"/>
  <c r="G22" i="18"/>
  <c r="H22" i="18" s="1"/>
  <c r="G30" i="18"/>
  <c r="H30" i="18" s="1"/>
  <c r="G38" i="18"/>
  <c r="H38" i="18" s="1"/>
  <c r="G46" i="18"/>
  <c r="H46" i="18" s="1"/>
  <c r="G54" i="18"/>
  <c r="H54" i="18" s="1"/>
  <c r="G62" i="18"/>
  <c r="H62" i="18" s="1"/>
  <c r="G70" i="18"/>
  <c r="H70" i="18" s="1"/>
  <c r="K18" i="17"/>
  <c r="L18" i="17" s="1"/>
  <c r="K17" i="16"/>
  <c r="L17" i="16" s="1"/>
  <c r="K18" i="16"/>
  <c r="L18" i="16" s="1"/>
  <c r="K26" i="16"/>
  <c r="L26" i="16" s="1"/>
  <c r="K34" i="16"/>
  <c r="L34" i="16" s="1"/>
  <c r="K42" i="16"/>
  <c r="L42" i="16" s="1"/>
  <c r="K50" i="16"/>
  <c r="L50" i="16" s="1"/>
  <c r="K58" i="16"/>
  <c r="L58" i="16" s="1"/>
  <c r="K66" i="16"/>
  <c r="L66" i="16" s="1"/>
  <c r="G24" i="16"/>
  <c r="H24" i="16" s="1"/>
  <c r="G32" i="16"/>
  <c r="H32" i="16" s="1"/>
  <c r="G40" i="16"/>
  <c r="H40" i="16" s="1"/>
  <c r="G48" i="16"/>
  <c r="H48" i="16" s="1"/>
  <c r="G56" i="16"/>
  <c r="H56" i="16" s="1"/>
  <c r="G64" i="16"/>
  <c r="H64" i="16" s="1"/>
  <c r="G72" i="16"/>
  <c r="H72" i="16" s="1"/>
  <c r="K18" i="23"/>
  <c r="L18" i="23" s="1"/>
  <c r="K26" i="23"/>
  <c r="L26" i="23" s="1"/>
  <c r="K34" i="23"/>
  <c r="L34" i="23" s="1"/>
  <c r="K42" i="23"/>
  <c r="L42" i="23" s="1"/>
  <c r="K50" i="23"/>
  <c r="L50" i="23" s="1"/>
  <c r="K58" i="23"/>
  <c r="L58" i="23" s="1"/>
  <c r="K66" i="23"/>
  <c r="L66" i="23" s="1"/>
  <c r="G16" i="23"/>
  <c r="H16" i="23" s="1"/>
  <c r="G24" i="23"/>
  <c r="H24" i="23" s="1"/>
  <c r="G32" i="23"/>
  <c r="H32" i="23" s="1"/>
  <c r="G40" i="23"/>
  <c r="H40" i="23" s="1"/>
  <c r="G48" i="23"/>
  <c r="H48" i="23" s="1"/>
  <c r="G56" i="23"/>
  <c r="H56" i="23" s="1"/>
  <c r="G64" i="23"/>
  <c r="H64" i="23" s="1"/>
  <c r="G72" i="23"/>
  <c r="H72" i="23" s="1"/>
  <c r="K18" i="18"/>
  <c r="L18" i="18" s="1"/>
  <c r="K26" i="18"/>
  <c r="L26" i="18" s="1"/>
  <c r="K34" i="18"/>
  <c r="L34" i="18" s="1"/>
  <c r="K42" i="18"/>
  <c r="L42" i="18" s="1"/>
  <c r="K50" i="18"/>
  <c r="L50" i="18" s="1"/>
  <c r="K58" i="18"/>
  <c r="L58" i="18" s="1"/>
  <c r="K66" i="18"/>
  <c r="L66" i="18" s="1"/>
  <c r="G16" i="18"/>
  <c r="H16" i="18" s="1"/>
  <c r="G24" i="18"/>
  <c r="H24" i="18" s="1"/>
  <c r="G32" i="18"/>
  <c r="H32" i="18" s="1"/>
  <c r="G40" i="18"/>
  <c r="H40" i="18" s="1"/>
  <c r="G48" i="18"/>
  <c r="H48" i="18" s="1"/>
  <c r="G56" i="18"/>
  <c r="H56" i="18" s="1"/>
  <c r="G64" i="18"/>
  <c r="H64" i="18" s="1"/>
  <c r="G72" i="18"/>
  <c r="H72" i="18" s="1"/>
  <c r="K20" i="17"/>
  <c r="L20" i="17" s="1"/>
  <c r="K28" i="17"/>
  <c r="L28" i="17" s="1"/>
  <c r="K36" i="17"/>
  <c r="L36" i="17" s="1"/>
  <c r="K44" i="17"/>
  <c r="L44" i="17" s="1"/>
  <c r="K52" i="17"/>
  <c r="L52" i="17" s="1"/>
  <c r="K60" i="17"/>
  <c r="L60" i="17" s="1"/>
  <c r="K68" i="17"/>
  <c r="L68" i="17" s="1"/>
  <c r="G18" i="17"/>
  <c r="H18" i="17" s="1"/>
  <c r="G26" i="17"/>
  <c r="H26" i="17" s="1"/>
  <c r="G34" i="17"/>
  <c r="H34" i="17" s="1"/>
  <c r="G42" i="17"/>
  <c r="H42" i="17" s="1"/>
  <c r="G50" i="17"/>
  <c r="H50" i="17" s="1"/>
  <c r="G58" i="17"/>
  <c r="H58" i="17" s="1"/>
  <c r="G66" i="17"/>
  <c r="H66" i="17" s="1"/>
  <c r="G26" i="16"/>
  <c r="H26" i="16" s="1"/>
  <c r="K20" i="23"/>
  <c r="L20" i="23" s="1"/>
  <c r="K28" i="23"/>
  <c r="L28" i="23" s="1"/>
  <c r="K36" i="23"/>
  <c r="L36" i="23" s="1"/>
  <c r="K44" i="23"/>
  <c r="L44" i="23" s="1"/>
  <c r="K60" i="23"/>
  <c r="L60" i="23" s="1"/>
  <c r="G18" i="23"/>
  <c r="H18" i="23" s="1"/>
  <c r="G26" i="23"/>
  <c r="H26" i="23" s="1"/>
  <c r="G50" i="23"/>
  <c r="H50" i="23" s="1"/>
  <c r="G66" i="23"/>
  <c r="H66" i="23" s="1"/>
  <c r="K28" i="18"/>
  <c r="L28" i="18" s="1"/>
  <c r="K36" i="18"/>
  <c r="L36" i="18" s="1"/>
  <c r="K44" i="18"/>
  <c r="L44" i="18" s="1"/>
  <c r="K60" i="18"/>
  <c r="L60" i="18" s="1"/>
  <c r="K68" i="18"/>
  <c r="L68" i="18" s="1"/>
  <c r="G34" i="18"/>
  <c r="H34" i="18" s="1"/>
  <c r="G42" i="18"/>
  <c r="H42" i="18" s="1"/>
  <c r="G58" i="18"/>
  <c r="H58" i="18" s="1"/>
  <c r="K22" i="17"/>
  <c r="L22" i="17" s="1"/>
  <c r="K38" i="17"/>
  <c r="L38" i="17" s="1"/>
  <c r="K46" i="17"/>
  <c r="L46" i="17" s="1"/>
  <c r="K62" i="17"/>
  <c r="L62" i="17" s="1"/>
  <c r="G20" i="17"/>
  <c r="H20" i="17" s="1"/>
  <c r="G44" i="17"/>
  <c r="H44" i="17" s="1"/>
  <c r="G60" i="17"/>
  <c r="H60" i="17" s="1"/>
  <c r="G43" i="18"/>
  <c r="H43" i="18" s="1"/>
  <c r="K19" i="16"/>
  <c r="L19" i="16" s="1"/>
  <c r="K27" i="16"/>
  <c r="L27" i="16" s="1"/>
  <c r="K35" i="16"/>
  <c r="L35" i="16" s="1"/>
  <c r="K43" i="16"/>
  <c r="L43" i="16" s="1"/>
  <c r="K51" i="16"/>
  <c r="L51" i="16" s="1"/>
  <c r="K59" i="16"/>
  <c r="L59" i="16" s="1"/>
  <c r="K67" i="16"/>
  <c r="L67" i="16" s="1"/>
  <c r="G25" i="16"/>
  <c r="H25" i="16" s="1"/>
  <c r="G33" i="16"/>
  <c r="H33" i="16" s="1"/>
  <c r="G41" i="16"/>
  <c r="H41" i="16" s="1"/>
  <c r="G49" i="16"/>
  <c r="H49" i="16" s="1"/>
  <c r="G57" i="16"/>
  <c r="H57" i="16" s="1"/>
  <c r="G65" i="16"/>
  <c r="H65" i="16" s="1"/>
  <c r="K19" i="23"/>
  <c r="L19" i="23" s="1"/>
  <c r="K27" i="23"/>
  <c r="L27" i="23" s="1"/>
  <c r="K35" i="23"/>
  <c r="L35" i="23" s="1"/>
  <c r="K43" i="23"/>
  <c r="L43" i="23" s="1"/>
  <c r="K51" i="23"/>
  <c r="L51" i="23" s="1"/>
  <c r="K59" i="23"/>
  <c r="L59" i="23" s="1"/>
  <c r="K67" i="23"/>
  <c r="L67" i="23" s="1"/>
  <c r="G17" i="23"/>
  <c r="H17" i="23" s="1"/>
  <c r="G25" i="23"/>
  <c r="H25" i="23" s="1"/>
  <c r="G33" i="23"/>
  <c r="H33" i="23" s="1"/>
  <c r="G41" i="23"/>
  <c r="H41" i="23" s="1"/>
  <c r="G49" i="23"/>
  <c r="H49" i="23" s="1"/>
  <c r="G57" i="23"/>
  <c r="H57" i="23" s="1"/>
  <c r="G65" i="23"/>
  <c r="H65" i="23" s="1"/>
  <c r="G15" i="23"/>
  <c r="K19" i="18"/>
  <c r="L19" i="18" s="1"/>
  <c r="K27" i="18"/>
  <c r="L27" i="18" s="1"/>
  <c r="K35" i="18"/>
  <c r="L35" i="18" s="1"/>
  <c r="K43" i="18"/>
  <c r="L43" i="18" s="1"/>
  <c r="K51" i="18"/>
  <c r="L51" i="18" s="1"/>
  <c r="K59" i="18"/>
  <c r="L59" i="18" s="1"/>
  <c r="K67" i="18"/>
  <c r="L67" i="18" s="1"/>
  <c r="G17" i="18"/>
  <c r="H17" i="18" s="1"/>
  <c r="G25" i="18"/>
  <c r="H25" i="18" s="1"/>
  <c r="G33" i="18"/>
  <c r="H33" i="18" s="1"/>
  <c r="G41" i="18"/>
  <c r="H41" i="18" s="1"/>
  <c r="G49" i="18"/>
  <c r="H49" i="18" s="1"/>
  <c r="G57" i="18"/>
  <c r="H57" i="18" s="1"/>
  <c r="G65" i="18"/>
  <c r="H65" i="18" s="1"/>
  <c r="G15" i="18"/>
  <c r="K21" i="17"/>
  <c r="L21" i="17" s="1"/>
  <c r="K29" i="17"/>
  <c r="L29" i="17" s="1"/>
  <c r="K37" i="17"/>
  <c r="L37" i="17" s="1"/>
  <c r="K45" i="17"/>
  <c r="L45" i="17" s="1"/>
  <c r="K53" i="17"/>
  <c r="L53" i="17" s="1"/>
  <c r="K61" i="17"/>
  <c r="L61" i="17" s="1"/>
  <c r="K69" i="17"/>
  <c r="L69" i="17" s="1"/>
  <c r="G19" i="17"/>
  <c r="H19" i="17" s="1"/>
  <c r="G27" i="17"/>
  <c r="H27" i="17" s="1"/>
  <c r="G35" i="17"/>
  <c r="H35" i="17" s="1"/>
  <c r="G43" i="17"/>
  <c r="H43" i="17" s="1"/>
  <c r="G51" i="17"/>
  <c r="H51" i="17" s="1"/>
  <c r="G59" i="17"/>
  <c r="H59" i="17" s="1"/>
  <c r="G67" i="17"/>
  <c r="H67" i="17" s="1"/>
  <c r="G42" i="16"/>
  <c r="H42" i="16" s="1"/>
  <c r="K68" i="23"/>
  <c r="L68" i="23" s="1"/>
  <c r="G34" i="23"/>
  <c r="H34" i="23" s="1"/>
  <c r="G58" i="23"/>
  <c r="H58" i="23" s="1"/>
  <c r="G26" i="18"/>
  <c r="H26" i="18" s="1"/>
  <c r="G66" i="18"/>
  <c r="H66" i="18" s="1"/>
  <c r="K30" i="17"/>
  <c r="L30" i="17" s="1"/>
  <c r="K54" i="17"/>
  <c r="L54" i="17" s="1"/>
  <c r="K70" i="17"/>
  <c r="L70" i="17" s="1"/>
  <c r="G36" i="17"/>
  <c r="H36" i="17" s="1"/>
  <c r="G52" i="17"/>
  <c r="H52" i="17" s="1"/>
  <c r="G51" i="18"/>
  <c r="H51" i="18" s="1"/>
  <c r="K23" i="17"/>
  <c r="L23" i="17" s="1"/>
  <c r="K49" i="16"/>
  <c r="L49" i="16" s="1"/>
  <c r="G55" i="16"/>
  <c r="H55" i="16" s="1"/>
  <c r="K57" i="23"/>
  <c r="L57" i="23" s="1"/>
  <c r="G63" i="23"/>
  <c r="H63" i="23" s="1"/>
  <c r="K65" i="18"/>
  <c r="L65" i="18" s="1"/>
  <c r="G71" i="18"/>
  <c r="H71" i="18" s="1"/>
  <c r="K35" i="17"/>
  <c r="L35" i="17" s="1"/>
  <c r="K51" i="17"/>
  <c r="L51" i="17" s="1"/>
  <c r="K67" i="17"/>
  <c r="L67" i="17" s="1"/>
  <c r="G25" i="17"/>
  <c r="H25" i="17" s="1"/>
  <c r="G41" i="17"/>
  <c r="H41" i="17" s="1"/>
  <c r="G57" i="17"/>
  <c r="H57" i="17" s="1"/>
  <c r="G15" i="17"/>
  <c r="K57" i="16"/>
  <c r="L57" i="16" s="1"/>
  <c r="G63" i="16"/>
  <c r="H63" i="16" s="1"/>
  <c r="K65" i="23"/>
  <c r="L65" i="23" s="1"/>
  <c r="G71" i="23"/>
  <c r="H71" i="23" s="1"/>
  <c r="K15" i="18"/>
  <c r="K19" i="17"/>
  <c r="L19" i="17" s="1"/>
  <c r="K39" i="17"/>
  <c r="L39" i="17" s="1"/>
  <c r="K55" i="17"/>
  <c r="L55" i="17" s="1"/>
  <c r="K71" i="17"/>
  <c r="L71" i="17" s="1"/>
  <c r="G29" i="17"/>
  <c r="H29" i="17" s="1"/>
  <c r="G45" i="17"/>
  <c r="H45" i="17" s="1"/>
  <c r="G61" i="17"/>
  <c r="H61" i="17" s="1"/>
  <c r="K65" i="16"/>
  <c r="L65" i="16" s="1"/>
  <c r="G71" i="16"/>
  <c r="H71" i="16" s="1"/>
  <c r="K15" i="23"/>
  <c r="K17" i="18"/>
  <c r="L17" i="18" s="1"/>
  <c r="G23" i="18"/>
  <c r="H23" i="18" s="1"/>
  <c r="K25" i="17"/>
  <c r="L25" i="17" s="1"/>
  <c r="K41" i="17"/>
  <c r="L41" i="17" s="1"/>
  <c r="K57" i="17"/>
  <c r="L57" i="17" s="1"/>
  <c r="K15" i="17"/>
  <c r="L15" i="17" s="1"/>
  <c r="G31" i="17"/>
  <c r="H31" i="17" s="1"/>
  <c r="G47" i="17"/>
  <c r="H47" i="17" s="1"/>
  <c r="G63" i="17"/>
  <c r="H63" i="17" s="1"/>
  <c r="K41" i="23"/>
  <c r="L41" i="23" s="1"/>
  <c r="G55" i="18"/>
  <c r="H55" i="18" s="1"/>
  <c r="K49" i="17"/>
  <c r="L49" i="17" s="1"/>
  <c r="G23" i="17"/>
  <c r="H23" i="17" s="1"/>
  <c r="G55" i="17"/>
  <c r="H55" i="17" s="1"/>
  <c r="G47" i="16"/>
  <c r="H47" i="16" s="1"/>
  <c r="K49" i="23"/>
  <c r="L49" i="23" s="1"/>
  <c r="K57" i="18"/>
  <c r="L57" i="18" s="1"/>
  <c r="K34" i="17"/>
  <c r="L34" i="17" s="1"/>
  <c r="K66" i="17"/>
  <c r="L66" i="17" s="1"/>
  <c r="G40" i="17"/>
  <c r="H40" i="17" s="1"/>
  <c r="G72" i="17"/>
  <c r="H72" i="17" s="1"/>
  <c r="K15" i="16"/>
  <c r="K17" i="23"/>
  <c r="L17" i="23" s="1"/>
  <c r="G23" i="23"/>
  <c r="H23" i="23" s="1"/>
  <c r="K25" i="18"/>
  <c r="L25" i="18" s="1"/>
  <c r="G31" i="18"/>
  <c r="H31" i="18" s="1"/>
  <c r="K26" i="17"/>
  <c r="L26" i="17" s="1"/>
  <c r="K42" i="17"/>
  <c r="L42" i="17" s="1"/>
  <c r="K58" i="17"/>
  <c r="L58" i="17" s="1"/>
  <c r="G16" i="17"/>
  <c r="H16" i="17" s="1"/>
  <c r="G32" i="17"/>
  <c r="H32" i="17" s="1"/>
  <c r="G48" i="17"/>
  <c r="H48" i="17" s="1"/>
  <c r="G64" i="17"/>
  <c r="H64" i="17" s="1"/>
  <c r="G23" i="16"/>
  <c r="H23" i="16" s="1"/>
  <c r="K25" i="23"/>
  <c r="L25" i="23" s="1"/>
  <c r="G31" i="23"/>
  <c r="H31" i="23" s="1"/>
  <c r="K33" i="18"/>
  <c r="L33" i="18" s="1"/>
  <c r="G39" i="18"/>
  <c r="H39" i="18" s="1"/>
  <c r="K27" i="17"/>
  <c r="L27" i="17" s="1"/>
  <c r="K43" i="17"/>
  <c r="L43" i="17" s="1"/>
  <c r="K59" i="17"/>
  <c r="L59" i="17" s="1"/>
  <c r="G17" i="17"/>
  <c r="H17" i="17" s="1"/>
  <c r="G33" i="17"/>
  <c r="H33" i="17" s="1"/>
  <c r="G49" i="17"/>
  <c r="H49" i="17" s="1"/>
  <c r="G65" i="17"/>
  <c r="H65" i="17" s="1"/>
  <c r="K25" i="16"/>
  <c r="L25" i="16" s="1"/>
  <c r="G31" i="16"/>
  <c r="H31" i="16" s="1"/>
  <c r="K33" i="23"/>
  <c r="L33" i="23" s="1"/>
  <c r="G39" i="23"/>
  <c r="H39" i="23" s="1"/>
  <c r="K41" i="18"/>
  <c r="L41" i="18" s="1"/>
  <c r="G47" i="18"/>
  <c r="H47" i="18" s="1"/>
  <c r="K31" i="17"/>
  <c r="L31" i="17" s="1"/>
  <c r="K47" i="17"/>
  <c r="L47" i="17" s="1"/>
  <c r="K63" i="17"/>
  <c r="L63" i="17" s="1"/>
  <c r="G21" i="17"/>
  <c r="H21" i="17" s="1"/>
  <c r="G37" i="17"/>
  <c r="H37" i="17" s="1"/>
  <c r="G53" i="17"/>
  <c r="H53" i="17" s="1"/>
  <c r="G69" i="17"/>
  <c r="H69" i="17" s="1"/>
  <c r="K33" i="16"/>
  <c r="L33" i="16" s="1"/>
  <c r="G39" i="16"/>
  <c r="H39" i="16" s="1"/>
  <c r="G47" i="23"/>
  <c r="H47" i="23" s="1"/>
  <c r="K49" i="18"/>
  <c r="L49" i="18" s="1"/>
  <c r="K33" i="17"/>
  <c r="L33" i="17" s="1"/>
  <c r="K65" i="17"/>
  <c r="L65" i="17" s="1"/>
  <c r="G39" i="17"/>
  <c r="H39" i="17" s="1"/>
  <c r="G71" i="17"/>
  <c r="H71" i="17" s="1"/>
  <c r="K41" i="16"/>
  <c r="L41" i="16" s="1"/>
  <c r="G55" i="23"/>
  <c r="H55" i="23" s="1"/>
  <c r="G63" i="18"/>
  <c r="H63" i="18" s="1"/>
  <c r="K50" i="17"/>
  <c r="L50" i="17" s="1"/>
  <c r="G24" i="17"/>
  <c r="H24" i="17" s="1"/>
  <c r="G56" i="17"/>
  <c r="H56" i="17" s="1"/>
  <c r="K93" i="2"/>
  <c r="E95" i="2"/>
  <c r="J95" i="2" s="1"/>
  <c r="M172" i="12"/>
  <c r="M173" i="12" s="1"/>
  <c r="N167" i="12"/>
  <c r="Q167" i="12"/>
  <c r="R167" i="12" s="1"/>
  <c r="F75" i="71" l="1"/>
  <c r="I24" i="19"/>
  <c r="I22" i="19"/>
  <c r="F75" i="73"/>
  <c r="F75" i="61"/>
  <c r="E24" i="52" s="1"/>
  <c r="F24" i="52" s="1"/>
  <c r="L75" i="64"/>
  <c r="I19" i="19"/>
  <c r="I27" i="19"/>
  <c r="F75" i="68"/>
  <c r="F75" i="65"/>
  <c r="F75" i="67"/>
  <c r="F75" i="56"/>
  <c r="E19" i="52" s="1"/>
  <c r="F19" i="52" s="1"/>
  <c r="F75" i="59"/>
  <c r="E22" i="52" s="1"/>
  <c r="F22" i="52" s="1"/>
  <c r="F75" i="63"/>
  <c r="E26" i="52" s="1"/>
  <c r="F26" i="52" s="1"/>
  <c r="I25" i="19"/>
  <c r="F75" i="60"/>
  <c r="E23" i="52" s="1"/>
  <c r="F23" i="52" s="1"/>
  <c r="F75" i="69"/>
  <c r="I26" i="19"/>
  <c r="F75" i="62"/>
  <c r="E25" i="52" s="1"/>
  <c r="F25" i="52" s="1"/>
  <c r="I23" i="19"/>
  <c r="I20" i="19"/>
  <c r="I21" i="19"/>
  <c r="F75" i="66"/>
  <c r="F75" i="57"/>
  <c r="E20" i="52" s="1"/>
  <c r="F20" i="52" s="1"/>
  <c r="F75" i="72"/>
  <c r="F75" i="58"/>
  <c r="E21" i="52" s="1"/>
  <c r="F21" i="52" s="1"/>
  <c r="F75" i="70"/>
  <c r="F29" i="33"/>
  <c r="K74" i="35"/>
  <c r="H16" i="33" s="1"/>
  <c r="H29" i="33" s="1"/>
  <c r="F75" i="48"/>
  <c r="L74" i="35"/>
  <c r="F76" i="35" s="1"/>
  <c r="D16" i="52" s="1"/>
  <c r="T73" i="47"/>
  <c r="J101" i="2"/>
  <c r="E12" i="52"/>
  <c r="F12" i="52" s="1"/>
  <c r="F76" i="37"/>
  <c r="D18" i="52" s="1"/>
  <c r="F76" i="36"/>
  <c r="D17" i="52" s="1"/>
  <c r="F76" i="34"/>
  <c r="D15" i="52" s="1"/>
  <c r="T73" i="49"/>
  <c r="S73" i="49"/>
  <c r="L73" i="49"/>
  <c r="K73" i="49"/>
  <c r="S73" i="47"/>
  <c r="L73" i="47"/>
  <c r="K73" i="47"/>
  <c r="G96" i="40"/>
  <c r="V96" i="40" s="1"/>
  <c r="V102" i="40" s="1"/>
  <c r="K73" i="16"/>
  <c r="K73" i="17"/>
  <c r="K73" i="18"/>
  <c r="K73" i="23"/>
  <c r="G73" i="16"/>
  <c r="G73" i="23"/>
  <c r="G73" i="17"/>
  <c r="G73" i="18"/>
  <c r="H15" i="17"/>
  <c r="H73" i="17" s="1"/>
  <c r="H15" i="18"/>
  <c r="H73" i="18" s="1"/>
  <c r="L15" i="23"/>
  <c r="L73" i="23" s="1"/>
  <c r="H15" i="23"/>
  <c r="H73" i="23" s="1"/>
  <c r="L15" i="18"/>
  <c r="L73" i="18" s="1"/>
  <c r="H73" i="16"/>
  <c r="L16" i="17"/>
  <c r="L73" i="17" s="1"/>
  <c r="L15" i="16"/>
  <c r="L73" i="16" s="1"/>
  <c r="E36" i="19"/>
  <c r="D10" i="22"/>
  <c r="F12" i="22" s="1"/>
  <c r="K151" i="22" s="1"/>
  <c r="H75" i="49" l="1"/>
  <c r="E39" i="52"/>
  <c r="F39" i="52" s="1"/>
  <c r="G151" i="22"/>
  <c r="G17" i="22"/>
  <c r="K17" i="22"/>
  <c r="H75" i="47"/>
  <c r="F75" i="49"/>
  <c r="F75" i="47"/>
  <c r="H75" i="46"/>
  <c r="F75" i="46"/>
  <c r="K101" i="2"/>
  <c r="F14" i="19"/>
  <c r="F16" i="19"/>
  <c r="H15" i="19"/>
  <c r="H16" i="19"/>
  <c r="F15" i="19"/>
  <c r="H14" i="19"/>
  <c r="H17" i="19"/>
  <c r="F17" i="19"/>
  <c r="G117" i="22"/>
  <c r="G183" i="22"/>
  <c r="G67" i="22"/>
  <c r="K132" i="22"/>
  <c r="K50" i="22"/>
  <c r="G35" i="22"/>
  <c r="G124" i="22"/>
  <c r="K98" i="22"/>
  <c r="K117" i="22"/>
  <c r="G55" i="22"/>
  <c r="G69" i="22"/>
  <c r="K102" i="22"/>
  <c r="G178" i="22"/>
  <c r="K95" i="22"/>
  <c r="K137" i="22"/>
  <c r="K81" i="22"/>
  <c r="G120" i="22"/>
  <c r="K110" i="22"/>
  <c r="K181" i="22"/>
  <c r="K123" i="22"/>
  <c r="K118" i="22"/>
  <c r="G114" i="22"/>
  <c r="G192" i="22"/>
  <c r="G76" i="22"/>
  <c r="G180" i="22"/>
  <c r="K125" i="22"/>
  <c r="K194" i="22"/>
  <c r="K91" i="22"/>
  <c r="K54" i="22"/>
  <c r="K175" i="22"/>
  <c r="G44" i="22"/>
  <c r="K25" i="22"/>
  <c r="G153" i="22"/>
  <c r="G65" i="22"/>
  <c r="G107" i="22"/>
  <c r="G122" i="22"/>
  <c r="G89" i="22"/>
  <c r="G140" i="22"/>
  <c r="K186" i="22"/>
  <c r="K108" i="22"/>
  <c r="K72" i="22"/>
  <c r="K167" i="22"/>
  <c r="K121" i="22"/>
  <c r="K45" i="22"/>
  <c r="K69" i="22"/>
  <c r="G73" i="22"/>
  <c r="K59" i="22"/>
  <c r="K122" i="22"/>
  <c r="K140" i="22"/>
  <c r="K58" i="22"/>
  <c r="G121" i="22"/>
  <c r="G84" i="22"/>
  <c r="G56" i="22"/>
  <c r="G28" i="22"/>
  <c r="G30" i="22"/>
  <c r="K131" i="22"/>
  <c r="G64" i="22"/>
  <c r="K158" i="22"/>
  <c r="K136" i="22"/>
  <c r="G66" i="22"/>
  <c r="G97" i="22"/>
  <c r="K93" i="22"/>
  <c r="K153" i="22"/>
  <c r="K127" i="22"/>
  <c r="K115" i="22"/>
  <c r="G144" i="22"/>
  <c r="G133" i="22"/>
  <c r="G58" i="22"/>
  <c r="K76" i="22"/>
  <c r="G88" i="22"/>
  <c r="G46" i="22"/>
  <c r="G18" i="22"/>
  <c r="G49" i="22"/>
  <c r="K162" i="22"/>
  <c r="G159" i="22"/>
  <c r="G191" i="22"/>
  <c r="K87" i="22"/>
  <c r="K30" i="22"/>
  <c r="K78" i="22"/>
  <c r="K73" i="22"/>
  <c r="G157" i="22"/>
  <c r="G104" i="22"/>
  <c r="G27" i="22"/>
  <c r="K74" i="22"/>
  <c r="G123" i="22"/>
  <c r="K23" i="22"/>
  <c r="K57" i="22"/>
  <c r="G24" i="22"/>
  <c r="G182" i="22"/>
  <c r="K168" i="22"/>
  <c r="K20" i="22"/>
  <c r="G169" i="22"/>
  <c r="G33" i="22"/>
  <c r="G161" i="22"/>
  <c r="G42" i="22"/>
  <c r="G152" i="22"/>
  <c r="K66" i="22"/>
  <c r="G59" i="22"/>
  <c r="G160" i="22"/>
  <c r="G81" i="22"/>
  <c r="K42" i="22"/>
  <c r="K90" i="22"/>
  <c r="G131" i="22"/>
  <c r="K99" i="22"/>
  <c r="K22" i="22"/>
  <c r="K52" i="22"/>
  <c r="K191" i="22"/>
  <c r="G128" i="22"/>
  <c r="G181" i="22"/>
  <c r="K79" i="22"/>
  <c r="K174" i="22"/>
  <c r="K116" i="22"/>
  <c r="K80" i="22"/>
  <c r="K41" i="22"/>
  <c r="K166" i="22"/>
  <c r="G148" i="22"/>
  <c r="G71" i="22"/>
  <c r="K83" i="22"/>
  <c r="G93" i="22"/>
  <c r="K89" i="22"/>
  <c r="K65" i="22"/>
  <c r="K19" i="22"/>
  <c r="K31" i="22"/>
  <c r="K111" i="22"/>
  <c r="K103" i="22"/>
  <c r="K27" i="22"/>
  <c r="G29" i="22"/>
  <c r="G135" i="22"/>
  <c r="G77" i="22"/>
  <c r="G72" i="22"/>
  <c r="K62" i="22"/>
  <c r="G92" i="22"/>
  <c r="G188" i="22"/>
  <c r="K170" i="22"/>
  <c r="K144" i="22"/>
  <c r="G127" i="22"/>
  <c r="G90" i="22"/>
  <c r="G167" i="22"/>
  <c r="K147" i="22"/>
  <c r="G196" i="22"/>
  <c r="K179" i="22"/>
  <c r="K94" i="22"/>
  <c r="K49" i="22"/>
  <c r="K113" i="22"/>
  <c r="K171" i="22"/>
  <c r="K164" i="22"/>
  <c r="G40" i="22"/>
  <c r="K21" i="22"/>
  <c r="G39" i="22"/>
  <c r="G187" i="22"/>
  <c r="K48" i="22"/>
  <c r="K51" i="22"/>
  <c r="K63" i="22"/>
  <c r="G193" i="22"/>
  <c r="K109" i="22"/>
  <c r="K187" i="22"/>
  <c r="K75" i="22"/>
  <c r="G52" i="22"/>
  <c r="G194" i="22"/>
  <c r="K120" i="22"/>
  <c r="G57" i="22"/>
  <c r="G111" i="22"/>
  <c r="K196" i="22"/>
  <c r="G86" i="22"/>
  <c r="G48" i="22"/>
  <c r="G61" i="22"/>
  <c r="K40" i="22"/>
  <c r="G164" i="22"/>
  <c r="K152" i="22"/>
  <c r="G62" i="22"/>
  <c r="K35" i="22"/>
  <c r="G136" i="22"/>
  <c r="K18" i="22"/>
  <c r="G70" i="22"/>
  <c r="G125" i="22"/>
  <c r="K26" i="22"/>
  <c r="G149" i="22"/>
  <c r="G37" i="22"/>
  <c r="G75" i="22"/>
  <c r="K130" i="22"/>
  <c r="K128" i="22"/>
  <c r="G112" i="22"/>
  <c r="K37" i="22"/>
  <c r="K60" i="22"/>
  <c r="K82" i="22"/>
  <c r="G175" i="22"/>
  <c r="G85" i="22"/>
  <c r="G172" i="22"/>
  <c r="K133" i="22"/>
  <c r="K39" i="22"/>
  <c r="K126" i="22"/>
  <c r="K43" i="22"/>
  <c r="K163" i="22"/>
  <c r="K195" i="22"/>
  <c r="G78" i="22"/>
  <c r="G115" i="22"/>
  <c r="G103" i="22"/>
  <c r="G137" i="22"/>
  <c r="G53" i="22"/>
  <c r="G100" i="22"/>
  <c r="K34" i="22"/>
  <c r="G156" i="22"/>
  <c r="G82" i="22"/>
  <c r="G105" i="22"/>
  <c r="G138" i="22"/>
  <c r="K70" i="22"/>
  <c r="K33" i="22"/>
  <c r="G179" i="22"/>
  <c r="K189" i="22"/>
  <c r="K119" i="22"/>
  <c r="G25" i="22"/>
  <c r="K148" i="22"/>
  <c r="G116" i="22"/>
  <c r="G150" i="22"/>
  <c r="G146" i="22"/>
  <c r="K135" i="22"/>
  <c r="K71" i="22"/>
  <c r="G45" i="22"/>
  <c r="G34" i="22"/>
  <c r="K184" i="22"/>
  <c r="K112" i="22"/>
  <c r="G163" i="22"/>
  <c r="G87" i="22"/>
  <c r="G26" i="22"/>
  <c r="G143" i="22"/>
  <c r="G170" i="22"/>
  <c r="G158" i="22"/>
  <c r="G184" i="22"/>
  <c r="G60" i="22"/>
  <c r="K88" i="22"/>
  <c r="K177" i="22"/>
  <c r="K142" i="22"/>
  <c r="G166" i="22"/>
  <c r="G134" i="22"/>
  <c r="G165" i="22"/>
  <c r="K68" i="22"/>
  <c r="G99" i="22"/>
  <c r="G102" i="22"/>
  <c r="K143" i="22"/>
  <c r="G54" i="22"/>
  <c r="K169" i="22"/>
  <c r="K145" i="22"/>
  <c r="K28" i="22"/>
  <c r="K67" i="22"/>
  <c r="G189" i="22"/>
  <c r="G155" i="22"/>
  <c r="K149" i="22"/>
  <c r="G79" i="22"/>
  <c r="G41" i="22"/>
  <c r="K146" i="22"/>
  <c r="K24" i="22"/>
  <c r="G168" i="22"/>
  <c r="K193" i="22"/>
  <c r="K160" i="22"/>
  <c r="K92" i="22"/>
  <c r="G98" i="22"/>
  <c r="K114" i="22"/>
  <c r="G190" i="22"/>
  <c r="G63" i="22"/>
  <c r="K190" i="22"/>
  <c r="G162" i="22"/>
  <c r="G141" i="22"/>
  <c r="G50" i="22"/>
  <c r="K38" i="22"/>
  <c r="G147" i="22"/>
  <c r="G132" i="22"/>
  <c r="G36" i="22"/>
  <c r="G21" i="22"/>
  <c r="G106" i="22"/>
  <c r="G173" i="22"/>
  <c r="K178" i="22"/>
  <c r="G186" i="22"/>
  <c r="G20" i="22"/>
  <c r="K150" i="22"/>
  <c r="G110" i="22"/>
  <c r="K183" i="22"/>
  <c r="K36" i="22"/>
  <c r="K47" i="22"/>
  <c r="K105" i="22"/>
  <c r="G101" i="22"/>
  <c r="G80" i="22"/>
  <c r="G108" i="22"/>
  <c r="K185" i="22"/>
  <c r="G119" i="22"/>
  <c r="K104" i="22"/>
  <c r="K77" i="22"/>
  <c r="G142" i="22"/>
  <c r="G129" i="22"/>
  <c r="K165" i="22"/>
  <c r="G38" i="22"/>
  <c r="G154" i="22"/>
  <c r="G171" i="22"/>
  <c r="K64" i="22"/>
  <c r="G177" i="22"/>
  <c r="G43" i="22"/>
  <c r="K84" i="22"/>
  <c r="K182" i="22"/>
  <c r="K188" i="22"/>
  <c r="K159" i="22"/>
  <c r="G83" i="22"/>
  <c r="K96" i="22"/>
  <c r="K107" i="22"/>
  <c r="K56" i="22"/>
  <c r="G22" i="22"/>
  <c r="K180" i="22"/>
  <c r="K53" i="22"/>
  <c r="G31" i="22"/>
  <c r="K97" i="22"/>
  <c r="K29" i="22"/>
  <c r="G176" i="22"/>
  <c r="G74" i="22"/>
  <c r="G94" i="22"/>
  <c r="K176" i="22"/>
  <c r="G47" i="22"/>
  <c r="K192" i="22"/>
  <c r="G145" i="22"/>
  <c r="G23" i="22"/>
  <c r="K157" i="22"/>
  <c r="K172" i="22"/>
  <c r="G51" i="22"/>
  <c r="G130" i="22"/>
  <c r="K173" i="22"/>
  <c r="K141" i="22"/>
  <c r="K106" i="22"/>
  <c r="K129" i="22"/>
  <c r="K85" i="22"/>
  <c r="G91" i="22"/>
  <c r="K86" i="22"/>
  <c r="G195" i="22"/>
  <c r="G174" i="22"/>
  <c r="K44" i="22"/>
  <c r="G126" i="22"/>
  <c r="G109" i="22"/>
  <c r="K61" i="22"/>
  <c r="K154" i="22"/>
  <c r="G185" i="22"/>
  <c r="K155" i="22"/>
  <c r="K55" i="22"/>
  <c r="K161" i="22"/>
  <c r="G118" i="22"/>
  <c r="G19" i="22"/>
  <c r="K124" i="22"/>
  <c r="G96" i="22"/>
  <c r="G95" i="22"/>
  <c r="K139" i="22"/>
  <c r="K101" i="22"/>
  <c r="K32" i="22"/>
  <c r="G68" i="22"/>
  <c r="K156" i="22"/>
  <c r="K100" i="22"/>
  <c r="K46" i="22"/>
  <c r="G113" i="22"/>
  <c r="G32" i="22"/>
  <c r="G139" i="22"/>
  <c r="K134" i="22"/>
  <c r="K138" i="22"/>
  <c r="H28" i="19" l="1"/>
  <c r="F28" i="19"/>
  <c r="I14" i="19"/>
  <c r="I18" i="33"/>
  <c r="I15" i="33"/>
  <c r="I17" i="33"/>
  <c r="I16" i="33"/>
  <c r="F75" i="17"/>
  <c r="E15" i="52" s="1"/>
  <c r="F15" i="52" s="1"/>
  <c r="I17" i="19"/>
  <c r="I15" i="19"/>
  <c r="I16" i="19"/>
  <c r="F75" i="16"/>
  <c r="E18" i="52" s="1"/>
  <c r="F18" i="52" s="1"/>
  <c r="F75" i="23"/>
  <c r="E17" i="52" s="1"/>
  <c r="F17" i="52" s="1"/>
  <c r="F75" i="18"/>
  <c r="E16" i="52" s="1"/>
  <c r="F16" i="52" s="1"/>
  <c r="I35" i="33" l="1"/>
  <c r="I34" i="19"/>
</calcChain>
</file>

<file path=xl/sharedStrings.xml><?xml version="1.0" encoding="utf-8"?>
<sst xmlns="http://schemas.openxmlformats.org/spreadsheetml/2006/main" count="3747" uniqueCount="986">
  <si>
    <t>Fiscal Year End:</t>
  </si>
  <si>
    <t>COST CATEGORY</t>
  </si>
  <si>
    <t>Indirect Cost Allocation</t>
  </si>
  <si>
    <t>Total Cost</t>
  </si>
  <si>
    <t>Unduplicated Client Count</t>
  </si>
  <si>
    <t>Cost per Unduplicated Client</t>
  </si>
  <si>
    <t>INDIRECT 
(not traceable to direct cost center)</t>
  </si>
  <si>
    <t>FULL-TIME EQV 
(FTEs)</t>
  </si>
  <si>
    <t>TOTAL</t>
  </si>
  <si>
    <t>UNALLOWABLE</t>
  </si>
  <si>
    <t>Variance</t>
  </si>
  <si>
    <t>Description</t>
  </si>
  <si>
    <t>Schedule 2A</t>
  </si>
  <si>
    <t>Schedule 2B</t>
  </si>
  <si>
    <t>Schedule 2C</t>
  </si>
  <si>
    <t>H0027</t>
  </si>
  <si>
    <t>H0028</t>
  </si>
  <si>
    <t>H0029</t>
  </si>
  <si>
    <t>Alcohol and/or drug prevention environmental service (broad range of external activities geared toward modifying systems in order to mainstream prevention through policy and law)</t>
  </si>
  <si>
    <t>H0003</t>
  </si>
  <si>
    <t>H0048</t>
  </si>
  <si>
    <t>H0007</t>
  </si>
  <si>
    <t>H0022</t>
  </si>
  <si>
    <t>H0030</t>
  </si>
  <si>
    <t>Alcohol and/or drug services; crisis intervention (outpatient)</t>
  </si>
  <si>
    <t>Alcohol and/or drug intervention service (planned facilitation)</t>
  </si>
  <si>
    <t>H1003</t>
  </si>
  <si>
    <t>T1009</t>
  </si>
  <si>
    <t>T1013</t>
  </si>
  <si>
    <t>T2001</t>
  </si>
  <si>
    <t>Child sitting services for the children of the individual receiving alcohol and/or substance abuse services</t>
  </si>
  <si>
    <t>Sign language or oral interpreter for alcohol and/or substance abuse services</t>
  </si>
  <si>
    <t>Non-emergency transportation</t>
  </si>
  <si>
    <t>H0011</t>
  </si>
  <si>
    <t>ROOM AND BOARD</t>
  </si>
  <si>
    <t>H2034</t>
  </si>
  <si>
    <t>S9976</t>
  </si>
  <si>
    <t>Halfway House</t>
  </si>
  <si>
    <t>Lodging</t>
  </si>
  <si>
    <t>Alcohol and/or drug screening; laboratory analysis of specimens for presence of alcohol and/or drugs</t>
  </si>
  <si>
    <t>Procedure 
Code</t>
  </si>
  <si>
    <t>Drug screen, presumptive, read by instrument</t>
  </si>
  <si>
    <t>G0176</t>
  </si>
  <si>
    <t>G0177</t>
  </si>
  <si>
    <t>H0001</t>
  </si>
  <si>
    <t>H0002</t>
  </si>
  <si>
    <t>H0004</t>
  </si>
  <si>
    <t>H0005</t>
  </si>
  <si>
    <t>H0006</t>
  </si>
  <si>
    <t>H0010</t>
  </si>
  <si>
    <t>H0015</t>
  </si>
  <si>
    <t>H0017</t>
  </si>
  <si>
    <t>H0018</t>
  </si>
  <si>
    <t>H0019</t>
  </si>
  <si>
    <t>H0020</t>
  </si>
  <si>
    <t>H0023 - HQ</t>
  </si>
  <si>
    <t>H0023 - HT</t>
  </si>
  <si>
    <t>H0024</t>
  </si>
  <si>
    <t>H0025</t>
  </si>
  <si>
    <t>H0031</t>
  </si>
  <si>
    <t>H0032</t>
  </si>
  <si>
    <t>H0033</t>
  </si>
  <si>
    <t>H0034</t>
  </si>
  <si>
    <t>H0035</t>
  </si>
  <si>
    <t>H0036</t>
  </si>
  <si>
    <t>H0037</t>
  </si>
  <si>
    <t>H0038</t>
  </si>
  <si>
    <t>H0039</t>
  </si>
  <si>
    <t>H0040</t>
  </si>
  <si>
    <t>H0043</t>
  </si>
  <si>
    <t>H0044</t>
  </si>
  <si>
    <t>H0045</t>
  </si>
  <si>
    <t>H0047</t>
  </si>
  <si>
    <t>H1000</t>
  </si>
  <si>
    <t>H1002</t>
  </si>
  <si>
    <t>H1004</t>
  </si>
  <si>
    <t>H1011</t>
  </si>
  <si>
    <t>H2000</t>
  </si>
  <si>
    <t>H2001</t>
  </si>
  <si>
    <t>H2011</t>
  </si>
  <si>
    <t>H2012</t>
  </si>
  <si>
    <t>H2014</t>
  </si>
  <si>
    <t>H2015</t>
  </si>
  <si>
    <t>H2016</t>
  </si>
  <si>
    <t>H2017</t>
  </si>
  <si>
    <t>H2018</t>
  </si>
  <si>
    <t>H2021</t>
  </si>
  <si>
    <t>H2022</t>
  </si>
  <si>
    <t>H2023</t>
  </si>
  <si>
    <t>H2024</t>
  </si>
  <si>
    <t>H2025</t>
  </si>
  <si>
    <t>H2026</t>
  </si>
  <si>
    <t>H2027</t>
  </si>
  <si>
    <t>H2030</t>
  </si>
  <si>
    <t>H2031</t>
  </si>
  <si>
    <t>H2032</t>
  </si>
  <si>
    <t>H2033</t>
  </si>
  <si>
    <t>H2036</t>
  </si>
  <si>
    <t>S5150</t>
  </si>
  <si>
    <t>S5151</t>
  </si>
  <si>
    <t>S9445</t>
  </si>
  <si>
    <t>S9453</t>
  </si>
  <si>
    <t>S9454</t>
  </si>
  <si>
    <t>S9480</t>
  </si>
  <si>
    <t>S9485</t>
  </si>
  <si>
    <t>T1005</t>
  </si>
  <si>
    <t>T1006</t>
  </si>
  <si>
    <t>T1012</t>
  </si>
  <si>
    <t>T1016</t>
  </si>
  <si>
    <t>T1017</t>
  </si>
  <si>
    <t>Schedule 3</t>
  </si>
  <si>
    <t xml:space="preserve">Drug screen, presumptive, optical observation                            </t>
  </si>
  <si>
    <t>Alcohol (ethanol); breathalyzer</t>
  </si>
  <si>
    <t>Family Psychotherapy (w/o Patient Present)</t>
  </si>
  <si>
    <t>Family Psychotherapy (Conjoint Psychotherapy) (w/Patient Present)</t>
  </si>
  <si>
    <t>Multiple-Family Group Psychotherapy</t>
  </si>
  <si>
    <t>Group Psychotherapy (Other Than, Multiple-Family Group)</t>
  </si>
  <si>
    <t>Electroconvulsive therapy</t>
  </si>
  <si>
    <t>Injection, subcutaneous or intramuscular</t>
  </si>
  <si>
    <t>Self Care Management Training</t>
  </si>
  <si>
    <t>Community/Work Reintegration</t>
  </si>
  <si>
    <t>Initial Hospital Care Low Complexity</t>
  </si>
  <si>
    <t>Initial Hospital Care Moderate Complexity</t>
  </si>
  <si>
    <t>Initial Hospital Care High Complexity</t>
  </si>
  <si>
    <t>Subsequent Hospital Care Low Complexity</t>
  </si>
  <si>
    <t>Subsequent Hospital Care Moderate Complexity</t>
  </si>
  <si>
    <t>Subsequent Hospital Care High Complexity</t>
  </si>
  <si>
    <t>Hospital discharge day</t>
  </si>
  <si>
    <t>Nursing facility discharge day management; more than 30 minutes</t>
  </si>
  <si>
    <t>Alcohol and/or drug assessment</t>
  </si>
  <si>
    <t>Behavioral health counseling and therapy</t>
  </si>
  <si>
    <t>Alcohol and/or drug services; group counseling by a clinician</t>
  </si>
  <si>
    <t>Alcohol and/or drug services; case management</t>
  </si>
  <si>
    <t>Residential, Hospital or ATU</t>
  </si>
  <si>
    <t>Residential, Short-Term, Non-Hospital</t>
  </si>
  <si>
    <t>Residential, Long-Term, Non-Medical</t>
  </si>
  <si>
    <t>Behavioral Health Prevention Information Dissemination Service (One-Way Direct or Non-Direct Contact with service Audiences to Affect Knowledge and Attitude)</t>
  </si>
  <si>
    <t>Behavioral health prevention education service (delivery of services with target population to affect knowledge</t>
  </si>
  <si>
    <t>Alcohol and/or drug prevention problem identification and referral service ( e.g. student assistance and employee assistance programs)</t>
  </si>
  <si>
    <t>Alcohol and/or drug prevention alternatives service (services for populations that exclude alcohol and other drug use e.g. alcohol free social events)</t>
  </si>
  <si>
    <t>Hotline Services</t>
  </si>
  <si>
    <t>Oral medication administration</t>
  </si>
  <si>
    <t>Self Help / Peer</t>
  </si>
  <si>
    <t>Prenatal Care</t>
  </si>
  <si>
    <t>Care Coordination Prenatal/Case Management</t>
  </si>
  <si>
    <t>Prenatal follow up home visit</t>
  </si>
  <si>
    <t>Family Assessment</t>
  </si>
  <si>
    <t>Drug screening and monitoring</t>
  </si>
  <si>
    <t>Smoking Cessation Class</t>
  </si>
  <si>
    <t>Alcohol and/or Substance Abuse Services</t>
  </si>
  <si>
    <t>Alcohol and/or substance abuse services</t>
  </si>
  <si>
    <t>Targeted Case Management</t>
  </si>
  <si>
    <t>Individual Psychophysiological Therapy w/Biofeedback Training; Approx 20-30 Min</t>
  </si>
  <si>
    <t>Individual Psychophysiological Therapy w/Biofeedback Training; Approx 45-50 Min</t>
  </si>
  <si>
    <t>Office or other outpatient visit for the evaluation and management of new patient</t>
  </si>
  <si>
    <t>Office or other outpatient visit for the eval and mgmt of an established patient</t>
  </si>
  <si>
    <t>Cost per Non-Facility Unit of Service</t>
  </si>
  <si>
    <t>Cost per Facility Unit of Service</t>
  </si>
  <si>
    <t>Name of Facility</t>
  </si>
  <si>
    <t>ALR</t>
  </si>
  <si>
    <t>Census Days</t>
  </si>
  <si>
    <t>Utilization Rate</t>
  </si>
  <si>
    <t>Total Expense</t>
  </si>
  <si>
    <t>Total Cost Per Day</t>
  </si>
  <si>
    <t>Room and Board Expense</t>
  </si>
  <si>
    <t>Room and Board Cost Per Day</t>
  </si>
  <si>
    <t>Services Expense (Total less Room and Board)</t>
  </si>
  <si>
    <t>Services Cost Per Day</t>
  </si>
  <si>
    <t>TOTAL EXPENSE</t>
  </si>
  <si>
    <t>SERVICES</t>
  </si>
  <si>
    <t>Residential</t>
  </si>
  <si>
    <t>RCCF</t>
  </si>
  <si>
    <t>PRTF</t>
  </si>
  <si>
    <t>Total All Facilities</t>
  </si>
  <si>
    <t>SUD</t>
  </si>
  <si>
    <t>CSU</t>
  </si>
  <si>
    <t>ATU</t>
  </si>
  <si>
    <t>Yes/No</t>
  </si>
  <si>
    <t>Service</t>
  </si>
  <si>
    <t>Schedule 2D</t>
  </si>
  <si>
    <t>Supplemental Schedule</t>
  </si>
  <si>
    <t>Job Title</t>
  </si>
  <si>
    <t>Total excess expense reported in Column 3 on Schedule 1</t>
  </si>
  <si>
    <t>Total excess expense reported in Column 4 on Schedule 1</t>
  </si>
  <si>
    <t>Total excess expense reported in Column 2 on Schedule 1</t>
  </si>
  <si>
    <t>Total excess expense reported in Column 5 on Schedule 1</t>
  </si>
  <si>
    <t>Indirect cost allocation to Column 4 on Schedule 1</t>
  </si>
  <si>
    <t>Non-Facility Units</t>
  </si>
  <si>
    <t>Facility Units</t>
  </si>
  <si>
    <t>Non-Facility RVUs</t>
  </si>
  <si>
    <t>Facility RVUs</t>
  </si>
  <si>
    <t>NON-FACILITY</t>
  </si>
  <si>
    <t>FACILITY</t>
  </si>
  <si>
    <t xml:space="preserve">Total costs from Column 3 on Schedule 1  </t>
  </si>
  <si>
    <t xml:space="preserve">Total allowable costs for encounter-based services  </t>
  </si>
  <si>
    <t xml:space="preserve">Total RVUs  </t>
  </si>
  <si>
    <t xml:space="preserve">BASE UNIT COST  </t>
  </si>
  <si>
    <t xml:space="preserve">Non-facility RVUs  </t>
  </si>
  <si>
    <t xml:space="preserve">Facility RVUs  </t>
  </si>
  <si>
    <t>Direct inpatient and residential services in Column 4 on Schedule 1</t>
  </si>
  <si>
    <t>Total inpatient and residential services expense</t>
  </si>
  <si>
    <t>Outpatient services</t>
  </si>
  <si>
    <t>Indirect cost rate</t>
  </si>
  <si>
    <t>Are partial hospitalization services provided?</t>
  </si>
  <si>
    <t>Are outpatient services provided?</t>
  </si>
  <si>
    <t>Is the above methodology the same as that used in the prior cost report period?</t>
  </si>
  <si>
    <t>If no, explain the reason for the change in methods between years.</t>
  </si>
  <si>
    <t>Encounterable Costs</t>
  </si>
  <si>
    <t>Direct</t>
  </si>
  <si>
    <t>Indirect</t>
  </si>
  <si>
    <t>Non-Encounterable Costs</t>
  </si>
  <si>
    <t>Emergency services</t>
  </si>
  <si>
    <t>Partial hospitalization</t>
  </si>
  <si>
    <t>Consultative and educational services</t>
  </si>
  <si>
    <t>Direct 
Cost</t>
  </si>
  <si>
    <t xml:space="preserve">Total Cost </t>
  </si>
  <si>
    <t>Schedule 1 costs (col 3 / col 5)</t>
  </si>
  <si>
    <t>Schedule 1 costs (col 4)</t>
  </si>
  <si>
    <t>Subtotal Cost</t>
  </si>
  <si>
    <t>Inpatient and residential services</t>
  </si>
  <si>
    <t>Operations Personnel Total</t>
  </si>
  <si>
    <t>Executive Leadership</t>
  </si>
  <si>
    <t>Total Excess Salary Above Limit</t>
  </si>
  <si>
    <t>Benefits and Payroll Taxes</t>
  </si>
  <si>
    <t>Employee Recruitment</t>
  </si>
  <si>
    <t>Other Employee-Related Total</t>
  </si>
  <si>
    <t>Contracted Personnel Total</t>
  </si>
  <si>
    <t>Other Contracted Personnel</t>
  </si>
  <si>
    <t>TOTAL EMPLOYEE COSTS</t>
  </si>
  <si>
    <t>TOTAL PERSONNEL COSTS</t>
  </si>
  <si>
    <t>Client Transportation</t>
  </si>
  <si>
    <t>Information Technology Total</t>
  </si>
  <si>
    <t>OCCUPANCY COSTS</t>
  </si>
  <si>
    <t>INFORMATION TECHNOLOGY COSTS</t>
  </si>
  <si>
    <t>CONTRACTED PERSONNEL COSTS</t>
  </si>
  <si>
    <t>OTHER EMPLOYEE-RELATED COSTS</t>
  </si>
  <si>
    <t>OPERATING COSTS</t>
  </si>
  <si>
    <t>Occupancy Total</t>
  </si>
  <si>
    <t>Client Total</t>
  </si>
  <si>
    <t>Meetings and Events</t>
  </si>
  <si>
    <t>Legal Fees</t>
  </si>
  <si>
    <t>TOTAL DIRECT COSTS</t>
  </si>
  <si>
    <t>TOTAL COST</t>
  </si>
  <si>
    <t>Account Number(s) 
and/or Program(s)</t>
  </si>
  <si>
    <t>Step 1:</t>
  </si>
  <si>
    <t>Step 2:</t>
  </si>
  <si>
    <t>Step 3:</t>
  </si>
  <si>
    <t>Step 4:</t>
  </si>
  <si>
    <t>Step 5:</t>
  </si>
  <si>
    <t>Describe the steps and methods used to allocate indirect cost on Schedule 1.</t>
  </si>
  <si>
    <t>FTEs</t>
  </si>
  <si>
    <t>Non-RVU integration services revenue</t>
  </si>
  <si>
    <t>Are emergency services provided?</t>
  </si>
  <si>
    <t>Section I:</t>
  </si>
  <si>
    <t xml:space="preserve">Section II: </t>
  </si>
  <si>
    <t>Program/Grant/Team</t>
  </si>
  <si>
    <t>Schedule of expense by program, grant, or team.</t>
  </si>
  <si>
    <t>A</t>
  </si>
  <si>
    <t>B</t>
  </si>
  <si>
    <t>If yes, complete Section II.</t>
  </si>
  <si>
    <t>Are consultative and educational services provided?</t>
  </si>
  <si>
    <t>Encounterable Expense (Schedule 1 Column 3)</t>
  </si>
  <si>
    <t>Non-Encounterable Expense (Schedule 1 Column 5)</t>
  </si>
  <si>
    <t>Related Party:
Actual Cost Incurred</t>
  </si>
  <si>
    <t>Non-clinical direct salary limitation for cost report period</t>
  </si>
  <si>
    <t>Number of employees to which limitation applies</t>
  </si>
  <si>
    <t>five highest-paid</t>
  </si>
  <si>
    <t>Employees Above Limit</t>
  </si>
  <si>
    <t>Schedule 1 
Column</t>
  </si>
  <si>
    <t>Excess salary above the limit is automatically reclassified to unallowable on Schedule 1.</t>
  </si>
  <si>
    <t>Total Excess Expense Above Actual Cost</t>
  </si>
  <si>
    <t>Excess expense above actual cost is automatically reclassified to unallowable on Schedule 1.</t>
  </si>
  <si>
    <t>Related Party Transactions</t>
  </si>
  <si>
    <t>EXCESS RELATED PARTY EXPENSE (Schedule 1C)</t>
  </si>
  <si>
    <t>Excess Related Party Expense Above Actual Cost</t>
  </si>
  <si>
    <t>DIRECT SALARY LIMITATIONS (Schedule 1A)</t>
  </si>
  <si>
    <t>Excess Salary Above Limit</t>
  </si>
  <si>
    <t>Nature of 
Related Party Expense</t>
  </si>
  <si>
    <t>Related Vendor, 
Individual, or Organization</t>
  </si>
  <si>
    <t>Operating Total</t>
  </si>
  <si>
    <t>DIRECT CLIENT SERVICE PERSONNEL COSTS (Salary, Bonus, Commission)</t>
  </si>
  <si>
    <t xml:space="preserve">OPERATIONS PERSONNEL COSTS (Salary, Bonus, Commission) </t>
  </si>
  <si>
    <t>Electronic Health Records Maintenance, Support, Equipment</t>
  </si>
  <si>
    <t>Technology Software, Licensing, and Equipment for Use by Clients</t>
  </si>
  <si>
    <t>Client Education Materials</t>
  </si>
  <si>
    <t>Other Operating</t>
  </si>
  <si>
    <t>Marketing, Public Relations, and Other Communications</t>
  </si>
  <si>
    <t>Other Purchased Services and Professional Fees</t>
  </si>
  <si>
    <t>Client Food and Drink</t>
  </si>
  <si>
    <t>Business Travel, Entertainment, Meals</t>
  </si>
  <si>
    <t>Direct Client Service Personnel Total</t>
  </si>
  <si>
    <t>Clinical, Licensed Non-Physicians</t>
  </si>
  <si>
    <t>Clinicians or Clinical Services Contracted Personnel</t>
  </si>
  <si>
    <t>Other Operations Personnel</t>
  </si>
  <si>
    <t>Electronic Health Records Software Upgrades and Improvements</t>
  </si>
  <si>
    <t>Telecommunications (Phone, Internet, Pagers, Data, etc.)</t>
  </si>
  <si>
    <t>Other Information Technology</t>
  </si>
  <si>
    <t>Rent and Lease</t>
  </si>
  <si>
    <t>Depreciation and Amortization</t>
  </si>
  <si>
    <t>Other Occupancy</t>
  </si>
  <si>
    <t xml:space="preserve">Other Employee-Related  </t>
  </si>
  <si>
    <t>Other Clinical or Direct Client Service (BS, Peers, Case Mgmt, etc.)</t>
  </si>
  <si>
    <t>Interest - Building</t>
  </si>
  <si>
    <t>OTHER UNALLOWABLE EXPENSE</t>
  </si>
  <si>
    <t>Interest</t>
  </si>
  <si>
    <t>Other Unallowable</t>
  </si>
  <si>
    <t>Other Unallowable Total</t>
  </si>
  <si>
    <t>Total Expense per Audited Financial Statements</t>
  </si>
  <si>
    <t>Lobbying, Professional Membership Dues</t>
  </si>
  <si>
    <t>Donated Supplies, Services, Space - Given to Others</t>
  </si>
  <si>
    <t>In-Kind Services and Donations Received</t>
  </si>
  <si>
    <t>Summary Expense by Service Group</t>
  </si>
  <si>
    <t>Number of Clients Served*</t>
  </si>
  <si>
    <t>* Client count can be duplicated across programs for purposes of completing this column.</t>
  </si>
  <si>
    <t>Client Medications</t>
  </si>
  <si>
    <t>Utilities</t>
  </si>
  <si>
    <t>Facility and Grounds Maintenance</t>
  </si>
  <si>
    <t>Property Insurance</t>
  </si>
  <si>
    <t>Other Insurance</t>
  </si>
  <si>
    <t>Psychotherapy complex interactive</t>
  </si>
  <si>
    <t>Psychiatric diagnostic evaluation</t>
  </si>
  <si>
    <t>Psychiatric diagnostic evaluation w/ medical services</t>
  </si>
  <si>
    <t>Psychotherapy patient &amp; fam w/ evaluation and management 30 min</t>
  </si>
  <si>
    <t>Psychotherapy patient &amp; family 45 minutes</t>
  </si>
  <si>
    <t>Psychotherapy patient &amp; family 60 minutes</t>
  </si>
  <si>
    <t>Psychotherapy patient &amp; amp;/family 30 minutes</t>
  </si>
  <si>
    <t>Psychotherapy patient &amp; fam w/ evaluation and management 45 min</t>
  </si>
  <si>
    <t>Psychotherapy patient &amp; fam w/ evaluation and management 60 min</t>
  </si>
  <si>
    <t>Psychotherapy crisis - each additional 30 min</t>
  </si>
  <si>
    <t>Psychotherapy crisis - initial 60 min</t>
  </si>
  <si>
    <t>Interpretation/Explanation Results, Psychiatric/Medical Exam/Proc w/Family</t>
  </si>
  <si>
    <t>Psychological/neuropsychological test auto result</t>
  </si>
  <si>
    <t xml:space="preserve">Neuropsychological testing evaluation phys/qhp - 1st </t>
  </si>
  <si>
    <t xml:space="preserve">Neuropsychological testing evaluation phys/qhp - each additional </t>
  </si>
  <si>
    <t xml:space="preserve">Psychological/neuropsychological test phy/qhp - 1st </t>
  </si>
  <si>
    <t xml:space="preserve">Psychological/neuropsychological test phy/qhp - each additional </t>
  </si>
  <si>
    <t xml:space="preserve">Psychological/neuropsychological test technician - 1st </t>
  </si>
  <si>
    <t xml:space="preserve">Psychological/neuropsychological test technician - each additional </t>
  </si>
  <si>
    <t>Psychological testing evaluation phys/qhp - 1st</t>
  </si>
  <si>
    <t>Psychological testing evaluation phys/qhp - each additional</t>
  </si>
  <si>
    <t>Neurobehavioral status exam phy/qhp - each additional</t>
  </si>
  <si>
    <t xml:space="preserve">Neurobehavioral status exam </t>
  </si>
  <si>
    <t>Non-physician health care professional phone call 5-10 min</t>
  </si>
  <si>
    <t>Non-physician health care professional phone call 11-20 min</t>
  </si>
  <si>
    <t>Non-physician health care professional phone call 21-30 min</t>
  </si>
  <si>
    <t>Office or other outpatient visit for the evaluation and management of an established patient that may not require the presence of a physician or other qualified health care professional</t>
  </si>
  <si>
    <t>Hospital Discharge Day Management - 30 Minutes</t>
  </si>
  <si>
    <t>Office consultation - 30 minutes</t>
  </si>
  <si>
    <t>Office consultation - 40 minutes</t>
  </si>
  <si>
    <t>Office consultation - 60 minutes</t>
  </si>
  <si>
    <t>Office consultation - 80 minutes</t>
  </si>
  <si>
    <t>Initial Inpatient Consultation - 40 Minutes</t>
  </si>
  <si>
    <t>Initial Inpatient Consultation - 55 Minutes</t>
  </si>
  <si>
    <t>Initial Inpatient Consultation - 80 Minutes</t>
  </si>
  <si>
    <t>Initial inpatient consultation - 110 minutes.</t>
  </si>
  <si>
    <t>Emergency Dept: req. history, exam, med decision making</t>
  </si>
  <si>
    <t>Emergency Dept: req. exp. history, exp. exam, low complexity</t>
  </si>
  <si>
    <t>Emergency Dept: req. exp. history, exp. exam, moderate complexity</t>
  </si>
  <si>
    <t>Emergency Dept: req. detailed history, exam, moderate complexity</t>
  </si>
  <si>
    <t>Emergency Dept.: req. comp. history, exam, high complexity</t>
  </si>
  <si>
    <t>Observation or inpatient hospital care, patient admitted and discharged on same date of service - 40 minutes</t>
  </si>
  <si>
    <t>Observation or inpatient hospital care, patient admitted and discharged on same date of service - 50 minutes</t>
  </si>
  <si>
    <t>Observation or inpatient hospital care, patient admitted and discharged on same date of service - 55 minutes</t>
  </si>
  <si>
    <t>Initial nursing facility care/per day - 25 min at bedside or on patient floor/unit</t>
  </si>
  <si>
    <t>Initial nursing facility care/per day - 35 min at bedside or on patient floor/unit</t>
  </si>
  <si>
    <t>Initial nursing facility care/per day - 45 min at bedside or on patient floor/unit</t>
  </si>
  <si>
    <t>Subsequent nursing facility care/per day - 10 min at bedside or on patient floor/unit</t>
  </si>
  <si>
    <t>Subsequent nursing facility care/per day - 15 min at bedside or on patient floor/unit</t>
  </si>
  <si>
    <t>Subsequent nursing facility care/per day - 25 min at bedside or on patient floor/unit</t>
  </si>
  <si>
    <t>Subsequent nursing facility care/per day - 35 min at bedside or on patient floor/unit</t>
  </si>
  <si>
    <t>Nursing facility discharge day management - 30 minutes or less</t>
  </si>
  <si>
    <t>Home visit, new patient - 20 minutes</t>
  </si>
  <si>
    <t>Home visit, new patient - 30 minutes</t>
  </si>
  <si>
    <t>Home visit, new patient - 60 minutes</t>
  </si>
  <si>
    <t>Home visit, new patient - 75 minutes</t>
  </si>
  <si>
    <t>Home visit, established patient - 15 minutes</t>
  </si>
  <si>
    <t>Home visit, established patient - 25 minutes</t>
  </si>
  <si>
    <t>Home visit, established patient - 40 minutes</t>
  </si>
  <si>
    <t>Home visit, established patient - 60 minutes</t>
  </si>
  <si>
    <t xml:space="preserve">Team conference w/ patient by non-physician health care professional </t>
  </si>
  <si>
    <t>Team conference w/out patient by physician</t>
  </si>
  <si>
    <t xml:space="preserve">Team conference w/out patient by non-physician health care professional </t>
  </si>
  <si>
    <t>Phone evaluation and management by physician - 5-10 min</t>
  </si>
  <si>
    <t>Phone evaluation and management by physician - 11-20 min</t>
  </si>
  <si>
    <t>Phone evaluation and management by physician - 21-30 min</t>
  </si>
  <si>
    <t>Activity therapy, such as music, dance, art or play therapies not for recreation, related to the care; treatment of patients disabling MH problems, per session - 45 min or more</t>
  </si>
  <si>
    <t>Training and educational services related to the care and treatment of patient disabling mental health problems per session - 45 minutes or more</t>
  </si>
  <si>
    <t>Behavioral health screening to determine eligibility for admit to treatment program</t>
  </si>
  <si>
    <t>ASAM 3.2 withdrawal management - alcohol and/or drug services, acute detox (residential addiction program inpatient)</t>
  </si>
  <si>
    <t>AMAM 3.7 withdrawal management - alcohol and/or drug services; acute detoxification (residential addiction program inpatient)</t>
  </si>
  <si>
    <t>Substance use intensive outpatient program</t>
  </si>
  <si>
    <t>Alcohol and/or drug services; methadone administration and/or service (provisions of the drug by a licensed program)</t>
  </si>
  <si>
    <t>Alcohol and/or drug outreach - Drop In Center</t>
  </si>
  <si>
    <t>Alcohol and/or drug outreach - Outreach Only</t>
  </si>
  <si>
    <t>Behavioral health treatment service plan development, by non-physician</t>
  </si>
  <si>
    <t>Mental health assessment, by non-physician</t>
  </si>
  <si>
    <t>Medication training and support - per 15 min</t>
  </si>
  <si>
    <t>Mental health partial hospitalization, treatment - less than 24 hours</t>
  </si>
  <si>
    <t>Community Psychiatric Supportive Treatment Program - Per Diem</t>
  </si>
  <si>
    <t>Community Psychiatric Supportive Treatment, Face-Face - Per 15min</t>
  </si>
  <si>
    <t>Assertive Community Treatment, Face-Face - 15min</t>
  </si>
  <si>
    <t>Assertive Community Treatment Program - Per Diem</t>
  </si>
  <si>
    <t>Supported Housing - Per Diem</t>
  </si>
  <si>
    <t>Supported Housing - Per Month</t>
  </si>
  <si>
    <t>Respite Not-In-Home - Per Diem</t>
  </si>
  <si>
    <t>Alcohol and/or other drug abuse services - not otherwise specified</t>
  </si>
  <si>
    <t>Alcohol and/or other drug testing - collection and handling only</t>
  </si>
  <si>
    <t>Comprehensive Multidisciplinary Evaluation</t>
  </si>
  <si>
    <t>Rehabilitation Program - per 1/2 day</t>
  </si>
  <si>
    <t xml:space="preserve">Crisis Intervention Service - 15 min </t>
  </si>
  <si>
    <t xml:space="preserve">Behavioral Health Day Treatment - Per Hour </t>
  </si>
  <si>
    <t>Skills training and development - 15 Min</t>
  </si>
  <si>
    <t>Comprehensive community support services - 15 Min</t>
  </si>
  <si>
    <t>Community-based wrap-around services - per diem</t>
  </si>
  <si>
    <t>Community-based wrap-around services - 15 min</t>
  </si>
  <si>
    <t>Psychosocial rehabilitation services - 15 Min</t>
  </si>
  <si>
    <t>Psychosocial rehabilitation services - per diem</t>
  </si>
  <si>
    <t>Comprehensive community support services - per diem</t>
  </si>
  <si>
    <t>Supported Employment - Per 15 Min</t>
  </si>
  <si>
    <t>Supported Employment - Per Diem</t>
  </si>
  <si>
    <t>Support to Maintain Employment - 15 Min</t>
  </si>
  <si>
    <t>Support to Maintain Employment - Per Diem</t>
  </si>
  <si>
    <t>Psychoeducational services - 15 Min</t>
  </si>
  <si>
    <t>Mental health clubhouse services - 15 Min</t>
  </si>
  <si>
    <t>Mental health clubhouse services - Per Diem</t>
  </si>
  <si>
    <t>Activity Therapy - Per 15 Min</t>
  </si>
  <si>
    <t>Multisystemic therapy for juveniles - 15 min</t>
  </si>
  <si>
    <t>Alcohol and/or drug treatment program - Per Diem</t>
  </si>
  <si>
    <t xml:space="preserve">Unskilled Respite Care - 15m </t>
  </si>
  <si>
    <t>Unskilled Respite Care - Per Diem</t>
  </si>
  <si>
    <t>Stress Management Class</t>
  </si>
  <si>
    <t>Intensive outpatient psychiatric services - per diem</t>
  </si>
  <si>
    <t>Crisis intervention mental health services - Per Diem</t>
  </si>
  <si>
    <t>Respite Care Service - 15 Min</t>
  </si>
  <si>
    <t xml:space="preserve">Case Management - Each 15 Minutes </t>
  </si>
  <si>
    <t>Inpatient Hospital</t>
  </si>
  <si>
    <t xml:space="preserve">TRCCF </t>
  </si>
  <si>
    <t>License Type</t>
  </si>
  <si>
    <t>H2036 3.7</t>
  </si>
  <si>
    <t>H2036 3.5</t>
  </si>
  <si>
    <t>H2036 3.1</t>
  </si>
  <si>
    <t xml:space="preserve">
Bed Capacity</t>
  </si>
  <si>
    <t>H0010 3.2</t>
  </si>
  <si>
    <t>H0011 3.7</t>
  </si>
  <si>
    <t>H2036 3.3</t>
  </si>
  <si>
    <t>Schedule 4 Total Units</t>
  </si>
  <si>
    <t>Total 
Census Days</t>
  </si>
  <si>
    <t>a</t>
  </si>
  <si>
    <t>b</t>
  </si>
  <si>
    <t>c</t>
  </si>
  <si>
    <t>H0010 3.2 WM</t>
  </si>
  <si>
    <t>H0011 3.7 WM</t>
  </si>
  <si>
    <t>Other Client</t>
  </si>
  <si>
    <t>Non-Clinical 
Role FTE</t>
  </si>
  <si>
    <t>Days Open During Period</t>
  </si>
  <si>
    <t>N/A - Apartments</t>
  </si>
  <si>
    <t>Apartments</t>
  </si>
  <si>
    <t>Number of Months in Role During Reporting Period</t>
  </si>
  <si>
    <t xml:space="preserve">Clinical, Licensed Physicians  </t>
  </si>
  <si>
    <t>Partner Organizations</t>
  </si>
  <si>
    <t>Total consultative and educational svcs expense (A + B)</t>
  </si>
  <si>
    <t>Total outpatient services expense (A + B)</t>
  </si>
  <si>
    <t>Total partial hospitalization services expense (A + B)</t>
  </si>
  <si>
    <t>Total emergency services expense (A + B)</t>
  </si>
  <si>
    <t>Type of Facility, Endorsement, or Service</t>
  </si>
  <si>
    <t>RSSO</t>
  </si>
  <si>
    <t>CSL</t>
  </si>
  <si>
    <t>BHE</t>
  </si>
  <si>
    <t>ALR - Assisted Living Residence</t>
  </si>
  <si>
    <t>BHE - Behavioral Health Entity</t>
  </si>
  <si>
    <t>CSL - Controlled Substance License</t>
  </si>
  <si>
    <t>SUD - Substance Use Disorder</t>
  </si>
  <si>
    <t>PRTF - Psychiatric Residential Treatment Facility</t>
  </si>
  <si>
    <t>RSSO - Recovery Support Services Organization</t>
  </si>
  <si>
    <t>RCCF - Residential Child Care Facility</t>
  </si>
  <si>
    <t>TRCCF - Therapeutic Residential Child Care Facility</t>
  </si>
  <si>
    <t>Acronyms Used Above</t>
  </si>
  <si>
    <t>ATU - Acute Treatment Unit</t>
  </si>
  <si>
    <t>CSU - Crisis Stabilization Unit</t>
  </si>
  <si>
    <t>Inpatient and Residential Services</t>
  </si>
  <si>
    <t>Identify all facilities at which inpatient and residential programs are provided. Facilities that serve multiple types of programs, services, or endorsements should be separated by such into individual lines below. For example, if Facility A houses the ATU and CSU programs, then Facility A should be reported twice below, and the census days and costs for each program should be discreetly identified and separated between lines accordingly.</t>
  </si>
  <si>
    <t>T2031</t>
  </si>
  <si>
    <t>Withdrawal Mgmt</t>
  </si>
  <si>
    <t>Rebalanced Non-Facility RVU Weight</t>
  </si>
  <si>
    <t>Rebalanced Facility RVU Weight</t>
  </si>
  <si>
    <r>
      <t xml:space="preserve">ENCOUNTER-BASED SERVICES </t>
    </r>
    <r>
      <rPr>
        <b/>
        <i/>
        <sz val="11"/>
        <rFont val="Calibri"/>
        <family val="2"/>
        <scheme val="minor"/>
      </rPr>
      <t>with</t>
    </r>
    <r>
      <rPr>
        <b/>
        <sz val="11"/>
        <rFont val="Calibri"/>
        <family val="2"/>
        <scheme val="minor"/>
      </rPr>
      <t xml:space="preserve"> RVU WEIGHTS and ALL INTEGRATION SERVICES
(Schedule 2)</t>
    </r>
  </si>
  <si>
    <r>
      <t xml:space="preserve">OTHER ENCOUNTER-BASED SERVICES </t>
    </r>
    <r>
      <rPr>
        <b/>
        <i/>
        <sz val="11"/>
        <rFont val="Calibri"/>
        <family val="2"/>
        <scheme val="minor"/>
      </rPr>
      <t>without</t>
    </r>
    <r>
      <rPr>
        <b/>
        <sz val="11"/>
        <rFont val="Calibri"/>
        <family val="2"/>
        <scheme val="minor"/>
      </rPr>
      <t xml:space="preserve"> RVU WEIGHTS and OTHER NON-ENCOUNTER-BASED SERVICES
(Schedule 2)</t>
    </r>
  </si>
  <si>
    <t>CLIENT COSTS</t>
  </si>
  <si>
    <t>Identify employees with the five largest non-clinical direct salary amounts (wages and bonus) exceeding the limit during the cost report period. If an employee serves a dual role providing clinical and non-clinical functions, the limitation is only applicable to the non-clinical portion of the employee's direct salary. For example, a CEO with a $500,000 direct salary who spends 40% of their time serving in a non-clinical role would have the limit applied to $200,000 of their direct salary; the non-clinical percent is identified as full time equivalent (FTE) below for informational purposes.</t>
  </si>
  <si>
    <t>Non-Clinical 
Salary and Bonus 
During Period</t>
  </si>
  <si>
    <t>Unallowable Excess Non-Clinical Salary Above Limit</t>
  </si>
  <si>
    <r>
      <t xml:space="preserve">Indirect Cost 
</t>
    </r>
    <r>
      <rPr>
        <sz val="8"/>
        <rFont val="Calibri"/>
        <family val="2"/>
        <scheme val="minor"/>
      </rPr>
      <t>(Direct Cost x Sch 1 Indirect Cost Rate</t>
    </r>
    <r>
      <rPr>
        <b/>
        <sz val="8"/>
        <rFont val="Calibri"/>
        <family val="2"/>
        <scheme val="minor"/>
      </rPr>
      <t>)</t>
    </r>
  </si>
  <si>
    <r>
      <t xml:space="preserve">Facility 
Open Date 
</t>
    </r>
    <r>
      <rPr>
        <b/>
        <sz val="8"/>
        <rFont val="Calibri"/>
        <family val="2"/>
        <scheme val="minor"/>
      </rPr>
      <t>(leave blank if opened prior to reporting period)</t>
    </r>
  </si>
  <si>
    <r>
      <t xml:space="preserve">Facility 
Close Date 
</t>
    </r>
    <r>
      <rPr>
        <b/>
        <sz val="8"/>
        <rFont val="Calibri"/>
        <family val="2"/>
        <scheme val="minor"/>
      </rPr>
      <t>(leave blank if still open at end of period)</t>
    </r>
  </si>
  <si>
    <r>
      <t xml:space="preserve">Procedure Code </t>
    </r>
    <r>
      <rPr>
        <b/>
        <sz val="9"/>
        <rFont val="Calibri"/>
        <family val="2"/>
        <scheme val="minor"/>
      </rPr>
      <t>(and ASAM if applicable)</t>
    </r>
  </si>
  <si>
    <t>Summary of Results</t>
  </si>
  <si>
    <t>Proposed Adjustments</t>
  </si>
  <si>
    <t>Final Adjustments</t>
  </si>
  <si>
    <t xml:space="preserve"> </t>
  </si>
  <si>
    <t>Final Adjusted</t>
  </si>
  <si>
    <t>As-Filed</t>
  </si>
  <si>
    <t>Change</t>
  </si>
  <si>
    <t>Expense and Statistics Totals</t>
  </si>
  <si>
    <t>Schedule 1 - Total Expenses</t>
  </si>
  <si>
    <t>Schedule 1A - Total Unallowable Excess Direct Salary Expense</t>
  </si>
  <si>
    <t>Schedule 1C - Total Unallowable Excess Related Party Expense</t>
  </si>
  <si>
    <t>Schedule 2A - Total Emergency Services Expense</t>
  </si>
  <si>
    <t>Schedule 2B - Total Consultative and Educational Services Expense</t>
  </si>
  <si>
    <t>Schedule 2C - Total Outpatient Services Expense</t>
  </si>
  <si>
    <t>Schedule 2D - Total Partial Hospitalization Services Expense</t>
  </si>
  <si>
    <t>Schedule 3 - Total Census Days</t>
  </si>
  <si>
    <t>Schedule 3 - Total Inpatient and Residential Facilities Expenses</t>
  </si>
  <si>
    <t>Schedule 4 - Total Non-Facility Units</t>
  </si>
  <si>
    <t>Schedule 4 - Total Facility Units</t>
  </si>
  <si>
    <t>Base Unit Cost Calculation</t>
  </si>
  <si>
    <r>
      <rPr>
        <b/>
        <sz val="11"/>
        <color theme="1"/>
        <rFont val="Calibri"/>
        <family val="2"/>
        <scheme val="minor"/>
      </rPr>
      <t>A:</t>
    </r>
    <r>
      <rPr>
        <sz val="11"/>
        <color theme="1"/>
        <rFont val="Calibri"/>
        <family val="2"/>
        <scheme val="minor"/>
      </rPr>
      <t xml:space="preserve"> Schedule 1 - Encounter-Based Services with RVU Weights and All Integration Services Expense</t>
    </r>
  </si>
  <si>
    <r>
      <rPr>
        <b/>
        <sz val="11"/>
        <rFont val="Calibri"/>
        <family val="2"/>
        <scheme val="minor"/>
      </rPr>
      <t xml:space="preserve">B: </t>
    </r>
    <r>
      <rPr>
        <sz val="11"/>
        <rFont val="Calibri"/>
        <family val="2"/>
        <scheme val="minor"/>
      </rPr>
      <t>Schedule 4 - Non-RVU Integration Services Revenue</t>
    </r>
  </si>
  <si>
    <r>
      <rPr>
        <b/>
        <sz val="11"/>
        <color theme="1"/>
        <rFont val="Calibri"/>
        <family val="2"/>
        <scheme val="minor"/>
      </rPr>
      <t xml:space="preserve">C: </t>
    </r>
    <r>
      <rPr>
        <sz val="11"/>
        <color theme="1"/>
        <rFont val="Calibri"/>
        <family val="2"/>
        <scheme val="minor"/>
      </rPr>
      <t>Schedule 4 - Non-Facility RVUs</t>
    </r>
  </si>
  <si>
    <r>
      <rPr>
        <b/>
        <sz val="11"/>
        <color theme="1"/>
        <rFont val="Calibri"/>
        <family val="2"/>
        <scheme val="minor"/>
      </rPr>
      <t>D:</t>
    </r>
    <r>
      <rPr>
        <sz val="11"/>
        <color theme="1"/>
        <rFont val="Calibri"/>
        <family val="2"/>
        <scheme val="minor"/>
      </rPr>
      <t xml:space="preserve"> Schedule 4 - Facility RVUs</t>
    </r>
  </si>
  <si>
    <t>Schedule 4 - Base Unit Cost Calculation (A-B)/(C+D)</t>
  </si>
  <si>
    <t>Per Diem Calculations</t>
  </si>
  <si>
    <t>Facility 1</t>
  </si>
  <si>
    <t>Facility 2</t>
  </si>
  <si>
    <t>Facility 3</t>
  </si>
  <si>
    <t>Facility 4</t>
  </si>
  <si>
    <t>Facility 5</t>
  </si>
  <si>
    <t>Facility 6</t>
  </si>
  <si>
    <t>Facility 7</t>
  </si>
  <si>
    <t>Facility 8</t>
  </si>
  <si>
    <t>Facility 9</t>
  </si>
  <si>
    <t>Facility 10</t>
  </si>
  <si>
    <t>Facility 11</t>
  </si>
  <si>
    <t>Facility 12</t>
  </si>
  <si>
    <t>Facility 13</t>
  </si>
  <si>
    <t>Facility 14</t>
  </si>
  <si>
    <t>Facility 15</t>
  </si>
  <si>
    <t>Facility 16</t>
  </si>
  <si>
    <t>Facility 17</t>
  </si>
  <si>
    <t>Facility 18</t>
  </si>
  <si>
    <t>Facility 19</t>
  </si>
  <si>
    <t>Facility 20</t>
  </si>
  <si>
    <t>Facility 21</t>
  </si>
  <si>
    <t>Facility 22</t>
  </si>
  <si>
    <t>Facility 23</t>
  </si>
  <si>
    <t>Facility 24</t>
  </si>
  <si>
    <t>Facility 25</t>
  </si>
  <si>
    <t>Facility 26</t>
  </si>
  <si>
    <t>Facility 27</t>
  </si>
  <si>
    <t>Facility 28</t>
  </si>
  <si>
    <t>Facility 29</t>
  </si>
  <si>
    <t>Facility 30</t>
  </si>
  <si>
    <r>
      <t>Adjustments to</t>
    </r>
    <r>
      <rPr>
        <b/>
        <sz val="16"/>
        <rFont val="Calibri"/>
        <family val="2"/>
        <scheme val="minor"/>
      </rPr>
      <t xml:space="preserve"> Schedule 1: Expenses</t>
    </r>
  </si>
  <si>
    <t>1 - Adjustments</t>
  </si>
  <si>
    <t>1 - Adjusted</t>
  </si>
  <si>
    <t>Adjustments 
FULL-TIME EQV 
(FTEs)</t>
  </si>
  <si>
    <t>Adjusted 
FULL-TIME EQV 
(FTEs)</t>
  </si>
  <si>
    <t>2 - Adjustments</t>
  </si>
  <si>
    <t>2 - Adjusted</t>
  </si>
  <si>
    <t>Adjustments
INDIRECT 
(not traceable to direct cost center)</t>
  </si>
  <si>
    <t>Adjusted 
INDIRECT 
(not traceable to direct cost center)</t>
  </si>
  <si>
    <t>3 - Adjustments</t>
  </si>
  <si>
    <t>3 - Adjusted</t>
  </si>
  <si>
    <r>
      <t xml:space="preserve">Adjustments
ENCOUNTER-BASED SERVICES </t>
    </r>
    <r>
      <rPr>
        <b/>
        <i/>
        <sz val="11"/>
        <color rgb="FF0000FF"/>
        <rFont val="Calibri"/>
        <family val="2"/>
        <scheme val="minor"/>
      </rPr>
      <t>with</t>
    </r>
    <r>
      <rPr>
        <b/>
        <sz val="11"/>
        <color rgb="FF0000FF"/>
        <rFont val="Calibri"/>
        <family val="2"/>
        <scheme val="minor"/>
      </rPr>
      <t xml:space="preserve"> RVU WEIGHTS and ALL INTEGRATION SERVICES
(Schedule 2)</t>
    </r>
  </si>
  <si>
    <r>
      <t xml:space="preserve">Adjusted 
ENCOUNTER-BASED SERVICES </t>
    </r>
    <r>
      <rPr>
        <b/>
        <i/>
        <sz val="11"/>
        <color rgb="FFFF0000"/>
        <rFont val="Calibri"/>
        <family val="2"/>
        <scheme val="minor"/>
      </rPr>
      <t>with</t>
    </r>
    <r>
      <rPr>
        <b/>
        <sz val="11"/>
        <color rgb="FFFF0000"/>
        <rFont val="Calibri"/>
        <family val="2"/>
        <scheme val="minor"/>
      </rPr>
      <t xml:space="preserve"> RVU WEIGHTS and ALL INTEGRATION SERVICES
(Schedule 2)</t>
    </r>
  </si>
  <si>
    <t>4 - Adjustments</t>
  </si>
  <si>
    <t>4 - Adjusted</t>
  </si>
  <si>
    <t>5 - Adjustments</t>
  </si>
  <si>
    <t>5 - Adjusted</t>
  </si>
  <si>
    <r>
      <t xml:space="preserve">Adjustments 
OTHER ENCOUNTER-BASED SERVICES </t>
    </r>
    <r>
      <rPr>
        <b/>
        <i/>
        <sz val="11"/>
        <color rgb="FF0000FF"/>
        <rFont val="Calibri"/>
        <family val="2"/>
        <scheme val="minor"/>
      </rPr>
      <t>without</t>
    </r>
    <r>
      <rPr>
        <b/>
        <sz val="11"/>
        <color rgb="FF0000FF"/>
        <rFont val="Calibri"/>
        <family val="2"/>
        <scheme val="minor"/>
      </rPr>
      <t xml:space="preserve"> RVU WEIGHTS and OTHER NON-ENCOUNTER-BASED SERVICES
(Schedule 2)</t>
    </r>
  </si>
  <si>
    <r>
      <t xml:space="preserve">Adjusted 
OTHER ENCOUNTER-BASED SERVICES </t>
    </r>
    <r>
      <rPr>
        <b/>
        <i/>
        <sz val="11"/>
        <color rgb="FFFF0000"/>
        <rFont val="Calibri"/>
        <family val="2"/>
        <scheme val="minor"/>
      </rPr>
      <t>without</t>
    </r>
    <r>
      <rPr>
        <b/>
        <sz val="11"/>
        <color rgb="FFFF0000"/>
        <rFont val="Calibri"/>
        <family val="2"/>
        <scheme val="minor"/>
      </rPr>
      <t xml:space="preserve"> RVU WEIGHTS and OTHER NON-ENCOUNTER-BASED SERVICES
(Schedule 2)</t>
    </r>
  </si>
  <si>
    <t>6 - Adjustments</t>
  </si>
  <si>
    <t>6 - Adjusted</t>
  </si>
  <si>
    <t>Adjustments 
UNALLOWABLE</t>
  </si>
  <si>
    <t>Adjusted 
UNALLOWABLE</t>
  </si>
  <si>
    <t>7 - Adjustments</t>
  </si>
  <si>
    <t>7 - Adjusted</t>
  </si>
  <si>
    <t>Adjustments 
TOTAL</t>
  </si>
  <si>
    <t>Adjusted 
TOTAL</t>
  </si>
  <si>
    <t>SCHEDULE 1</t>
  </si>
  <si>
    <t>Adjustment</t>
  </si>
  <si>
    <t>Number</t>
  </si>
  <si>
    <t>Amount</t>
  </si>
  <si>
    <t>Schedule</t>
  </si>
  <si>
    <t>Column</t>
  </si>
  <si>
    <t>Line</t>
  </si>
  <si>
    <t>Reference</t>
  </si>
  <si>
    <t>SCHEDULE 1A</t>
  </si>
  <si>
    <t>SCHEDULE 1C</t>
  </si>
  <si>
    <t>SCHEDULE 2 SERIES (ALL SCHEDULES)</t>
  </si>
  <si>
    <t xml:space="preserve">SCHEDULE 3 </t>
  </si>
  <si>
    <t xml:space="preserve">SCHEDULE 4 </t>
  </si>
  <si>
    <r>
      <t>Nature of 
Related Party Expense</t>
    </r>
    <r>
      <rPr>
        <b/>
        <sz val="11"/>
        <color rgb="FFFF0000"/>
        <rFont val="Calibri"/>
        <family val="2"/>
        <scheme val="minor"/>
      </rPr>
      <t>*</t>
    </r>
  </si>
  <si>
    <t>Adjusted
Related Party:
Actual Cost Incurred</t>
  </si>
  <si>
    <t>Actual Limit</t>
  </si>
  <si>
    <t>As-Filed Limit</t>
  </si>
  <si>
    <t>Adjusted
Unallowable Excess Non-Clinical Salary Above Limit</t>
  </si>
  <si>
    <t>Adjusted</t>
  </si>
  <si>
    <r>
      <t xml:space="preserve">Adjustments to </t>
    </r>
    <r>
      <rPr>
        <b/>
        <sz val="16"/>
        <rFont val="Calibri"/>
        <family val="2"/>
        <scheme val="minor"/>
      </rPr>
      <t>Schedule 1A: Non-Clinical Direct Salary Limit</t>
    </r>
  </si>
  <si>
    <t>* red values are revised from as-filed</t>
  </si>
  <si>
    <r>
      <t xml:space="preserve">Job Title </t>
    </r>
    <r>
      <rPr>
        <b/>
        <sz val="11"/>
        <color rgb="FFFF0000"/>
        <rFont val="Calibri"/>
        <family val="2"/>
        <scheme val="minor"/>
      </rPr>
      <t>*</t>
    </r>
  </si>
  <si>
    <r>
      <t xml:space="preserve">Schedule 1 
Column </t>
    </r>
    <r>
      <rPr>
        <b/>
        <sz val="11"/>
        <color rgb="FFFF0000"/>
        <rFont val="Calibri"/>
        <family val="2"/>
        <scheme val="minor"/>
      </rPr>
      <t>*</t>
    </r>
  </si>
  <si>
    <t>Adjustments
Non-Clinical 
Salary and Bonus 
During Period</t>
  </si>
  <si>
    <t>Adjusted
Non-Clinical 
Salary and Bonus 
During Period</t>
  </si>
  <si>
    <r>
      <t xml:space="preserve">Number of Months in Role During Reporting Period </t>
    </r>
    <r>
      <rPr>
        <b/>
        <sz val="11"/>
        <color rgb="FFFF0000"/>
        <rFont val="Calibri"/>
        <family val="2"/>
        <scheme val="minor"/>
      </rPr>
      <t>*</t>
    </r>
  </si>
  <si>
    <r>
      <t xml:space="preserve">Non-Clinical 
Role FTE </t>
    </r>
    <r>
      <rPr>
        <b/>
        <sz val="11"/>
        <color rgb="FFFF0000"/>
        <rFont val="Calibri"/>
        <family val="2"/>
        <scheme val="minor"/>
      </rPr>
      <t>*</t>
    </r>
  </si>
  <si>
    <t>Adjustments
Related Party:
Actual Cost Incurred</t>
  </si>
  <si>
    <r>
      <t xml:space="preserve">Nature of 
Related Party Expense </t>
    </r>
    <r>
      <rPr>
        <b/>
        <sz val="11"/>
        <color rgb="FFFF0000"/>
        <rFont val="Calibri"/>
        <family val="2"/>
        <scheme val="minor"/>
      </rPr>
      <t>*</t>
    </r>
  </si>
  <si>
    <r>
      <t xml:space="preserve">Account Number(s) 
and/or Program(s) </t>
    </r>
    <r>
      <rPr>
        <b/>
        <sz val="11"/>
        <color rgb="FFFF0000"/>
        <rFont val="Calibri"/>
        <family val="2"/>
        <scheme val="minor"/>
      </rPr>
      <t>*</t>
    </r>
  </si>
  <si>
    <r>
      <t xml:space="preserve">Related Vendor, 
Individual, or Organization </t>
    </r>
    <r>
      <rPr>
        <b/>
        <sz val="11"/>
        <color rgb="FFFF0000"/>
        <rFont val="Calibri"/>
        <family val="2"/>
        <scheme val="minor"/>
      </rPr>
      <t>*</t>
    </r>
  </si>
  <si>
    <t>Adjustments
Direct 
Cost</t>
  </si>
  <si>
    <t>Adjusted
Direct 
Cost</t>
  </si>
  <si>
    <r>
      <t xml:space="preserve">Are emergency services provided? </t>
    </r>
    <r>
      <rPr>
        <b/>
        <sz val="11"/>
        <color rgb="FFFF0000"/>
        <rFont val="Calibri"/>
        <family val="2"/>
        <scheme val="minor"/>
      </rPr>
      <t>*</t>
    </r>
  </si>
  <si>
    <r>
      <t xml:space="preserve">Program/Grant/Team </t>
    </r>
    <r>
      <rPr>
        <b/>
        <sz val="11"/>
        <color rgb="FFFF0000"/>
        <rFont val="Calibri"/>
        <family val="2"/>
        <scheme val="minor"/>
      </rPr>
      <t>*</t>
    </r>
  </si>
  <si>
    <r>
      <t xml:space="preserve">Adjusted
Indirect Cost 
</t>
    </r>
    <r>
      <rPr>
        <sz val="8"/>
        <color rgb="FFFF0000"/>
        <rFont val="Calibri"/>
        <family val="2"/>
        <scheme val="minor"/>
      </rPr>
      <t>(Direct Cost x Sch 1 Indirect Cost Rate</t>
    </r>
    <r>
      <rPr>
        <b/>
        <sz val="8"/>
        <color rgb="FFFF0000"/>
        <rFont val="Calibri"/>
        <family val="2"/>
        <scheme val="minor"/>
      </rPr>
      <t>)</t>
    </r>
  </si>
  <si>
    <t xml:space="preserve">4 - Adjusted </t>
  </si>
  <si>
    <t xml:space="preserve">Adjusted
Total Cost </t>
  </si>
  <si>
    <t>8 - Adjustments</t>
  </si>
  <si>
    <t>8 - Adjusted</t>
  </si>
  <si>
    <t>9 - Adjustments</t>
  </si>
  <si>
    <t>9 - Adjusted</t>
  </si>
  <si>
    <t>Adjustments
FTEs</t>
  </si>
  <si>
    <t>Adjusted
FTEs</t>
  </si>
  <si>
    <t>Adjustments
Number of Clients Served</t>
  </si>
  <si>
    <t>Adjusted
Number of Clients Served</t>
  </si>
  <si>
    <r>
      <t xml:space="preserve">Are consultative and educational services provided? </t>
    </r>
    <r>
      <rPr>
        <b/>
        <sz val="11"/>
        <color rgb="FFFF0000"/>
        <rFont val="Calibri"/>
        <family val="2"/>
        <scheme val="minor"/>
      </rPr>
      <t>*</t>
    </r>
  </si>
  <si>
    <t>Number of Clients Served</t>
  </si>
  <si>
    <t xml:space="preserve">2 - Adjusted </t>
  </si>
  <si>
    <r>
      <t xml:space="preserve">Are outpatient services provided? </t>
    </r>
    <r>
      <rPr>
        <b/>
        <sz val="11"/>
        <color rgb="FFFF0000"/>
        <rFont val="Calibri"/>
        <family val="2"/>
        <scheme val="minor"/>
      </rPr>
      <t>*</t>
    </r>
  </si>
  <si>
    <r>
      <t xml:space="preserve">Are partial hospitalization services provided? </t>
    </r>
    <r>
      <rPr>
        <b/>
        <sz val="11"/>
        <color rgb="FFFF0000"/>
        <rFont val="Calibri"/>
        <family val="2"/>
        <scheme val="minor"/>
      </rPr>
      <t>*</t>
    </r>
  </si>
  <si>
    <t xml:space="preserve">8 - Adjusted </t>
  </si>
  <si>
    <t>Adjustments
Number of Clients Served*</t>
  </si>
  <si>
    <t>Adjusted
Number of Clients Served*</t>
  </si>
  <si>
    <r>
      <t xml:space="preserve">Name of Facility </t>
    </r>
    <r>
      <rPr>
        <b/>
        <sz val="11"/>
        <color rgb="FFFF0000"/>
        <rFont val="Calibri"/>
        <family val="2"/>
        <scheme val="minor"/>
      </rPr>
      <t>*</t>
    </r>
  </si>
  <si>
    <r>
      <t xml:space="preserve">Type of Facility, Endorsement, or Service </t>
    </r>
    <r>
      <rPr>
        <b/>
        <sz val="11"/>
        <color rgb="FFFF0000"/>
        <rFont val="Calibri"/>
        <family val="2"/>
        <scheme val="minor"/>
      </rPr>
      <t>*</t>
    </r>
  </si>
  <si>
    <r>
      <t xml:space="preserve">License Type </t>
    </r>
    <r>
      <rPr>
        <b/>
        <sz val="11"/>
        <color rgb="FFFF0000"/>
        <rFont val="Calibri"/>
        <family val="2"/>
        <scheme val="minor"/>
      </rPr>
      <t>*</t>
    </r>
  </si>
  <si>
    <r>
      <t xml:space="preserve">
Bed Capacity </t>
    </r>
    <r>
      <rPr>
        <b/>
        <sz val="11"/>
        <color rgb="FFFF0000"/>
        <rFont val="Calibri"/>
        <family val="2"/>
        <scheme val="minor"/>
      </rPr>
      <t>*</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</si>
  <si>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 xml:space="preserve">(leave blank if opened prior to reporting period) </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</si>
  <si>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</si>
  <si>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r>
      <t xml:space="preserve">Procedure Code </t>
    </r>
    <r>
      <rPr>
        <b/>
        <sz val="9"/>
        <rFont val="Calibri"/>
        <family val="2"/>
        <scheme val="minor"/>
      </rPr>
      <t xml:space="preserve">(and ASAM if applicable) </t>
    </r>
    <r>
      <rPr>
        <b/>
        <sz val="9"/>
        <color rgb="FFFF0000"/>
        <rFont val="Calibri"/>
        <family val="2"/>
        <scheme val="minor"/>
      </rPr>
      <t>*</t>
    </r>
  </si>
  <si>
    <t>Adjustments
Census Days</t>
  </si>
  <si>
    <t>Adjusted
Census Days</t>
  </si>
  <si>
    <t>Adjusted
Utilization Rate</t>
  </si>
  <si>
    <t>11 - Adjustments</t>
  </si>
  <si>
    <t>Adjustments
Total Expense</t>
  </si>
  <si>
    <t>Adjusted
Total Expense</t>
  </si>
  <si>
    <t>11 - Adjusted</t>
  </si>
  <si>
    <t>12 - Adjusted</t>
  </si>
  <si>
    <t>Adjusted
Total Cost Per Day</t>
  </si>
  <si>
    <t>13 - Adjustments</t>
  </si>
  <si>
    <t>13 - Adjusted</t>
  </si>
  <si>
    <t>Adjustments
Room and Board Expense</t>
  </si>
  <si>
    <t>Adjusted
Room and Board Expense</t>
  </si>
  <si>
    <t>Adjusted
Room and Board Cost Per Day</t>
  </si>
  <si>
    <t>14 - Adjusted</t>
  </si>
  <si>
    <t>15 - Adjusted</t>
  </si>
  <si>
    <t>16 - Adjusted</t>
  </si>
  <si>
    <t>Adjusted
Services Expense (Total less Room and Board)</t>
  </si>
  <si>
    <t>Adjusted
Services Cost Per Day</t>
  </si>
  <si>
    <t>Adjusted
Total 
Census Days</t>
  </si>
  <si>
    <t>Adjusted
Schedule 4 Total Units</t>
  </si>
  <si>
    <t>Adjusted
Variance</t>
  </si>
  <si>
    <t>Adjustments
Non-Facility Units</t>
  </si>
  <si>
    <t>Adjusted
Non-Facility Units</t>
  </si>
  <si>
    <t>Adjusted
Non-Facility RVUs</t>
  </si>
  <si>
    <t>Adjusted
Cost per Non-Facility Unit of Service</t>
  </si>
  <si>
    <t>Adjustments
Facility Units</t>
  </si>
  <si>
    <t>Adjusted
Facility Units</t>
  </si>
  <si>
    <t>Adjusted
Facility RVUs</t>
  </si>
  <si>
    <t>Adjusted
Cost per Facility Unit of Service</t>
  </si>
  <si>
    <r>
      <rPr>
        <b/>
        <sz val="16"/>
        <color rgb="FFFF0000"/>
        <rFont val="Calibri"/>
        <family val="2"/>
        <scheme val="minor"/>
      </rPr>
      <t>Adjusted</t>
    </r>
    <r>
      <rPr>
        <b/>
        <sz val="16"/>
        <color rgb="FF0033CC"/>
        <rFont val="Calibri"/>
        <family val="2"/>
        <scheme val="minor"/>
      </rPr>
      <t xml:space="preserve"> </t>
    </r>
    <r>
      <rPr>
        <b/>
        <sz val="16"/>
        <rFont val="Calibri"/>
        <family val="2"/>
        <scheme val="minor"/>
      </rPr>
      <t>Schedule 1: Expenses</t>
    </r>
  </si>
  <si>
    <r>
      <rPr>
        <b/>
        <sz val="11"/>
        <color rgb="FFFF0000"/>
        <rFont val="Calibri"/>
        <family val="2"/>
        <scheme val="minor"/>
      </rPr>
      <t>Adjusted</t>
    </r>
    <r>
      <rPr>
        <b/>
        <sz val="11"/>
        <rFont val="Calibri"/>
        <family val="2"/>
        <scheme val="minor"/>
      </rPr>
      <t xml:space="preserve">
FULL-TIME EQV 
(FTEs)</t>
    </r>
  </si>
  <si>
    <r>
      <rPr>
        <b/>
        <sz val="11"/>
        <color rgb="FFFF0000"/>
        <rFont val="Calibri"/>
        <family val="2"/>
        <scheme val="minor"/>
      </rPr>
      <t>Adjusted</t>
    </r>
    <r>
      <rPr>
        <b/>
        <sz val="11"/>
        <rFont val="Calibri"/>
        <family val="2"/>
        <scheme val="minor"/>
      </rPr>
      <t xml:space="preserve">
INDIRECT 
(not traceable to direct cost center)</t>
    </r>
  </si>
  <si>
    <r>
      <rPr>
        <b/>
        <sz val="11"/>
        <color rgb="FFFF0000"/>
        <rFont val="Calibri"/>
        <family val="2"/>
        <scheme val="minor"/>
      </rPr>
      <t>Adjusted</t>
    </r>
    <r>
      <rPr>
        <b/>
        <sz val="11"/>
        <rFont val="Calibri"/>
        <family val="2"/>
        <scheme val="minor"/>
      </rPr>
      <t xml:space="preserve">
ENCOUNTER-BASED SERVICES </t>
    </r>
    <r>
      <rPr>
        <b/>
        <i/>
        <sz val="11"/>
        <rFont val="Calibri"/>
        <family val="2"/>
        <scheme val="minor"/>
      </rPr>
      <t>with</t>
    </r>
    <r>
      <rPr>
        <b/>
        <sz val="11"/>
        <rFont val="Calibri"/>
        <family val="2"/>
        <scheme val="minor"/>
      </rPr>
      <t xml:space="preserve"> RVU WEIGHTS and ALL INTEGRATION SERVICES
(Schedule 2)</t>
    </r>
  </si>
  <si>
    <r>
      <rPr>
        <b/>
        <sz val="11"/>
        <color rgb="FFFF0000"/>
        <rFont val="Calibri"/>
        <family val="2"/>
        <scheme val="minor"/>
      </rPr>
      <t>Adjusted</t>
    </r>
    <r>
      <rPr>
        <b/>
        <sz val="11"/>
        <rFont val="Calibri"/>
        <family val="2"/>
        <scheme val="minor"/>
      </rPr>
      <t xml:space="preserve">
OTHER ENCOUNTER-BASED SERVICES </t>
    </r>
    <r>
      <rPr>
        <b/>
        <i/>
        <sz val="11"/>
        <rFont val="Calibri"/>
        <family val="2"/>
        <scheme val="minor"/>
      </rPr>
      <t>without</t>
    </r>
    <r>
      <rPr>
        <b/>
        <sz val="11"/>
        <rFont val="Calibri"/>
        <family val="2"/>
        <scheme val="minor"/>
      </rPr>
      <t xml:space="preserve"> RVU WEIGHTS and OTHER NON-ENCOUNTER-BASED SERVICES
(Schedule 2)</t>
    </r>
  </si>
  <si>
    <r>
      <rPr>
        <b/>
        <sz val="11"/>
        <color rgb="FFFF0000"/>
        <rFont val="Calibri"/>
        <family val="2"/>
        <scheme val="minor"/>
      </rPr>
      <t>Adjusted</t>
    </r>
    <r>
      <rPr>
        <b/>
        <sz val="11"/>
        <rFont val="Calibri"/>
        <family val="2"/>
        <scheme val="minor"/>
      </rPr>
      <t xml:space="preserve">
UNALLOWABLE</t>
    </r>
  </si>
  <si>
    <r>
      <rPr>
        <b/>
        <sz val="11"/>
        <color rgb="FFFF0000"/>
        <rFont val="Calibri"/>
        <family val="2"/>
        <scheme val="minor"/>
      </rPr>
      <t>Adjusted</t>
    </r>
    <r>
      <rPr>
        <b/>
        <sz val="11"/>
        <rFont val="Calibri"/>
        <family val="2"/>
        <scheme val="minor"/>
      </rPr>
      <t xml:space="preserve">
TOTAL</t>
    </r>
  </si>
  <si>
    <r>
      <rPr>
        <b/>
        <sz val="16"/>
        <color rgb="FFFF0000"/>
        <rFont val="Calibri"/>
        <family val="2"/>
        <scheme val="minor"/>
      </rPr>
      <t xml:space="preserve">Adjusted </t>
    </r>
    <r>
      <rPr>
        <b/>
        <sz val="16"/>
        <rFont val="Calibri"/>
        <family val="2"/>
        <scheme val="minor"/>
      </rPr>
      <t>Schedule 1A: Non-Clinical Direct Salary Limit</t>
    </r>
  </si>
  <si>
    <r>
      <rPr>
        <b/>
        <sz val="11"/>
        <color rgb="FFFF0000"/>
        <rFont val="Calibri"/>
        <family val="2"/>
        <scheme val="minor"/>
      </rPr>
      <t>Adjusted</t>
    </r>
    <r>
      <rPr>
        <b/>
        <sz val="11"/>
        <rFont val="Calibri"/>
        <family val="2"/>
        <scheme val="minor"/>
      </rPr>
      <t xml:space="preserve">
Non-Clinical 
Salary and Bonus 
During Period</t>
    </r>
  </si>
  <si>
    <r>
      <rPr>
        <b/>
        <sz val="11"/>
        <color rgb="FFFF0000"/>
        <rFont val="Calibri"/>
        <family val="2"/>
        <scheme val="minor"/>
      </rPr>
      <t>Adjusted</t>
    </r>
    <r>
      <rPr>
        <b/>
        <sz val="11"/>
        <rFont val="Calibri"/>
        <family val="2"/>
        <scheme val="minor"/>
      </rPr>
      <t xml:space="preserve">
Unallowable Excess Non-Clinical Salary Above Limit</t>
    </r>
  </si>
  <si>
    <r>
      <rPr>
        <b/>
        <sz val="16"/>
        <color rgb="FFFF0000"/>
        <rFont val="Calibri"/>
        <family val="2"/>
        <scheme val="minor"/>
      </rPr>
      <t>Adjusted</t>
    </r>
    <r>
      <rPr>
        <b/>
        <sz val="16"/>
        <color theme="1"/>
        <rFont val="Calibri"/>
        <family val="2"/>
        <scheme val="minor"/>
      </rPr>
      <t xml:space="preserve"> Schedule 1B: Indirect Cost Allocation Methodology</t>
    </r>
  </si>
  <si>
    <r>
      <rPr>
        <b/>
        <sz val="16"/>
        <color rgb="FFFF0000"/>
        <rFont val="Calibri"/>
        <family val="2"/>
        <scheme val="minor"/>
      </rPr>
      <t>Adjusted</t>
    </r>
    <r>
      <rPr>
        <b/>
        <sz val="16"/>
        <rFont val="Calibri"/>
        <family val="2"/>
        <scheme val="minor"/>
      </rPr>
      <t xml:space="preserve"> Schedule 1C: Less-Than-Arm's-Length (Related Party) Transactions</t>
    </r>
  </si>
  <si>
    <r>
      <rPr>
        <b/>
        <sz val="16"/>
        <color rgb="FFFF0000"/>
        <rFont val="Calibri"/>
        <family val="2"/>
        <scheme val="minor"/>
      </rPr>
      <t>Adjusted</t>
    </r>
    <r>
      <rPr>
        <b/>
        <sz val="16"/>
        <rFont val="Calibri"/>
        <family val="2"/>
        <scheme val="minor"/>
      </rPr>
      <t xml:space="preserve"> Schedule 2: Service Groups</t>
    </r>
  </si>
  <si>
    <r>
      <rPr>
        <b/>
        <sz val="16"/>
        <color rgb="FFFF0000"/>
        <rFont val="Calibri"/>
        <family val="2"/>
        <scheme val="minor"/>
      </rPr>
      <t xml:space="preserve">Adjusted </t>
    </r>
    <r>
      <rPr>
        <b/>
        <sz val="16"/>
        <rFont val="Calibri"/>
        <family val="2"/>
        <scheme val="minor"/>
      </rPr>
      <t>Schedule 2A: Emergency Services</t>
    </r>
  </si>
  <si>
    <r>
      <rPr>
        <b/>
        <sz val="11"/>
        <color rgb="FFFF0000"/>
        <rFont val="Calibri"/>
        <family val="2"/>
        <scheme val="minor"/>
      </rPr>
      <t>Adjusted</t>
    </r>
    <r>
      <rPr>
        <b/>
        <sz val="11"/>
        <rFont val="Calibri"/>
        <family val="2"/>
        <scheme val="minor"/>
      </rPr>
      <t xml:space="preserve">
Related Party:
Actual Cost Incurred</t>
    </r>
  </si>
  <si>
    <r>
      <rPr>
        <b/>
        <sz val="11"/>
        <color rgb="FFFF0000"/>
        <rFont val="Calibri"/>
        <family val="2"/>
        <scheme val="minor"/>
      </rPr>
      <t>Adjusted</t>
    </r>
    <r>
      <rPr>
        <b/>
        <sz val="11"/>
        <rFont val="Calibri"/>
        <family val="2"/>
        <scheme val="minor"/>
      </rPr>
      <t xml:space="preserve">
Schedule 1 
Column</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</si>
  <si>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Account Number(s) 
and/or Program(s)</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</si>
  <si>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Related Vendor, 
Individual, or Organization</t>
    </r>
    <r>
      <rPr>
        <b/>
        <sz val="11"/>
        <color rgb="FFFF0000"/>
        <rFont val="Calibri"/>
        <family val="2"/>
        <scheme val="minor"/>
      </rPr>
      <t>*</t>
    </r>
  </si>
  <si>
    <r>
      <rPr>
        <b/>
        <sz val="11"/>
        <color rgb="FFFF0000"/>
        <rFont val="Calibri"/>
        <family val="2"/>
        <scheme val="minor"/>
      </rPr>
      <t>Adjusted</t>
    </r>
    <r>
      <rPr>
        <b/>
        <sz val="11"/>
        <color theme="1"/>
        <rFont val="Calibri"/>
        <family val="2"/>
        <scheme val="minor"/>
      </rPr>
      <t xml:space="preserve">
Direct</t>
    </r>
  </si>
  <si>
    <r>
      <rPr>
        <b/>
        <sz val="11"/>
        <color rgb="FFFF0000"/>
        <rFont val="Calibri"/>
        <family val="2"/>
        <scheme val="minor"/>
      </rPr>
      <t>Adjusted</t>
    </r>
    <r>
      <rPr>
        <b/>
        <sz val="11"/>
        <color theme="1"/>
        <rFont val="Calibri"/>
        <family val="2"/>
        <scheme val="minor"/>
      </rPr>
      <t xml:space="preserve">
Indirect</t>
    </r>
  </si>
  <si>
    <r>
      <rPr>
        <b/>
        <sz val="11"/>
        <color rgb="FFFF0000"/>
        <rFont val="Calibri"/>
        <family val="2"/>
        <scheme val="minor"/>
      </rPr>
      <t>Adjusted</t>
    </r>
    <r>
      <rPr>
        <b/>
        <sz val="11"/>
        <color theme="1"/>
        <rFont val="Calibri"/>
        <family val="2"/>
        <scheme val="minor"/>
      </rPr>
      <t xml:space="preserve">
Direct 
Cost</t>
    </r>
  </si>
  <si>
    <r>
      <rPr>
        <b/>
        <sz val="11"/>
        <color rgb="FFFF0000"/>
        <rFont val="Calibri"/>
        <family val="2"/>
        <scheme val="minor"/>
      </rPr>
      <t>Adjusted</t>
    </r>
    <r>
      <rPr>
        <b/>
        <sz val="11"/>
        <rFont val="Calibri"/>
        <family val="2"/>
        <scheme val="minor"/>
      </rPr>
      <t xml:space="preserve">
Indirect Cost 
</t>
    </r>
    <r>
      <rPr>
        <sz val="8"/>
        <rFont val="Calibri"/>
        <family val="2"/>
        <scheme val="minor"/>
      </rPr>
      <t>(Direct Cost x Sch 1 Indirect Cost Rate</t>
    </r>
    <r>
      <rPr>
        <b/>
        <sz val="8"/>
        <rFont val="Calibri"/>
        <family val="2"/>
        <scheme val="minor"/>
      </rPr>
      <t>)</t>
    </r>
  </si>
  <si>
    <r>
      <rPr>
        <b/>
        <sz val="11"/>
        <color rgb="FFFF0000"/>
        <rFont val="Calibri"/>
        <family val="2"/>
        <scheme val="minor"/>
      </rPr>
      <t>Adjusted</t>
    </r>
    <r>
      <rPr>
        <b/>
        <sz val="11"/>
        <rFont val="Calibri"/>
        <family val="2"/>
        <scheme val="minor"/>
      </rPr>
      <t xml:space="preserve">
Total Cost </t>
    </r>
  </si>
  <si>
    <r>
      <rPr>
        <b/>
        <sz val="11"/>
        <color rgb="FFFF0000"/>
        <rFont val="Calibri"/>
        <family val="2"/>
        <scheme val="minor"/>
      </rPr>
      <t>Adjusted</t>
    </r>
    <r>
      <rPr>
        <b/>
        <sz val="11"/>
        <color theme="1"/>
        <rFont val="Calibri"/>
        <family val="2"/>
        <scheme val="minor"/>
      </rPr>
      <t xml:space="preserve">
FTEs</t>
    </r>
  </si>
  <si>
    <r>
      <rPr>
        <b/>
        <sz val="11"/>
        <color rgb="FFFF0000"/>
        <rFont val="Calibri"/>
        <family val="2"/>
        <scheme val="minor"/>
      </rPr>
      <t>Adjusted</t>
    </r>
    <r>
      <rPr>
        <b/>
        <sz val="11"/>
        <color theme="1"/>
        <rFont val="Calibri"/>
        <family val="2"/>
        <scheme val="minor"/>
      </rPr>
      <t xml:space="preserve">
Number of Clients Served*</t>
    </r>
  </si>
  <si>
    <r>
      <rPr>
        <b/>
        <sz val="16"/>
        <color rgb="FFFF0000"/>
        <rFont val="Calibri"/>
        <family val="2"/>
        <scheme val="minor"/>
      </rPr>
      <t xml:space="preserve">Adjusted </t>
    </r>
    <r>
      <rPr>
        <b/>
        <sz val="16"/>
        <rFont val="Calibri"/>
        <family val="2"/>
        <scheme val="minor"/>
      </rPr>
      <t>Schedule 2B: Consultative and Educational Services</t>
    </r>
  </si>
  <si>
    <r>
      <rPr>
        <b/>
        <sz val="16"/>
        <color rgb="FFFF0000"/>
        <rFont val="Calibri"/>
        <family val="2"/>
        <scheme val="minor"/>
      </rPr>
      <t xml:space="preserve">Adjusted </t>
    </r>
    <r>
      <rPr>
        <b/>
        <sz val="16"/>
        <rFont val="Calibri"/>
        <family val="2"/>
        <scheme val="minor"/>
      </rPr>
      <t>Schedule 2C: Outpatient Services</t>
    </r>
  </si>
  <si>
    <r>
      <rPr>
        <b/>
        <sz val="16"/>
        <color rgb="FFFF0000"/>
        <rFont val="Calibri"/>
        <family val="2"/>
        <scheme val="minor"/>
      </rPr>
      <t>Adjusted</t>
    </r>
    <r>
      <rPr>
        <b/>
        <sz val="16"/>
        <rFont val="Calibri"/>
        <family val="2"/>
        <scheme val="minor"/>
      </rPr>
      <t xml:space="preserve"> Schedule 2D: Partial Hospitalization</t>
    </r>
  </si>
  <si>
    <r>
      <rPr>
        <b/>
        <sz val="11"/>
        <color rgb="FFFF0000"/>
        <rFont val="Calibri"/>
        <family val="2"/>
        <scheme val="minor"/>
      </rPr>
      <t>Adjusted</t>
    </r>
    <r>
      <rPr>
        <b/>
        <sz val="11"/>
        <rFont val="Calibri"/>
        <family val="2"/>
        <scheme val="minor"/>
      </rPr>
      <t xml:space="preserve">
Census Days</t>
    </r>
  </si>
  <si>
    <r>
      <rPr>
        <b/>
        <sz val="11"/>
        <color rgb="FFFF0000"/>
        <rFont val="Calibri"/>
        <family val="2"/>
        <scheme val="minor"/>
      </rPr>
      <t>Adjusted</t>
    </r>
    <r>
      <rPr>
        <b/>
        <sz val="11"/>
        <rFont val="Calibri"/>
        <family val="2"/>
        <scheme val="minor"/>
      </rPr>
      <t xml:space="preserve">
Utilization Rate</t>
    </r>
  </si>
  <si>
    <r>
      <rPr>
        <b/>
        <sz val="11"/>
        <color rgb="FFFF0000"/>
        <rFont val="Calibri"/>
        <family val="2"/>
        <scheme val="minor"/>
      </rPr>
      <t>Adjusted</t>
    </r>
    <r>
      <rPr>
        <b/>
        <sz val="11"/>
        <color theme="1"/>
        <rFont val="Calibri"/>
        <family val="2"/>
        <scheme val="minor"/>
      </rPr>
      <t xml:space="preserve">
Total Expense</t>
    </r>
  </si>
  <si>
    <r>
      <rPr>
        <b/>
        <sz val="11"/>
        <color rgb="FFFF0000"/>
        <rFont val="Calibri"/>
        <family val="2"/>
        <scheme val="minor"/>
      </rPr>
      <t>Adjusted</t>
    </r>
    <r>
      <rPr>
        <b/>
        <sz val="11"/>
        <color theme="1"/>
        <rFont val="Calibri"/>
        <family val="2"/>
        <scheme val="minor"/>
      </rPr>
      <t xml:space="preserve">
Total Cost Per Day</t>
    </r>
  </si>
  <si>
    <r>
      <rPr>
        <b/>
        <sz val="11"/>
        <color rgb="FFFF0000"/>
        <rFont val="Calibri"/>
        <family val="2"/>
        <scheme val="minor"/>
      </rPr>
      <t>Adjusted</t>
    </r>
    <r>
      <rPr>
        <b/>
        <sz val="11"/>
        <color theme="1"/>
        <rFont val="Calibri"/>
        <family val="2"/>
        <scheme val="minor"/>
      </rPr>
      <t xml:space="preserve">
Room and Board Expense</t>
    </r>
  </si>
  <si>
    <r>
      <rPr>
        <b/>
        <sz val="11"/>
        <color rgb="FFFF0000"/>
        <rFont val="Calibri"/>
        <family val="2"/>
        <scheme val="minor"/>
      </rPr>
      <t>Adjusted</t>
    </r>
    <r>
      <rPr>
        <b/>
        <sz val="11"/>
        <color theme="1"/>
        <rFont val="Calibri"/>
        <family val="2"/>
        <scheme val="minor"/>
      </rPr>
      <t xml:space="preserve">
Room and Board Cost Per Day</t>
    </r>
  </si>
  <si>
    <r>
      <rPr>
        <b/>
        <sz val="11"/>
        <color rgb="FFFF0000"/>
        <rFont val="Calibri"/>
        <family val="2"/>
        <scheme val="minor"/>
      </rPr>
      <t>Adjusted</t>
    </r>
    <r>
      <rPr>
        <b/>
        <sz val="11"/>
        <color theme="1"/>
        <rFont val="Calibri"/>
        <family val="2"/>
        <scheme val="minor"/>
      </rPr>
      <t xml:space="preserve">
Services Expense (Total less Room and Board)</t>
    </r>
  </si>
  <si>
    <r>
      <rPr>
        <b/>
        <sz val="11"/>
        <color rgb="FFFF0000"/>
        <rFont val="Calibri"/>
        <family val="2"/>
        <scheme val="minor"/>
      </rPr>
      <t>Adjusted</t>
    </r>
    <r>
      <rPr>
        <b/>
        <sz val="11"/>
        <color theme="1"/>
        <rFont val="Calibri"/>
        <family val="2"/>
        <scheme val="minor"/>
      </rPr>
      <t xml:space="preserve">
Services Cost Per Day</t>
    </r>
  </si>
  <si>
    <r>
      <rPr>
        <sz val="11"/>
        <color rgb="FFFF0000"/>
        <rFont val="Calibri"/>
        <family val="2"/>
        <scheme val="minor"/>
      </rPr>
      <t>Adjusted</t>
    </r>
    <r>
      <rPr>
        <sz val="11"/>
        <color theme="1"/>
        <rFont val="Calibri"/>
        <family val="2"/>
        <scheme val="minor"/>
      </rPr>
      <t xml:space="preserve"> Total costs from Column 3 on Schedule 1  </t>
    </r>
  </si>
  <si>
    <r>
      <rPr>
        <sz val="11"/>
        <color rgb="FFFF0000"/>
        <rFont val="Calibri"/>
        <family val="2"/>
        <scheme val="minor"/>
      </rPr>
      <t>Adjusted</t>
    </r>
    <r>
      <rPr>
        <sz val="11"/>
        <color theme="1"/>
        <rFont val="Calibri"/>
        <family val="2"/>
        <scheme val="minor"/>
      </rPr>
      <t xml:space="preserve"> Non-RVU integration services revenue</t>
    </r>
  </si>
  <si>
    <r>
      <rPr>
        <b/>
        <sz val="11"/>
        <color rgb="FFFF0000"/>
        <rFont val="Calibri"/>
        <family val="2"/>
        <scheme val="minor"/>
      </rPr>
      <t>Adjusted</t>
    </r>
    <r>
      <rPr>
        <b/>
        <sz val="11"/>
        <color theme="1"/>
        <rFont val="Calibri"/>
        <family val="2"/>
        <scheme val="minor"/>
      </rPr>
      <t xml:space="preserve"> Total allowable costs for encounter-based services  </t>
    </r>
  </si>
  <si>
    <r>
      <rPr>
        <sz val="11"/>
        <color rgb="FFFF0000"/>
        <rFont val="Calibri"/>
        <family val="2"/>
        <scheme val="minor"/>
      </rPr>
      <t>Adjusted</t>
    </r>
    <r>
      <rPr>
        <sz val="11"/>
        <color theme="1"/>
        <rFont val="Calibri"/>
        <family val="2"/>
        <scheme val="minor"/>
      </rPr>
      <t xml:space="preserve"> Non-facility RVUs  </t>
    </r>
  </si>
  <si>
    <r>
      <rPr>
        <sz val="11"/>
        <color rgb="FFFF0000"/>
        <rFont val="Calibri"/>
        <family val="2"/>
        <scheme val="minor"/>
      </rPr>
      <t>Adjusted</t>
    </r>
    <r>
      <rPr>
        <sz val="11"/>
        <color theme="1"/>
        <rFont val="Calibri"/>
        <family val="2"/>
        <scheme val="minor"/>
      </rPr>
      <t xml:space="preserve"> Facility RVUs  </t>
    </r>
  </si>
  <si>
    <r>
      <rPr>
        <b/>
        <sz val="11"/>
        <color rgb="FFFF0000"/>
        <rFont val="Calibri"/>
        <family val="2"/>
        <scheme val="minor"/>
      </rPr>
      <t>Adjusted</t>
    </r>
    <r>
      <rPr>
        <b/>
        <sz val="11"/>
        <color theme="1"/>
        <rFont val="Calibri"/>
        <family val="2"/>
        <scheme val="minor"/>
      </rPr>
      <t xml:space="preserve"> Total RVUs  </t>
    </r>
  </si>
  <si>
    <r>
      <rPr>
        <b/>
        <sz val="14"/>
        <color rgb="FFFF0000"/>
        <rFont val="Calibri"/>
        <family val="2"/>
        <scheme val="minor"/>
      </rPr>
      <t>ADJUSTED</t>
    </r>
    <r>
      <rPr>
        <b/>
        <sz val="14"/>
        <color theme="1"/>
        <rFont val="Calibri"/>
        <family val="2"/>
        <scheme val="minor"/>
      </rPr>
      <t xml:space="preserve"> BASE UNIT COST  </t>
    </r>
  </si>
  <si>
    <t xml:space="preserve">
Rebalanced Non-Facility RVU Weight</t>
  </si>
  <si>
    <r>
      <rPr>
        <b/>
        <sz val="11"/>
        <color rgb="FFFF0000"/>
        <rFont val="Calibri"/>
        <family val="2"/>
        <scheme val="minor"/>
      </rPr>
      <t>Adjusted</t>
    </r>
    <r>
      <rPr>
        <b/>
        <sz val="11"/>
        <rFont val="Calibri"/>
        <family val="2"/>
        <scheme val="minor"/>
      </rPr>
      <t xml:space="preserve">
Non-Facility Units</t>
    </r>
  </si>
  <si>
    <r>
      <rPr>
        <b/>
        <sz val="11"/>
        <color rgb="FFFF0000"/>
        <rFont val="Calibri"/>
        <family val="2"/>
        <scheme val="minor"/>
      </rPr>
      <t>Adjusted</t>
    </r>
    <r>
      <rPr>
        <b/>
        <sz val="11"/>
        <rFont val="Calibri"/>
        <family val="2"/>
        <scheme val="minor"/>
      </rPr>
      <t xml:space="preserve">
Cost per Non-Facility Unit of Service</t>
    </r>
  </si>
  <si>
    <r>
      <t xml:space="preserve">Adjusted
</t>
    </r>
    <r>
      <rPr>
        <b/>
        <sz val="11"/>
        <rFont val="Calibri"/>
        <family val="2"/>
        <scheme val="minor"/>
      </rPr>
      <t>Non-Facility RVUs</t>
    </r>
  </si>
  <si>
    <r>
      <rPr>
        <b/>
        <sz val="11"/>
        <color rgb="FFFF0000"/>
        <rFont val="Calibri"/>
        <family val="2"/>
        <scheme val="minor"/>
      </rPr>
      <t>Adjusted</t>
    </r>
    <r>
      <rPr>
        <b/>
        <sz val="11"/>
        <rFont val="Calibri"/>
        <family val="2"/>
        <scheme val="minor"/>
      </rPr>
      <t xml:space="preserve">
Facility Units</t>
    </r>
  </si>
  <si>
    <r>
      <rPr>
        <b/>
        <sz val="11"/>
        <color rgb="FFFF0000"/>
        <rFont val="Calibri"/>
        <family val="2"/>
        <scheme val="minor"/>
      </rPr>
      <t>Adjusted</t>
    </r>
    <r>
      <rPr>
        <b/>
        <sz val="11"/>
        <color theme="1"/>
        <rFont val="Calibri"/>
        <family val="2"/>
        <scheme val="minor"/>
      </rPr>
      <t xml:space="preserve">
Facility RVUs</t>
    </r>
  </si>
  <si>
    <r>
      <rPr>
        <b/>
        <sz val="11"/>
        <color rgb="FFFF0000"/>
        <rFont val="Calibri"/>
        <family val="2"/>
        <scheme val="minor"/>
      </rPr>
      <t>Adjusted</t>
    </r>
    <r>
      <rPr>
        <b/>
        <sz val="11"/>
        <color theme="1"/>
        <rFont val="Calibri"/>
        <family val="2"/>
        <scheme val="minor"/>
      </rPr>
      <t xml:space="preserve">
Cost per Facility Unit of Service</t>
    </r>
  </si>
  <si>
    <r>
      <rPr>
        <b/>
        <sz val="11"/>
        <color rgb="FFFF0000"/>
        <rFont val="Calibri"/>
        <family val="2"/>
        <scheme val="minor"/>
      </rPr>
      <t>Adjusted</t>
    </r>
    <r>
      <rPr>
        <b/>
        <sz val="11"/>
        <rFont val="Calibri"/>
        <family val="2"/>
        <scheme val="minor"/>
      </rPr>
      <t xml:space="preserve">
Schedule 1 
Column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</si>
  <si>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Number of Months in Role During Reporting Period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</si>
  <si>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Non-Clinical 
Role FTE </t>
    </r>
    <r>
      <rPr>
        <b/>
        <sz val="11"/>
        <color rgb="FFFF0000"/>
        <rFont val="Calibri"/>
        <family val="2"/>
        <scheme val="minor"/>
      </rPr>
      <t>*</t>
    </r>
  </si>
  <si>
    <t>Instructions for the Adjusted Cost Report Template</t>
  </si>
  <si>
    <r>
      <t xml:space="preserve">Start at the </t>
    </r>
    <r>
      <rPr>
        <b/>
        <sz val="11"/>
        <color theme="1"/>
        <rFont val="Calibri"/>
        <family val="2"/>
        <scheme val="minor"/>
      </rPr>
      <t>Results</t>
    </r>
    <r>
      <rPr>
        <sz val="11"/>
        <color theme="1"/>
        <rFont val="Calibri"/>
        <family val="2"/>
        <scheme val="minor"/>
      </rPr>
      <t xml:space="preserve"> tab, by doing the following:</t>
    </r>
  </si>
  <si>
    <t>Select either "Proposed Adjustments" or "Final Adjustments" from the drop down in cell A4.</t>
  </si>
  <si>
    <t>Enter the provider's name in cell C6.</t>
  </si>
  <si>
    <r>
      <t xml:space="preserve">Copy and paste the adjustments from 400.1 (proposed adjustments) or 400.3 (final adjustments) into the </t>
    </r>
    <r>
      <rPr>
        <b/>
        <sz val="11"/>
        <color rgb="FF7AC142"/>
        <rFont val="Calibri"/>
        <family val="2"/>
        <scheme val="minor"/>
      </rPr>
      <t>Adjustments</t>
    </r>
    <r>
      <rPr>
        <sz val="11"/>
        <color theme="1"/>
        <rFont val="Calibri"/>
        <family val="2"/>
        <scheme val="minor"/>
      </rPr>
      <t xml:space="preserve"> tab. </t>
    </r>
    <r>
      <rPr>
        <b/>
        <sz val="11"/>
        <color theme="1"/>
        <rFont val="Calibri"/>
        <family val="2"/>
        <scheme val="minor"/>
      </rPr>
      <t>Do not alter the columns on this tab.</t>
    </r>
  </si>
  <si>
    <r>
      <t xml:space="preserve">Copy and </t>
    </r>
    <r>
      <rPr>
        <b/>
        <sz val="11"/>
        <color theme="1"/>
        <rFont val="Calibri"/>
        <family val="2"/>
        <scheme val="minor"/>
      </rPr>
      <t>paste</t>
    </r>
    <r>
      <rPr>
        <sz val="11"/>
        <color theme="1"/>
        <rFont val="Calibri"/>
        <family val="2"/>
        <scheme val="minor"/>
      </rPr>
      <t xml:space="preserve"> </t>
    </r>
    <r>
      <rPr>
        <b/>
        <sz val="11"/>
        <color theme="1"/>
        <rFont val="Calibri"/>
        <family val="2"/>
        <scheme val="minor"/>
      </rPr>
      <t>values</t>
    </r>
    <r>
      <rPr>
        <sz val="11"/>
        <color theme="1"/>
        <rFont val="Calibri"/>
        <family val="2"/>
        <scheme val="minor"/>
      </rPr>
      <t xml:space="preserve"> from the as-filed cost report into the </t>
    </r>
    <r>
      <rPr>
        <b/>
        <sz val="11"/>
        <color rgb="FF38939B"/>
        <rFont val="Calibri"/>
        <family val="2"/>
        <scheme val="minor"/>
      </rPr>
      <t>As Filed</t>
    </r>
    <r>
      <rPr>
        <sz val="11"/>
        <color theme="1"/>
        <rFont val="Calibri"/>
        <family val="2"/>
        <scheme val="minor"/>
      </rPr>
      <t xml:space="preserve"> tabs. Please note:</t>
    </r>
  </si>
  <si>
    <r>
      <t xml:space="preserve">Copy the values from/to the </t>
    </r>
    <r>
      <rPr>
        <b/>
        <sz val="11"/>
        <color theme="7" tint="0.39997558519241921"/>
        <rFont val="Calibri"/>
        <family val="2"/>
        <scheme val="minor"/>
      </rPr>
      <t>yellow</t>
    </r>
    <r>
      <rPr>
        <sz val="11"/>
        <color theme="1"/>
        <rFont val="Calibri"/>
        <family val="2"/>
        <scheme val="minor"/>
      </rPr>
      <t xml:space="preserve"> cells, only. </t>
    </r>
  </si>
  <si>
    <r>
      <t xml:space="preserve">Tie out the totals in the </t>
    </r>
    <r>
      <rPr>
        <b/>
        <sz val="11"/>
        <color theme="0" tint="-0.499984740745262"/>
        <rFont val="Calibri"/>
        <family val="2"/>
        <scheme val="minor"/>
      </rPr>
      <t>gray</t>
    </r>
    <r>
      <rPr>
        <sz val="11"/>
        <color theme="1"/>
        <rFont val="Calibri"/>
        <family val="2"/>
        <scheme val="minor"/>
      </rPr>
      <t xml:space="preserve"> cells to the cost report. If there are variances, resolve them before moving on.</t>
    </r>
  </si>
  <si>
    <r>
      <t xml:space="preserve">No entry is needed on the </t>
    </r>
    <r>
      <rPr>
        <b/>
        <sz val="11"/>
        <color rgb="FF38939B"/>
        <rFont val="Calibri"/>
        <family val="2"/>
        <scheme val="minor"/>
      </rPr>
      <t>As-Filed Schedule 2</t>
    </r>
    <r>
      <rPr>
        <sz val="11"/>
        <color theme="1"/>
        <rFont val="Calibri"/>
        <family val="2"/>
        <scheme val="minor"/>
      </rPr>
      <t>, since this tab automatically pulls from the subsequent tabs.</t>
    </r>
  </si>
  <si>
    <t>d</t>
  </si>
  <si>
    <r>
      <t xml:space="preserve">No entry is needed on the </t>
    </r>
    <r>
      <rPr>
        <b/>
        <sz val="11"/>
        <color rgb="FFF8971D"/>
        <rFont val="Calibri"/>
        <family val="2"/>
        <scheme val="minor"/>
      </rPr>
      <t>Adjusted</t>
    </r>
    <r>
      <rPr>
        <sz val="11"/>
        <color theme="1"/>
        <rFont val="Calibri"/>
        <family val="2"/>
        <scheme val="minor"/>
      </rPr>
      <t xml:space="preserve"> tabs, with the exception of notes 3b and 4b below, as these will automatically pull from subsequent tabs.</t>
    </r>
  </si>
  <si>
    <t>Regarding Schedule 1A:</t>
  </si>
  <si>
    <t>Regarding Schedule 1B:</t>
  </si>
  <si>
    <t>There is not an adjustments tab for this schedule, as we will not make "adjustments" to the narratives.</t>
  </si>
  <si>
    <r>
      <t xml:space="preserve">If the narratives included in the as-filed cost report are not correct, or do not reflect the adjusted allocation methodology, we must manually revise the narratives on the </t>
    </r>
    <r>
      <rPr>
        <b/>
        <sz val="11"/>
        <color rgb="FFF8971D"/>
        <rFont val="Calibri"/>
        <family val="2"/>
        <scheme val="minor"/>
      </rPr>
      <t xml:space="preserve">Adjusted Schedule 1B </t>
    </r>
    <r>
      <rPr>
        <sz val="11"/>
        <color theme="1"/>
        <rFont val="Calibri"/>
        <family val="2"/>
        <scheme val="minor"/>
      </rPr>
      <t>tab. The revised narratives should be in un-bolded, black text.</t>
    </r>
  </si>
  <si>
    <t>Regarding Schedule 1C:</t>
  </si>
  <si>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1C Adjustments</t>
    </r>
    <r>
      <rPr>
        <sz val="11"/>
        <color theme="1"/>
        <rFont val="Calibri"/>
        <family val="2"/>
        <scheme val="minor"/>
      </rPr>
      <t xml:space="preserve"> tab: type of expense in column 1, Schedule 1 Column in column 5, account number(s) in column 6, or related entity in column 7.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</si>
  <si>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t>Regarding Schedule 2:</t>
  </si>
  <si>
    <t>There is not an adjustments tab for this schedule, as all adjusted amounts will flow through the subsequent tabs.</t>
  </si>
  <si>
    <t>Regarding the subsequent Schedule 2 series tabs:</t>
  </si>
  <si>
    <t>For reclassifications of programs between schedules, make sure to reclass to an available line on the destination schedule (this will not necessarily be the same line from which we are reclassifying from).</t>
  </si>
  <si>
    <t>Regarding Schedule 3:</t>
  </si>
  <si>
    <r>
      <t xml:space="preserve">If we make an adjustment to census days, the line we reference in the </t>
    </r>
    <r>
      <rPr>
        <b/>
        <sz val="11"/>
        <color rgb="FF7AC142"/>
        <rFont val="Calibri"/>
        <family val="2"/>
        <scheme val="minor"/>
      </rPr>
      <t>Adjustments</t>
    </r>
    <r>
      <rPr>
        <sz val="11"/>
        <color theme="1"/>
        <rFont val="Calibri"/>
        <family val="2"/>
        <scheme val="minor"/>
      </rPr>
      <t xml:space="preserve"> tab must include the numeric and alphabetic value associated with the specific location of the days to be adjusted. For example, if we are adjusting days associated with the facility reported on Schedule 3 line 1, and the procedure code reported in line a, then the line value that must be included in the </t>
    </r>
    <r>
      <rPr>
        <b/>
        <sz val="11"/>
        <color rgb="FF7AC142"/>
        <rFont val="Calibri"/>
        <family val="2"/>
        <scheme val="minor"/>
      </rPr>
      <t>Adjustments</t>
    </r>
    <r>
      <rPr>
        <sz val="11"/>
        <color theme="1"/>
        <rFont val="Calibri"/>
        <family val="2"/>
        <scheme val="minor"/>
      </rPr>
      <t xml:space="preserve"> tab is 1a.</t>
    </r>
  </si>
  <si>
    <r>
      <t xml:space="preserve">Ensure the </t>
    </r>
    <r>
      <rPr>
        <b/>
        <sz val="11"/>
        <color rgb="FFF8971D"/>
        <rFont val="Calibri"/>
        <family val="2"/>
        <scheme val="minor"/>
      </rPr>
      <t>Adjusted</t>
    </r>
    <r>
      <rPr>
        <sz val="11"/>
        <color theme="1"/>
        <rFont val="Calibri"/>
        <family val="2"/>
        <scheme val="minor"/>
      </rPr>
      <t xml:space="preserve"> tabs are free of </t>
    </r>
    <r>
      <rPr>
        <b/>
        <i/>
        <sz val="11"/>
        <color rgb="FFFF0000"/>
        <rFont val="Calibri"/>
        <family val="2"/>
        <scheme val="minor"/>
      </rPr>
      <t>error</t>
    </r>
    <r>
      <rPr>
        <sz val="11"/>
        <color theme="1"/>
        <rFont val="Calibri"/>
        <family val="2"/>
        <scheme val="minor"/>
      </rPr>
      <t xml:space="preserve"> warnings. All errors should be resolved prior to finalization.</t>
    </r>
  </si>
  <si>
    <r>
      <t xml:space="preserve">On the </t>
    </r>
    <r>
      <rPr>
        <b/>
        <sz val="11"/>
        <color theme="1"/>
        <rFont val="Calibri"/>
        <family val="2"/>
        <scheme val="minor"/>
      </rPr>
      <t>Results</t>
    </r>
    <r>
      <rPr>
        <sz val="11"/>
        <color theme="1"/>
        <rFont val="Calibri"/>
        <family val="2"/>
        <scheme val="minor"/>
      </rPr>
      <t xml:space="preserve"> tab, the "Per Diem Calculation" section is set up to show 30 facilities. However, very few providers have this many residential/inpatient facilities. Hide all sections for which a facility does not exist and the data is blank. If there are no residential or inpatient facilities, and thus Schedule 3 is blank, hide the entirety of the "Per Diem Calculation" section. </t>
    </r>
  </si>
  <si>
    <r>
      <t xml:space="preserve">Print to PDF the </t>
    </r>
    <r>
      <rPr>
        <b/>
        <sz val="11"/>
        <color theme="1"/>
        <rFont val="Calibri"/>
        <family val="2"/>
        <scheme val="minor"/>
      </rPr>
      <t>Results</t>
    </r>
    <r>
      <rPr>
        <sz val="11"/>
        <color theme="1"/>
        <rFont val="Calibri"/>
        <family val="2"/>
        <scheme val="minor"/>
      </rPr>
      <t xml:space="preserve"> tab to be included in the Proposed/Final Adjustments packet.</t>
    </r>
  </si>
  <si>
    <r>
      <t xml:space="preserve">This Excel workbook will be sent to the provider with the Proposed and Final Adjustments packets. Prior to sending this workbook to the provider, click the "Send to Provider" button on the </t>
    </r>
    <r>
      <rPr>
        <b/>
        <sz val="11"/>
        <color theme="1"/>
        <rFont val="Calibri"/>
        <family val="2"/>
        <scheme val="minor"/>
      </rPr>
      <t>Results</t>
    </r>
    <r>
      <rPr>
        <sz val="11"/>
        <color theme="1"/>
        <rFont val="Calibri"/>
        <family val="2"/>
        <scheme val="minor"/>
      </rPr>
      <t xml:space="preserve"> tab to automatically protect all sheets in this workbook and to hide this </t>
    </r>
    <r>
      <rPr>
        <b/>
        <sz val="11"/>
        <color theme="1"/>
        <rFont val="Calibri"/>
        <family val="2"/>
        <scheme val="minor"/>
      </rPr>
      <t>Instructions</t>
    </r>
    <r>
      <rPr>
        <sz val="11"/>
        <color theme="1"/>
        <rFont val="Calibri"/>
        <family val="2"/>
        <scheme val="minor"/>
      </rPr>
      <t xml:space="preserve"> tab. (Note: This tab can be unhidden at any time thereafter, if needed.)</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</si>
  <si>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3 Adjustments</t>
    </r>
    <r>
      <rPr>
        <sz val="11"/>
        <color theme="1"/>
        <rFont val="Calibri"/>
        <family val="2"/>
        <scheme val="minor"/>
      </rPr>
      <t xml:space="preserve"> tab: Name of Facility, Type of Facility, License Type, Bed Capacity, Facility Open/Close Date, or Procedure Code. Make the revised value </t>
    </r>
    <r>
      <rPr>
        <b/>
        <sz val="11"/>
        <color rgb="FFFF0000"/>
        <rFont val="Calibri"/>
        <family val="2"/>
        <scheme val="minor"/>
      </rPr>
      <t>bold red</t>
    </r>
    <r>
      <rPr>
        <sz val="11"/>
        <color theme="1"/>
        <rFont val="Calibri"/>
        <family val="2"/>
        <scheme val="minor"/>
      </rPr>
      <t xml:space="preserve"> on that tab, so that it's evident we revised the value.</t>
    </r>
  </si>
  <si>
    <r>
      <t>Are emergency services provided?</t>
    </r>
    <r>
      <rPr>
        <b/>
        <sz val="11"/>
        <color rgb="FFFF0000"/>
        <rFont val="Calibri"/>
        <family val="2"/>
        <scheme val="minor"/>
      </rPr>
      <t>*</t>
    </r>
  </si>
  <si>
    <r>
      <t>Are consultative and educational services provided?</t>
    </r>
    <r>
      <rPr>
        <b/>
        <sz val="11"/>
        <color rgb="FFFF0000"/>
        <rFont val="Calibri"/>
        <family val="2"/>
        <scheme val="minor"/>
      </rPr>
      <t>*</t>
    </r>
  </si>
  <si>
    <r>
      <t>Are outpatient services provided?</t>
    </r>
    <r>
      <rPr>
        <b/>
        <sz val="11"/>
        <color rgb="FFFF0000"/>
        <rFont val="Calibri"/>
        <family val="2"/>
        <scheme val="minor"/>
      </rPr>
      <t>*</t>
    </r>
  </si>
  <si>
    <r>
      <t>Adjustments to</t>
    </r>
    <r>
      <rPr>
        <b/>
        <sz val="16"/>
        <rFont val="Calibri"/>
        <family val="2"/>
        <scheme val="minor"/>
      </rPr>
      <t xml:space="preserve"> Schedule 2D: Partial Hospitalization</t>
    </r>
  </si>
  <si>
    <r>
      <t>Adjustments to</t>
    </r>
    <r>
      <rPr>
        <b/>
        <sz val="16"/>
        <rFont val="Calibri"/>
        <family val="2"/>
        <scheme val="minor"/>
      </rPr>
      <t xml:space="preserve"> Schedule 2C: Outpatient Services</t>
    </r>
  </si>
  <si>
    <r>
      <t xml:space="preserve">Adjustments to </t>
    </r>
    <r>
      <rPr>
        <b/>
        <sz val="16"/>
        <rFont val="Calibri"/>
        <family val="2"/>
        <scheme val="minor"/>
      </rPr>
      <t>Schedule 2B: Consultative and Educational Services</t>
    </r>
  </si>
  <si>
    <r>
      <t>Adjustments to</t>
    </r>
    <r>
      <rPr>
        <b/>
        <sz val="16"/>
        <rFont val="Calibri"/>
        <family val="2"/>
        <scheme val="minor"/>
      </rPr>
      <t xml:space="preserve"> Schedule 2A: Emergency Services</t>
    </r>
  </si>
  <si>
    <r>
      <t xml:space="preserve">Adjustments to </t>
    </r>
    <r>
      <rPr>
        <b/>
        <sz val="16"/>
        <rFont val="Calibri"/>
        <family val="2"/>
        <scheme val="minor"/>
      </rPr>
      <t>Schedule 1C: Less-Than-Arm's-Length (Related Party) Transactions</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</si>
  <si>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(leave blank if opened prior to reporting period)</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</si>
  <si>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</si>
  <si>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t xml:space="preserve">                                                                                         </t>
  </si>
  <si>
    <t>N/A</t>
  </si>
  <si>
    <r>
      <t xml:space="preserve">As-Filed </t>
    </r>
    <r>
      <rPr>
        <b/>
        <sz val="16"/>
        <color theme="1"/>
        <rFont val="Calibri"/>
        <family val="2"/>
        <scheme val="minor"/>
      </rPr>
      <t>Schedule 1: Expenses</t>
    </r>
  </si>
  <si>
    <r>
      <t xml:space="preserve">As-Filed </t>
    </r>
    <r>
      <rPr>
        <b/>
        <sz val="16"/>
        <color theme="1"/>
        <rFont val="Calibri"/>
        <family val="2"/>
        <scheme val="minor"/>
      </rPr>
      <t>Schedule 1A: Non-Clinical Direct Salary Limit</t>
    </r>
  </si>
  <si>
    <r>
      <t xml:space="preserve">As-Filed </t>
    </r>
    <r>
      <rPr>
        <b/>
        <sz val="16"/>
        <color theme="1"/>
        <rFont val="Calibri"/>
        <family val="2"/>
        <scheme val="minor"/>
      </rPr>
      <t>Schedule 1B: Indirect Cost Allocation Methodology</t>
    </r>
  </si>
  <si>
    <r>
      <t>As-Filed</t>
    </r>
    <r>
      <rPr>
        <b/>
        <sz val="16"/>
        <color theme="1"/>
        <rFont val="Calibri"/>
        <family val="2"/>
        <scheme val="minor"/>
      </rPr>
      <t xml:space="preserve"> Schedule 1C: Less-Than-Arm's-Length (Related Party) Transactions</t>
    </r>
  </si>
  <si>
    <r>
      <t xml:space="preserve">As-Filed </t>
    </r>
    <r>
      <rPr>
        <b/>
        <sz val="16"/>
        <color theme="1"/>
        <rFont val="Calibri"/>
        <family val="2"/>
        <scheme val="minor"/>
      </rPr>
      <t>Schedule 2: Service Groups</t>
    </r>
  </si>
  <si>
    <r>
      <t>As-Filed</t>
    </r>
    <r>
      <rPr>
        <b/>
        <sz val="16"/>
        <color theme="1"/>
        <rFont val="Calibri"/>
        <family val="2"/>
        <scheme val="minor"/>
      </rPr>
      <t xml:space="preserve"> Schedule 2A: Emergency Services</t>
    </r>
  </si>
  <si>
    <r>
      <t xml:space="preserve">As-Filed </t>
    </r>
    <r>
      <rPr>
        <b/>
        <sz val="16"/>
        <color theme="1"/>
        <rFont val="Calibri"/>
        <family val="2"/>
        <scheme val="minor"/>
      </rPr>
      <t>Schedule 2B: Consultative and Educational Services</t>
    </r>
  </si>
  <si>
    <r>
      <t xml:space="preserve">As-Filed </t>
    </r>
    <r>
      <rPr>
        <b/>
        <sz val="16"/>
        <color theme="1"/>
        <rFont val="Calibri"/>
        <family val="2"/>
        <scheme val="minor"/>
      </rPr>
      <t>Schedule 2C: Outpatient Services</t>
    </r>
  </si>
  <si>
    <r>
      <t xml:space="preserve">As-Filed </t>
    </r>
    <r>
      <rPr>
        <b/>
        <sz val="16"/>
        <color theme="1"/>
        <rFont val="Calibri"/>
        <family val="2"/>
        <scheme val="minor"/>
      </rPr>
      <t>Schedule 2D: Partial Hospitalization</t>
    </r>
  </si>
  <si>
    <t>Adjusted Colorado Comprehensive Provider Cost Report</t>
  </si>
  <si>
    <t>Comprehensive Safety Net Providers</t>
  </si>
  <si>
    <t>Provider Name:</t>
  </si>
  <si>
    <t>Colorado Comprehensive Provider Cost Report</t>
  </si>
  <si>
    <t>Client Salaries</t>
  </si>
  <si>
    <r>
      <t xml:space="preserve">PER DIEM INPATIENT SERVICES and RESIDENTIAL SERVICES </t>
    </r>
    <r>
      <rPr>
        <b/>
        <i/>
        <sz val="11"/>
        <rFont val="Calibri"/>
        <family val="2"/>
        <scheme val="minor"/>
      </rPr>
      <t>without</t>
    </r>
    <r>
      <rPr>
        <b/>
        <sz val="11"/>
        <rFont val="Calibri"/>
        <family val="2"/>
        <scheme val="minor"/>
      </rPr>
      <t xml:space="preserve"> RVU WEIGHTS 
(Schedule 3)</t>
    </r>
  </si>
  <si>
    <t>Adjustments
PER DIEM INPATIENT SERVICES and RESIDENTIAL SERVICES without RVU WEIGHTS 
(Schedule 3)</t>
  </si>
  <si>
    <t>Adjusted
PER DIEM INPATIENT SERVICES and RESIDENTIAL SERVICES without RVU WEIGHTS 
(Schedule 3)</t>
  </si>
  <si>
    <r>
      <rPr>
        <b/>
        <sz val="11"/>
        <color rgb="FFFF0000"/>
        <rFont val="Calibri"/>
        <family val="2"/>
        <scheme val="minor"/>
      </rPr>
      <t>Adjusted</t>
    </r>
    <r>
      <rPr>
        <b/>
        <sz val="11"/>
        <rFont val="Calibri"/>
        <family val="2"/>
        <scheme val="minor"/>
      </rPr>
      <t xml:space="preserve">
PER DIEM INPATIENT SERVICES and RESIDENTIAL SERVICES without RVU WEIGHTS 
(Schedule 3)</t>
    </r>
  </si>
  <si>
    <r>
      <rPr>
        <b/>
        <sz val="11"/>
        <color rgb="FFFF0000"/>
        <rFont val="Calibri"/>
        <family val="2"/>
        <scheme val="minor"/>
      </rPr>
      <t>Adjusted</t>
    </r>
    <r>
      <rPr>
        <b/>
        <sz val="11"/>
        <rFont val="Calibri"/>
        <family val="2"/>
        <scheme val="minor"/>
      </rPr>
      <t xml:space="preserve"> 
Provider: 
Related Party 
Expense Recorded</t>
    </r>
  </si>
  <si>
    <t>Provider: 
Related Party 
Expense Recorded</t>
  </si>
  <si>
    <t>Adjustments
Provider: 
Related Party 
Expense Recorded</t>
  </si>
  <si>
    <t>Adjusted
Provider: 
Related Party 
Expense Recorded</t>
  </si>
  <si>
    <r>
      <rPr>
        <b/>
        <sz val="11"/>
        <color rgb="FFFF0000"/>
        <rFont val="Calibri"/>
        <family val="2"/>
        <scheme val="minor"/>
      </rPr>
      <t>Adjusted</t>
    </r>
    <r>
      <rPr>
        <b/>
        <sz val="11"/>
        <rFont val="Calibri"/>
        <family val="2"/>
        <scheme val="minor"/>
      </rPr>
      <t xml:space="preserve">
Unallowable Excess 
Provider Expense Above Related Party 
Actual Cost</t>
    </r>
  </si>
  <si>
    <t>Unallowable Excess 
Provider Expense Above Related Party 
Actual Cost</t>
  </si>
  <si>
    <t>Adjusted
Unallowable Excess 
Provider Expense Above Related Party 
Actual Cost</t>
  </si>
  <si>
    <t>00104</t>
  </si>
  <si>
    <t>Anesthesia for Electroconvulsive Therapy</t>
  </si>
  <si>
    <t>H0046</t>
  </si>
  <si>
    <t xml:space="preserve">Drop-In Center </t>
  </si>
  <si>
    <t>New Comprehensive Safety Net Provider Service Groups</t>
  </si>
  <si>
    <t>Emergency and Crisis Behavioral Health Services</t>
  </si>
  <si>
    <t>Schedule 2E</t>
  </si>
  <si>
    <t>Mental Health and Substance Use Outpatient Services</t>
  </si>
  <si>
    <t>Schedule 2F</t>
  </si>
  <si>
    <t>Behavioral Health High-Intensity Outpatient Services</t>
  </si>
  <si>
    <t>Schedule 2G</t>
  </si>
  <si>
    <t>Care Management</t>
  </si>
  <si>
    <t>Schedule 2H</t>
  </si>
  <si>
    <t>Outreach, Education, and Engagement Services</t>
  </si>
  <si>
    <t>Schedule 2I</t>
  </si>
  <si>
    <t>Mental Health and Substance Use Recovery Supports</t>
  </si>
  <si>
    <t>Schedule 2J</t>
  </si>
  <si>
    <t>Care Coordination</t>
  </si>
  <si>
    <t>Schedule 2K</t>
  </si>
  <si>
    <t>Outpatient Competency Restoration</t>
  </si>
  <si>
    <t>Schedule 2L</t>
  </si>
  <si>
    <t>Screening, Assessment, and Diagnosis, Including Risk Assessment, Crisis Planning, and Monitoring to Key Health Indicator</t>
  </si>
  <si>
    <t>Schedule 2M</t>
  </si>
  <si>
    <t>Are emergency and crisis behavioral health services provided?</t>
  </si>
  <si>
    <t>Total emergency and crisis behavioral health services expense (A + B)</t>
  </si>
  <si>
    <r>
      <t xml:space="preserve">As-Filed </t>
    </r>
    <r>
      <rPr>
        <b/>
        <sz val="16"/>
        <color theme="1"/>
        <rFont val="Calibri"/>
        <family val="2"/>
        <scheme val="minor"/>
      </rPr>
      <t>Schedule 2E: Emergency and Crisis Behavioral Health Services (ONLY for New Comprehensive Safety Net Providers)</t>
    </r>
  </si>
  <si>
    <t>Are mental health and substance use outpatient services provided?</t>
  </si>
  <si>
    <t>Total mental health and substance use outpatient services expense (A + B)</t>
  </si>
  <si>
    <r>
      <t xml:space="preserve">As-Filed </t>
    </r>
    <r>
      <rPr>
        <b/>
        <sz val="16"/>
        <rFont val="Calibri"/>
        <family val="2"/>
        <scheme val="minor"/>
      </rPr>
      <t>Schedule 2F: Mental Health and Substance Use Outpatient Services (ONLY for New Comprehensive Safety Net Providers)</t>
    </r>
  </si>
  <si>
    <t>Are behavioral health high-intensity outpatient services provided?</t>
  </si>
  <si>
    <t>Total behavioral health high-intensity outpatient services expense (A + B)</t>
  </si>
  <si>
    <r>
      <t xml:space="preserve">As-Filed </t>
    </r>
    <r>
      <rPr>
        <b/>
        <sz val="16"/>
        <rFont val="Calibri"/>
        <family val="2"/>
        <scheme val="minor"/>
      </rPr>
      <t>Schedule 2G: Behavioral Health High-Intensity Outpatient Services (ONLY for New Comprehensive Safety Net Providers)</t>
    </r>
  </si>
  <si>
    <t>Are care management services provided?</t>
  </si>
  <si>
    <t>Total care management expense (A + B)</t>
  </si>
  <si>
    <r>
      <t xml:space="preserve">As-Filed </t>
    </r>
    <r>
      <rPr>
        <b/>
        <sz val="16"/>
        <rFont val="Calibri"/>
        <family val="2"/>
        <scheme val="minor"/>
      </rPr>
      <t>Schedule 2H: Care Management (ONLY for New Comprehensive Safety Net Providers)</t>
    </r>
  </si>
  <si>
    <t>Are outreach, education, and engagement services provided?</t>
  </si>
  <si>
    <t>Total outreach, education, and engagement services expense (A + B)</t>
  </si>
  <si>
    <r>
      <t xml:space="preserve">As-Filed </t>
    </r>
    <r>
      <rPr>
        <b/>
        <sz val="16"/>
        <rFont val="Calibri"/>
        <family val="2"/>
        <scheme val="minor"/>
      </rPr>
      <t>Schedule 2I: Outreach, Education, and Engagement Services (ONLY for New Comprehensive Safety Net Providers)</t>
    </r>
  </si>
  <si>
    <t>Are mental health and substance use recovery supports services provided?</t>
  </si>
  <si>
    <t>Total mental health and substance use recovery supports expense (A + B)</t>
  </si>
  <si>
    <r>
      <t xml:space="preserve">As-Filed </t>
    </r>
    <r>
      <rPr>
        <b/>
        <sz val="16"/>
        <rFont val="Calibri"/>
        <family val="2"/>
        <scheme val="minor"/>
      </rPr>
      <t>Schedule 2J: Mental Health and Substance Use Recovery Supports (ONLY for New Comprehensive Safety Net Providers)</t>
    </r>
  </si>
  <si>
    <t>Are care coordination services provided?</t>
  </si>
  <si>
    <t>Total care coordination expense (A + B)</t>
  </si>
  <si>
    <r>
      <t xml:space="preserve">As-Filed </t>
    </r>
    <r>
      <rPr>
        <b/>
        <sz val="16"/>
        <rFont val="Calibri"/>
        <family val="2"/>
        <scheme val="minor"/>
      </rPr>
      <t>Schedule 2K: Care Coordination (ONLY for New Comprehensive Safety Net Providers)</t>
    </r>
  </si>
  <si>
    <t>Are outpatient competency restoration services provided?</t>
  </si>
  <si>
    <t>Total outpatient competency restoration expense (A + B)</t>
  </si>
  <si>
    <r>
      <t xml:space="preserve">As-Filed </t>
    </r>
    <r>
      <rPr>
        <b/>
        <sz val="16"/>
        <rFont val="Calibri"/>
        <family val="2"/>
        <scheme val="minor"/>
      </rPr>
      <t>Schedule 2L: Outpatient Competency Restoration (ONLY for New Comprehensive Safety Net Providers)</t>
    </r>
  </si>
  <si>
    <t>and Monitoring to Key Health Indicator (ONLY for New Comprehensive Safety Net Providers)</t>
  </si>
  <si>
    <t>Are screening, assessment, and diagnosis, including risk assessment, crisis planning, and monitoring to key health indicator services provided?</t>
  </si>
  <si>
    <t>Total screening, assessment, and diagnosis, including risk assessment, crisis planning, and monitoring to key health indicator expense (A + B)</t>
  </si>
  <si>
    <r>
      <t xml:space="preserve">As-Filed </t>
    </r>
    <r>
      <rPr>
        <b/>
        <sz val="16"/>
        <rFont val="Calibri"/>
        <family val="2"/>
        <scheme val="minor"/>
      </rPr>
      <t xml:space="preserve">Schedule 2M: Screening, Assessment, and Diagnosis, Including Risk Assessment, Crisis Planning, </t>
    </r>
  </si>
  <si>
    <t>Previously Established Community Mental Health Center (CMHC) Service Groups</t>
  </si>
  <si>
    <r>
      <t>Adjustments to</t>
    </r>
    <r>
      <rPr>
        <b/>
        <sz val="16"/>
        <rFont val="Calibri"/>
        <family val="2"/>
        <scheme val="minor"/>
      </rPr>
      <t xml:space="preserve"> Schedule 2E: Emergency and Crisis Behavioral Health Services (ONLY for New Comprehensive Safety Net Providers)</t>
    </r>
  </si>
  <si>
    <r>
      <t>Adjustments to</t>
    </r>
    <r>
      <rPr>
        <b/>
        <sz val="16"/>
        <rFont val="Calibri"/>
        <family val="2"/>
        <scheme val="minor"/>
      </rPr>
      <t xml:space="preserve"> Schedule 2F: Mental Health and Substance Use Outpatient Services (ONLY for New Comprehensive Safety Net Providers)</t>
    </r>
  </si>
  <si>
    <r>
      <t>Adjustments to</t>
    </r>
    <r>
      <rPr>
        <b/>
        <sz val="16"/>
        <rFont val="Calibri"/>
        <family val="2"/>
        <scheme val="minor"/>
      </rPr>
      <t xml:space="preserve"> Schedule 2G: Behavioral Health High-Intensity Outpatient Services (ONLY for New Comprehensive Safety Net Providers)</t>
    </r>
  </si>
  <si>
    <r>
      <t>Adjustments to</t>
    </r>
    <r>
      <rPr>
        <b/>
        <sz val="16"/>
        <rFont val="Calibri"/>
        <family val="2"/>
        <scheme val="minor"/>
      </rPr>
      <t xml:space="preserve"> Schedule 2H: Care Management (ONLY for New Comprehensive Safety Net Providers)</t>
    </r>
  </si>
  <si>
    <r>
      <t>Adjustments to</t>
    </r>
    <r>
      <rPr>
        <b/>
        <sz val="16"/>
        <rFont val="Calibri"/>
        <family val="2"/>
        <scheme val="minor"/>
      </rPr>
      <t xml:space="preserve"> Schedule 2I: Outreach, Education, and Engagement Services (ONLY for New Comprehensive Safety Net Providers)</t>
    </r>
  </si>
  <si>
    <r>
      <t>Adjustments to</t>
    </r>
    <r>
      <rPr>
        <b/>
        <sz val="16"/>
        <rFont val="Calibri"/>
        <family val="2"/>
        <scheme val="minor"/>
      </rPr>
      <t xml:space="preserve"> Schedule 2J: Mental Health and Substance Use Recovery Supports (ONLY for New Comprehensive Safety Net Providers)</t>
    </r>
  </si>
  <si>
    <r>
      <t>Adjustments to</t>
    </r>
    <r>
      <rPr>
        <b/>
        <sz val="16"/>
        <rFont val="Calibri"/>
        <family val="2"/>
        <scheme val="minor"/>
      </rPr>
      <t xml:space="preserve"> Schedule 2K: Care Coordination (ONLY for New Comprehensive Safety Net Providers)</t>
    </r>
  </si>
  <si>
    <r>
      <t>Adjustments to</t>
    </r>
    <r>
      <rPr>
        <b/>
        <sz val="16"/>
        <rFont val="Calibri"/>
        <family val="2"/>
        <scheme val="minor"/>
      </rPr>
      <t xml:space="preserve"> Schedule 2L: Outpatient Competency Restoration (ONLY for New Comprehensive Safety Net Providers)</t>
    </r>
  </si>
  <si>
    <r>
      <t>Adjustments to</t>
    </r>
    <r>
      <rPr>
        <b/>
        <sz val="16"/>
        <rFont val="Calibri"/>
        <family val="2"/>
        <scheme val="minor"/>
      </rPr>
      <t xml:space="preserve"> Schedule 2M: Screening, Assessment, and Diagnosis, Including Risk Assessment, Crisis Planning, </t>
    </r>
  </si>
  <si>
    <r>
      <rPr>
        <b/>
        <sz val="16"/>
        <color rgb="FFFF0000"/>
        <rFont val="Calibri"/>
        <family val="2"/>
        <scheme val="minor"/>
      </rPr>
      <t>Adjusted</t>
    </r>
    <r>
      <rPr>
        <b/>
        <sz val="16"/>
        <rFont val="Calibri"/>
        <family val="2"/>
        <scheme val="minor"/>
      </rPr>
      <t xml:space="preserve"> Schedule 2E: Emergency and Crisis Behavioral Health Services (ONLY for New Comprehensive Safety Net Providers)</t>
    </r>
  </si>
  <si>
    <r>
      <rPr>
        <b/>
        <sz val="16"/>
        <color rgb="FFFF0000"/>
        <rFont val="Calibri"/>
        <family val="2"/>
        <scheme val="minor"/>
      </rPr>
      <t>Adjusted</t>
    </r>
    <r>
      <rPr>
        <b/>
        <sz val="16"/>
        <rFont val="Calibri"/>
        <family val="2"/>
        <scheme val="minor"/>
      </rPr>
      <t xml:space="preserve"> Schedule 2F: Mental Health and Substance Use Outpatient Services (ONLY for New Comprehensive Safety Net Providers)</t>
    </r>
  </si>
  <si>
    <r>
      <rPr>
        <b/>
        <sz val="16"/>
        <color rgb="FFFF0000"/>
        <rFont val="Calibri"/>
        <family val="2"/>
        <scheme val="minor"/>
      </rPr>
      <t>Adjusted</t>
    </r>
    <r>
      <rPr>
        <b/>
        <sz val="16"/>
        <rFont val="Calibri"/>
        <family val="2"/>
        <scheme val="minor"/>
      </rPr>
      <t xml:space="preserve"> Schedule 2G: Behavioral Health High-Intensity Outpatient Services (ONLY for New Comprehensive Safety Net Providers)</t>
    </r>
  </si>
  <si>
    <r>
      <rPr>
        <b/>
        <sz val="16"/>
        <color rgb="FFFF0000"/>
        <rFont val="Calibri"/>
        <family val="2"/>
        <scheme val="minor"/>
      </rPr>
      <t>Adjusted</t>
    </r>
    <r>
      <rPr>
        <b/>
        <sz val="16"/>
        <rFont val="Calibri"/>
        <family val="2"/>
        <scheme val="minor"/>
      </rPr>
      <t xml:space="preserve"> Schedule 2H: Care Management (ONLY for New Comprehensive Safety Net Providers)</t>
    </r>
  </si>
  <si>
    <r>
      <rPr>
        <b/>
        <sz val="16"/>
        <color rgb="FFFF0000"/>
        <rFont val="Calibri"/>
        <family val="2"/>
        <scheme val="minor"/>
      </rPr>
      <t>Adjusted</t>
    </r>
    <r>
      <rPr>
        <b/>
        <sz val="16"/>
        <rFont val="Calibri"/>
        <family val="2"/>
        <scheme val="minor"/>
      </rPr>
      <t xml:space="preserve"> Schedule 2I: Outreach, Education, and Engagement Services (ONLY for New Comprehensive Safety Net Providers)</t>
    </r>
  </si>
  <si>
    <r>
      <rPr>
        <b/>
        <sz val="16"/>
        <color rgb="FFFF0000"/>
        <rFont val="Calibri"/>
        <family val="2"/>
        <scheme val="minor"/>
      </rPr>
      <t>Adjusted</t>
    </r>
    <r>
      <rPr>
        <b/>
        <sz val="16"/>
        <rFont val="Calibri"/>
        <family val="2"/>
        <scheme val="minor"/>
      </rPr>
      <t xml:space="preserve"> Schedule 2J: Mental Health and Substance Use Recovery Supports (ONLY for New Comprehensive Safety Net Providers)</t>
    </r>
  </si>
  <si>
    <r>
      <rPr>
        <b/>
        <sz val="16"/>
        <color rgb="FFFF0000"/>
        <rFont val="Calibri"/>
        <family val="2"/>
        <scheme val="minor"/>
      </rPr>
      <t>Adjusted</t>
    </r>
    <r>
      <rPr>
        <b/>
        <sz val="16"/>
        <rFont val="Calibri"/>
        <family val="2"/>
        <scheme val="minor"/>
      </rPr>
      <t xml:space="preserve"> Schedule 2K: Care Coordination (ONLY for New Comprehensive Safety Net Providers)</t>
    </r>
  </si>
  <si>
    <r>
      <rPr>
        <b/>
        <sz val="16"/>
        <color rgb="FFFF0000"/>
        <rFont val="Calibri"/>
        <family val="2"/>
        <scheme val="minor"/>
      </rPr>
      <t>Adjusted</t>
    </r>
    <r>
      <rPr>
        <b/>
        <sz val="16"/>
        <rFont val="Calibri"/>
        <family val="2"/>
        <scheme val="minor"/>
      </rPr>
      <t xml:space="preserve"> Schedule 2L: Outpatient Competency Restoration (ONLY for New Comprehensive Safety Net Providers)</t>
    </r>
  </si>
  <si>
    <r>
      <rPr>
        <b/>
        <sz val="16"/>
        <color rgb="FFFF0000"/>
        <rFont val="Calibri"/>
        <family val="2"/>
        <scheme val="minor"/>
      </rPr>
      <t>Adjusted</t>
    </r>
    <r>
      <rPr>
        <b/>
        <sz val="16"/>
        <rFont val="Calibri"/>
        <family val="2"/>
        <scheme val="minor"/>
      </rPr>
      <t xml:space="preserve"> Schedule 2M: Screening, Assessment, and Diagnosis, Including Risk Assessment, Crisis Planning, </t>
    </r>
  </si>
  <si>
    <t xml:space="preserve">Total costs from Column 3 on Schedule 1 </t>
  </si>
  <si>
    <t xml:space="preserve">Total encounters </t>
  </si>
  <si>
    <t>Less: Encounter-based Essential services expense</t>
  </si>
  <si>
    <t xml:space="preserve">Total allowable costs for PPS rate </t>
  </si>
  <si>
    <t xml:space="preserve">PPS RATE </t>
  </si>
  <si>
    <r>
      <rPr>
        <sz val="11"/>
        <color rgb="FFFF0000"/>
        <rFont val="Calibri"/>
        <family val="2"/>
        <scheme val="minor"/>
      </rPr>
      <t xml:space="preserve">Adjusted </t>
    </r>
    <r>
      <rPr>
        <sz val="11"/>
        <rFont val="Calibri"/>
        <family val="2"/>
        <scheme val="minor"/>
      </rPr>
      <t xml:space="preserve">Total costs from Column 3 on Schedule 1 </t>
    </r>
  </si>
  <si>
    <r>
      <rPr>
        <sz val="11"/>
        <color rgb="FFFF0000"/>
        <rFont val="Calibri"/>
        <family val="2"/>
        <scheme val="minor"/>
      </rPr>
      <t>Adjusted</t>
    </r>
    <r>
      <rPr>
        <sz val="11"/>
        <rFont val="Calibri"/>
        <family val="2"/>
        <scheme val="minor"/>
      </rPr>
      <t xml:space="preserve"> Less: Encounter-based Essential services expense</t>
    </r>
  </si>
  <si>
    <r>
      <rPr>
        <b/>
        <sz val="11"/>
        <color rgb="FFFF0000"/>
        <rFont val="Calibri"/>
        <family val="2"/>
        <scheme val="minor"/>
      </rPr>
      <t xml:space="preserve">Adjusted </t>
    </r>
    <r>
      <rPr>
        <b/>
        <sz val="11"/>
        <rFont val="Calibri"/>
        <family val="2"/>
        <scheme val="minor"/>
      </rPr>
      <t xml:space="preserve">Total allowable costs for PPS rate </t>
    </r>
  </si>
  <si>
    <r>
      <rPr>
        <sz val="11"/>
        <color rgb="FFFF0000"/>
        <rFont val="Calibri"/>
        <family val="2"/>
        <scheme val="minor"/>
      </rPr>
      <t>Adjusted</t>
    </r>
    <r>
      <rPr>
        <sz val="11"/>
        <rFont val="Calibri"/>
        <family val="2"/>
        <scheme val="minor"/>
      </rPr>
      <t xml:space="preserve"> Total encounters </t>
    </r>
  </si>
  <si>
    <r>
      <rPr>
        <b/>
        <sz val="14"/>
        <color rgb="FFFF0000"/>
        <rFont val="Calibri"/>
        <family val="2"/>
        <scheme val="minor"/>
      </rPr>
      <t>Adjusted</t>
    </r>
    <r>
      <rPr>
        <b/>
        <sz val="14"/>
        <rFont val="Calibri"/>
        <family val="2"/>
        <scheme val="minor"/>
      </rPr>
      <t xml:space="preserve"> PPS RATE </t>
    </r>
  </si>
  <si>
    <t>Schedule 5: Revenues</t>
  </si>
  <si>
    <t>REVENUES</t>
  </si>
  <si>
    <t>AMOUNT</t>
  </si>
  <si>
    <t>CLIENT SERVICE</t>
  </si>
  <si>
    <t>Medicaid - Regional Accountable Entities</t>
  </si>
  <si>
    <t>Medicaid Fee for Service</t>
  </si>
  <si>
    <t>Medicare</t>
  </si>
  <si>
    <t>Commercial Insurance</t>
  </si>
  <si>
    <t>Client Fees</t>
  </si>
  <si>
    <t>Non-Governmental Grants and Contracts</t>
  </si>
  <si>
    <t>Other Contracts</t>
  </si>
  <si>
    <t>Client Service Total</t>
  </si>
  <si>
    <t>GOVERNMENT</t>
  </si>
  <si>
    <t>Federal Grants and Contracts</t>
  </si>
  <si>
    <t>Behavioral Health Administration - Direct</t>
  </si>
  <si>
    <t>Behavioral Health Administration - Indirect</t>
  </si>
  <si>
    <t>Local Grants and Contracts</t>
  </si>
  <si>
    <t>Other Government Grants and Contracts</t>
  </si>
  <si>
    <t>Government Total</t>
  </si>
  <si>
    <t>PUBLIC SUPPORT</t>
  </si>
  <si>
    <t>Donated Services</t>
  </si>
  <si>
    <t>Donated Hospital</t>
  </si>
  <si>
    <t>Donated Medications</t>
  </si>
  <si>
    <t>Donated Building Space</t>
  </si>
  <si>
    <t>Other Donations Received</t>
  </si>
  <si>
    <t>Public Support Total</t>
  </si>
  <si>
    <t>OTHER INCOME</t>
  </si>
  <si>
    <t>Management Fees</t>
  </si>
  <si>
    <t>Other</t>
  </si>
  <si>
    <t>Other Income Total</t>
  </si>
  <si>
    <t>TOTAL REVENUE</t>
  </si>
  <si>
    <t>Total Revenue per Audited Financial Statements</t>
  </si>
  <si>
    <r>
      <rPr>
        <b/>
        <sz val="16"/>
        <color rgb="FF0000FF"/>
        <rFont val="Calibri"/>
        <family val="2"/>
        <scheme val="minor"/>
      </rPr>
      <t xml:space="preserve">As-Filed </t>
    </r>
    <r>
      <rPr>
        <b/>
        <sz val="16"/>
        <rFont val="Calibri"/>
        <family val="2"/>
        <scheme val="minor"/>
      </rPr>
      <t>Schedule 5: Revenues</t>
    </r>
  </si>
  <si>
    <t>Adjustments - AMOUNT</t>
  </si>
  <si>
    <t>Adjusted - AMOUNT</t>
  </si>
  <si>
    <r>
      <rPr>
        <b/>
        <sz val="16"/>
        <color rgb="FFFF0000"/>
        <rFont val="Calibri"/>
        <family val="2"/>
        <scheme val="minor"/>
      </rPr>
      <t>Adjusted</t>
    </r>
    <r>
      <rPr>
        <b/>
        <sz val="16"/>
        <rFont val="Calibri"/>
        <family val="2"/>
        <scheme val="minor"/>
      </rPr>
      <t xml:space="preserve"> Schedule 5: Revenues</t>
    </r>
  </si>
  <si>
    <r>
      <t xml:space="preserve">Adjusted - </t>
    </r>
    <r>
      <rPr>
        <b/>
        <sz val="11"/>
        <rFont val="Calibri"/>
        <family val="2"/>
        <scheme val="minor"/>
      </rPr>
      <t>AMOUNT</t>
    </r>
  </si>
  <si>
    <r>
      <t xml:space="preserve">The current year direct salary limit must be input into cell E8 on the </t>
    </r>
    <r>
      <rPr>
        <b/>
        <sz val="11"/>
        <rFont val="Calibri"/>
        <family val="2"/>
        <scheme val="minor"/>
      </rPr>
      <t>Schedule 1A Adjustments</t>
    </r>
    <r>
      <rPr>
        <sz val="11"/>
        <color theme="1"/>
        <rFont val="Calibri"/>
        <family val="2"/>
        <scheme val="minor"/>
      </rPr>
      <t xml:space="preserve"> tab. The limit for the </t>
    </r>
    <r>
      <rPr>
        <sz val="11"/>
        <color rgb="FFFF0000"/>
        <rFont val="Calibri"/>
        <family val="2"/>
        <scheme val="minor"/>
      </rPr>
      <t>2024</t>
    </r>
    <r>
      <rPr>
        <sz val="11"/>
        <color theme="1"/>
        <rFont val="Calibri"/>
        <family val="2"/>
        <scheme val="minor"/>
      </rPr>
      <t xml:space="preserve"> cost report period is </t>
    </r>
    <r>
      <rPr>
        <sz val="11"/>
        <color rgb="FFFF0000"/>
        <rFont val="Calibri"/>
        <family val="2"/>
        <scheme val="minor"/>
      </rPr>
      <t>$332,850.</t>
    </r>
  </si>
  <si>
    <t xml:space="preserve">Schedule 2M - Total Screening, Assessment, and Diagnosis, Including Risk Assessment, Crisis Planning, and Monitoring to Key Health Indicator Expense </t>
  </si>
  <si>
    <t>Schedule 2L - Total Outpatient Competency Restoration Expense</t>
  </si>
  <si>
    <t>Schedule 2K - Total Care Coordination Expense</t>
  </si>
  <si>
    <t>Schedule 2J - Total Mental Health and Substance Use Recovery Supports Expense</t>
  </si>
  <si>
    <t>Schedule 2I - Total Outreach, Education, and Engagement Services Expense</t>
  </si>
  <si>
    <t>Schedule 2H - Total Care Management Expense</t>
  </si>
  <si>
    <t>Schedule 2G - Total Behavioral Health High-Intensity Outpatient Services Expense</t>
  </si>
  <si>
    <t>Schedule 2F - Total Mental Health and Substance Use Outpatient Services Expense</t>
  </si>
  <si>
    <t>Schedule 2E - Total Emergency and Crisis Behavioral Health Services Expense</t>
  </si>
  <si>
    <r>
      <t xml:space="preserve">If the response to the Section 1 question at the top of these tabs was answered incorrectly by the provider, it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answer.</t>
    </r>
  </si>
  <si>
    <r>
      <t xml:space="preserve">If the programs listed on these tabs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description.</t>
    </r>
  </si>
  <si>
    <r>
      <t>The "Show all Tabs" button may be used by MSLC or the provider to unhide all sheets in this workbook and hide this</t>
    </r>
    <r>
      <rPr>
        <b/>
        <sz val="11"/>
        <color theme="1"/>
        <rFont val="Calibri"/>
        <family val="2"/>
        <scheme val="minor"/>
      </rPr>
      <t xml:space="preserve"> Instructions</t>
    </r>
    <r>
      <rPr>
        <sz val="11"/>
        <color theme="1"/>
        <rFont val="Calibri"/>
        <family val="2"/>
        <scheme val="minor"/>
      </rPr>
      <t xml:space="preserve"> tab. (Note: This tab can be unhidden at any time thereafter, if needed.)</t>
    </r>
  </si>
  <si>
    <r>
      <t xml:space="preserve">The "Hide Schedules 2E/F/G/H/I/J/K/L/M" button may be used by MSLC or the provider to hide all sheets in this workpaper associated with </t>
    </r>
    <r>
      <rPr>
        <b/>
        <sz val="11"/>
        <color theme="1"/>
        <rFont val="Calibri"/>
        <family val="2"/>
        <scheme val="minor"/>
      </rPr>
      <t xml:space="preserve">Schedules 2E/F/G/H/I/J/K/L/M </t>
    </r>
    <r>
      <rPr>
        <sz val="11"/>
        <color theme="1"/>
        <rFont val="Calibri"/>
        <family val="2"/>
        <scheme val="minor"/>
      </rPr>
      <t xml:space="preserve">and hides this </t>
    </r>
    <r>
      <rPr>
        <b/>
        <sz val="11"/>
        <color theme="1"/>
        <rFont val="Calibri"/>
        <family val="2"/>
        <scheme val="minor"/>
      </rPr>
      <t>Instructions</t>
    </r>
    <r>
      <rPr>
        <sz val="11"/>
        <color theme="1"/>
        <rFont val="Calibri"/>
        <family val="2"/>
        <scheme val="minor"/>
      </rPr>
      <t xml:space="preserve"> tab. (Note: These tabs can be unhidden at any time thereafter, if needed.)
</t>
    </r>
  </si>
  <si>
    <t>PPS Rate Calculation</t>
  </si>
  <si>
    <r>
      <rPr>
        <b/>
        <sz val="11"/>
        <rFont val="Calibri"/>
        <family val="2"/>
        <scheme val="minor"/>
      </rPr>
      <t xml:space="preserve">B: </t>
    </r>
    <r>
      <rPr>
        <sz val="11"/>
        <rFont val="Calibri"/>
        <family val="2"/>
        <scheme val="minor"/>
      </rPr>
      <t>Schedule 4 - Encounter-based Essential services expense</t>
    </r>
  </si>
  <si>
    <r>
      <rPr>
        <b/>
        <sz val="11"/>
        <color theme="1"/>
        <rFont val="Calibri"/>
        <family val="2"/>
        <scheme val="minor"/>
      </rPr>
      <t xml:space="preserve">C: </t>
    </r>
    <r>
      <rPr>
        <sz val="11"/>
        <color theme="1"/>
        <rFont val="Calibri"/>
        <family val="2"/>
        <scheme val="minor"/>
      </rPr>
      <t>Schedule 4 - Total Encounters</t>
    </r>
  </si>
  <si>
    <t>Schedule 4 - PPS Rate Calculation (A-B)/C</t>
  </si>
  <si>
    <t>Identify all transactions that are less-than-arms-length (reference the definition below). The provider must identify the nature, amount, account number(s) and/or Program(s) associated with the related party expense. In addition, the vendor/individual name should be included. Multiple types of expenses paid to the same related entity can be combined into a single line below as long as they are reported in the same column on Schedule 1.</t>
  </si>
  <si>
    <t>According to the Behavioral Health Accounting and Auditing Guidelines (A&amp;A Guidelines) for the fiscal year, a less-than-arm's-length transaction is one under which one party to the transaction is able to control or substantially influence the actions of the other. Examples of less-than-arm’s-length transactions include leases, management agreements, or administrative service agreements between a parent and subsidiary or commonly-owned subsidiaries. Related entities are generally those that share common ownership or control with the provider. Expenses paid to related entities are allowable on Schedule 1 of the cost report to the extent that the expense incurred by the provider is not greater than the actual cost incurred by the related organization to provide the supplies/services to the provider. Excess expense above actual cost is reported as unallowable on Schedule 1, and is not included in calculation of the Base Unit Cost.</t>
  </si>
  <si>
    <r>
      <rPr>
        <b/>
        <sz val="16"/>
        <color rgb="FFFF0000"/>
        <rFont val="Calibri"/>
        <family val="2"/>
        <scheme val="minor"/>
      </rPr>
      <t>Adjusted</t>
    </r>
    <r>
      <rPr>
        <b/>
        <sz val="16"/>
        <rFont val="Calibri"/>
        <family val="2"/>
        <scheme val="minor"/>
      </rPr>
      <t xml:space="preserve"> Schedule 3: Per Diem Inpatient and Residential Services</t>
    </r>
  </si>
  <si>
    <r>
      <t>As-Filed</t>
    </r>
    <r>
      <rPr>
        <b/>
        <sz val="16"/>
        <color theme="1"/>
        <rFont val="Calibri"/>
        <family val="2"/>
        <scheme val="minor"/>
      </rPr>
      <t xml:space="preserve"> Schedule 3: Per Diem Inpatient and Residential Services</t>
    </r>
  </si>
  <si>
    <t>SCHEDULE 5</t>
  </si>
  <si>
    <t>Schedule 4 - Total Encounters</t>
  </si>
  <si>
    <r>
      <rPr>
        <b/>
        <sz val="16"/>
        <color rgb="FFFF0000"/>
        <rFont val="Calibri"/>
        <family val="2"/>
        <scheme val="minor"/>
      </rPr>
      <t>Adjusted</t>
    </r>
    <r>
      <rPr>
        <b/>
        <sz val="16"/>
        <rFont val="Calibri"/>
        <family val="2"/>
        <scheme val="minor"/>
      </rPr>
      <t xml:space="preserve"> Schedule 4: Base Unit Cost and PPS Rate Calculation</t>
    </r>
  </si>
  <si>
    <r>
      <t xml:space="preserve">As-Filed </t>
    </r>
    <r>
      <rPr>
        <b/>
        <sz val="16"/>
        <color theme="1"/>
        <rFont val="Calibri"/>
        <family val="2"/>
        <scheme val="minor"/>
      </rPr>
      <t>Schedule 4: Base Unit Cost and PPS Rate Calculation</t>
    </r>
  </si>
  <si>
    <r>
      <t xml:space="preserve">Adjustments to </t>
    </r>
    <r>
      <rPr>
        <b/>
        <sz val="16"/>
        <rFont val="Calibri"/>
        <family val="2"/>
        <scheme val="minor"/>
      </rPr>
      <t>Schedule 3: Per Diem Inpatient and Residential Services</t>
    </r>
  </si>
  <si>
    <r>
      <t xml:space="preserve">Adjustments to </t>
    </r>
    <r>
      <rPr>
        <b/>
        <sz val="16"/>
        <rFont val="Calibri"/>
        <family val="2"/>
        <scheme val="minor"/>
      </rPr>
      <t>Schedule 4: Base Unit Cost and PPS Rate Calculation</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</si>
  <si>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1A Adjustments</t>
    </r>
    <r>
      <rPr>
        <sz val="11"/>
        <color theme="1"/>
        <rFont val="Calibri"/>
        <family val="2"/>
        <scheme val="minor"/>
      </rPr>
      <t xml:space="preserve"> tab: job title in column 1, Schedule 1 Column identified in column 2, Number of Months in Role identified in column 3, or Non-Clinical Role FTE in column 4.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</si>
  <si>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t>Health Solutions</t>
  </si>
  <si>
    <t>The cost of employee benefits such as workers comp insurance, unemployment insurance, medical benefits and other employee benefits are allocated to programs based on the number of FTE's in each program.</t>
  </si>
  <si>
    <t>The costs of IT purchases (hardware, software and IT supplies) that benefit the company (i.e. servers and other network hardware and software) and all depreciation are allocated to programs based on the number of FTE's in each program.</t>
  </si>
  <si>
    <t>The costs to maintain buildings and their related grounds are allocated to programs based on the number of FTE's from each program that occupies the respective buildings.</t>
  </si>
  <si>
    <t>The indirect cost allocated to unallowable costs (i.e. marketing and advertising) is based on the actual costs to administer the unallowable items.</t>
  </si>
  <si>
    <t>Costs of indirect programs (i.e. IT, business intelligence, finance, HR, etc.) are allocated to direct programs based on each direct program's percent of total direct program costs after the previous allocations.</t>
  </si>
  <si>
    <t>Yes</t>
  </si>
  <si>
    <t>Intercompany rents</t>
  </si>
  <si>
    <t>5322 - Montebello building</t>
  </si>
  <si>
    <t>Spanish Peaks Asset Management LLC</t>
  </si>
  <si>
    <t>5322 - Family Center Counseling, Family Center IOP, Learning Center, Medical Center</t>
  </si>
  <si>
    <t>Crisis Living Room</t>
  </si>
  <si>
    <t>Mobile Crisis Services</t>
  </si>
  <si>
    <t>Respite Services</t>
  </si>
  <si>
    <t>Temple Buell Early Childhood grant</t>
  </si>
  <si>
    <t>Competancy Restoration</t>
  </si>
  <si>
    <t>Housing</t>
  </si>
  <si>
    <t>Adult Outpatient - Chinook location</t>
  </si>
  <si>
    <t>Career Horizons (vocational training)</t>
  </si>
  <si>
    <t>Crestone (adult outpatient &amp; substance use treatment)</t>
  </si>
  <si>
    <t>DUI services</t>
  </si>
  <si>
    <t>Early Childhood Services</t>
  </si>
  <si>
    <t>Family Center Counseling Services</t>
  </si>
  <si>
    <t>Family Center Intensive Outpatient Services</t>
  </si>
  <si>
    <t>Internship Program</t>
  </si>
  <si>
    <t>The Learning Center (adult outpatient)</t>
  </si>
  <si>
    <t>The Learning Tree (therapeutic daycare)</t>
  </si>
  <si>
    <t>Medical Center (primary care clinic)</t>
  </si>
  <si>
    <t>Medication Assisted Recovery Center - Pueblo, CO</t>
  </si>
  <si>
    <t>Nurse Practitional Services</t>
  </si>
  <si>
    <t>Nursing (non-NP) Services</t>
  </si>
  <si>
    <t>Open Access (immediate outpatient services)</t>
  </si>
  <si>
    <t>Perry Hall (integrated family clinic)</t>
  </si>
  <si>
    <t>Prescribers (psychiatrists)</t>
  </si>
  <si>
    <t>Quality &amp; Compliance (for all services)</t>
  </si>
  <si>
    <t>Recovery Center (drop-in services)</t>
  </si>
  <si>
    <t>Offender Mental Health Services</t>
  </si>
  <si>
    <t>School-Based Services</t>
  </si>
  <si>
    <t>Outreach Team</t>
  </si>
  <si>
    <t>Support Services (front desk at outpatient clinics)</t>
  </si>
  <si>
    <t>The Right Place (care coordination at VA assisted living)</t>
  </si>
  <si>
    <t>Medication Assisted Recovery Center - Trinidad, CO</t>
  </si>
  <si>
    <t>Outpatient Services - Trinidad, CO</t>
  </si>
  <si>
    <t>Outpatient Services - Walsenburg, CO</t>
  </si>
  <si>
    <t>Youth &amp; Family Services</t>
  </si>
  <si>
    <t>Injectable medications &amp; lab services</t>
  </si>
  <si>
    <t>Electronic Health Record team</t>
  </si>
  <si>
    <t>Assertive Community Treatment (ACT)</t>
  </si>
  <si>
    <t>First Episode of Psychosis</t>
  </si>
  <si>
    <t>Mobile Early Intervention Services</t>
  </si>
  <si>
    <t>Multi-Systemic Therapy (MST)</t>
  </si>
  <si>
    <t>Acute Treatment Unit (ATU)</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</si>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</sst>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0.0%"/>
    <numFmt numFmtId="168" formatCode="mm/dd/yy;@"/>
    <numFmt numFmtId="169" formatCode="0.0_);\(0.0\)"/>
    <numFmt numFmtId="170" formatCode="m/d/yyyy;;;"/>
    <numFmt numFmtId="171" formatCode="#,##0_);\(#,##0\);;"/>
    <numFmt numFmtId="172" formatCode="General;;"/>
    <numFmt numFmtId="173" formatCode="00000;;;"/>
    <numFmt numFmtId="174" formatCode="#,##0;;;"/>
    <numFmt numFmtId="175" formatCode="00000;;"/>
    <numFmt numFmtId="176" formatCode="_(* #,##0.00_);_(* \(\ #,##0.00\ \);_(* &quot;-&quot;??_);_(\ @_ \)"/>
    <numFmt numFmtId="177" formatCode="_(\ #,##0_);_(\ \(#,##0\);_(\ &quot;-&quot;_)"/>
  </numFmts>
  <fonts count="8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b/>
      <u/>
      <sz val="14"/>
      <color theme="1"/>
      <name val="Calibri"/>
      <family val="2"/>
      <scheme val="minor"/>
    </font>
    <font>
      <b/>
      <sz val="16"/>
      <color rgb="FF0033CC"/>
      <name val="Calibri"/>
      <family val="2"/>
      <scheme val="minor"/>
    </font>
    <font>
      <b/>
      <sz val="11"/>
      <color rgb="FFFF0000"/>
      <name val="Calibri"/>
      <family val="2"/>
      <scheme val="minor"/>
    </font>
    <font>
      <b/>
      <i/>
      <sz val="9"/>
      <color rgb="FFFF0000"/>
      <name val="Calibri"/>
      <family val="2"/>
      <scheme val="minor"/>
    </font>
    <font>
      <i/>
      <sz val="11"/>
      <color theme="1"/>
      <name val="Calibri"/>
      <family val="2"/>
      <scheme val="minor"/>
    </font>
    <font>
      <b/>
      <i/>
      <sz val="10"/>
      <color rgb="FFFF0000"/>
      <name val="Calibri"/>
      <family val="2"/>
      <scheme val="minor"/>
    </font>
    <font>
      <sz val="11"/>
      <color rgb="FF7030A0"/>
      <name val="Calibri"/>
      <family val="2"/>
      <scheme val="minor"/>
    </font>
    <font>
      <b/>
      <i/>
      <sz val="10"/>
      <name val="Calibri"/>
      <family val="2"/>
      <scheme val="minor"/>
    </font>
    <font>
      <b/>
      <u/>
      <sz val="11"/>
      <color theme="1"/>
      <name val="Calibri"/>
      <family val="2"/>
      <scheme val="minor"/>
    </font>
    <font>
      <b/>
      <sz val="16"/>
      <color rgb="FFFF0000"/>
      <name val="Calibri"/>
      <family val="2"/>
      <scheme val="minor"/>
    </font>
    <font>
      <sz val="9"/>
      <color theme="1"/>
      <name val="Calibri"/>
      <family val="2"/>
      <scheme val="minor"/>
    </font>
    <font>
      <u/>
      <sz val="11"/>
      <color rgb="FFFF0000"/>
      <name val="Calibri"/>
      <family val="2"/>
      <scheme val="minor"/>
    </font>
    <font>
      <sz val="12"/>
      <color theme="1"/>
      <name val="Calibri"/>
      <family val="2"/>
      <scheme val="minor"/>
    </font>
    <font>
      <b/>
      <sz val="12"/>
      <color theme="1"/>
      <name val="Calibri"/>
      <family val="2"/>
      <scheme val="minor"/>
    </font>
    <font>
      <sz val="10"/>
      <color theme="1"/>
      <name val="Arial"/>
      <family val="2"/>
    </font>
    <font>
      <sz val="11"/>
      <color theme="1"/>
      <name val="Arial"/>
      <family val="2"/>
    </font>
    <font>
      <b/>
      <i/>
      <sz val="12"/>
      <name val="Calibri"/>
      <family val="2"/>
      <scheme val="minor"/>
    </font>
    <font>
      <b/>
      <i/>
      <sz val="10"/>
      <color theme="1"/>
      <name val="Arial"/>
      <family val="2"/>
    </font>
    <font>
      <i/>
      <sz val="8"/>
      <color theme="1"/>
      <name val="Calibri"/>
      <family val="2"/>
      <scheme val="minor"/>
    </font>
    <font>
      <sz val="11"/>
      <name val="Calibri"/>
      <family val="2"/>
      <scheme val="minor"/>
    </font>
    <font>
      <b/>
      <sz val="11"/>
      <name val="Calibri"/>
      <family val="2"/>
      <scheme val="minor"/>
    </font>
    <font>
      <b/>
      <u/>
      <sz val="11"/>
      <color rgb="FFFF0000"/>
      <name val="Calibri"/>
      <family val="2"/>
      <scheme val="minor"/>
    </font>
    <font>
      <sz val="12"/>
      <color rgb="FFFF0000"/>
      <name val="Calibri"/>
      <family val="2"/>
      <scheme val="minor"/>
    </font>
    <font>
      <sz val="11"/>
      <color rgb="FFFF0000"/>
      <name val="Arial"/>
      <family val="2"/>
    </font>
    <font>
      <i/>
      <sz val="11"/>
      <name val="Calibri"/>
      <family val="2"/>
      <scheme val="minor"/>
    </font>
    <font>
      <b/>
      <i/>
      <sz val="11"/>
      <name val="Calibri"/>
      <family val="2"/>
      <scheme val="minor"/>
    </font>
    <font>
      <b/>
      <sz val="12"/>
      <name val="Calibri"/>
      <family val="2"/>
      <scheme val="minor"/>
    </font>
    <font>
      <b/>
      <i/>
      <sz val="9"/>
      <name val="Calibri"/>
      <family val="2"/>
      <scheme val="minor"/>
    </font>
    <font>
      <b/>
      <i/>
      <sz val="10"/>
      <name val="Arial"/>
      <family val="2"/>
    </font>
    <font>
      <sz val="10"/>
      <name val="Arial"/>
      <family val="2"/>
    </font>
    <font>
      <sz val="11"/>
      <name val="Arial"/>
      <family val="2"/>
    </font>
    <font>
      <b/>
      <sz val="8"/>
      <name val="Arial"/>
      <family val="2"/>
    </font>
    <font>
      <i/>
      <sz val="10"/>
      <name val="Arial"/>
      <family val="2"/>
    </font>
    <font>
      <sz val="8"/>
      <name val="Calibri"/>
      <family val="2"/>
      <scheme val="minor"/>
    </font>
    <font>
      <b/>
      <sz val="8"/>
      <name val="Calibri"/>
      <family val="2"/>
      <scheme val="minor"/>
    </font>
    <font>
      <b/>
      <sz val="9"/>
      <name val="Calibri"/>
      <family val="2"/>
      <scheme val="minor"/>
    </font>
    <font>
      <b/>
      <u/>
      <sz val="11"/>
      <name val="Calibri"/>
      <family val="2"/>
      <scheme val="minor"/>
    </font>
    <font>
      <b/>
      <sz val="16"/>
      <name val="Calibri"/>
      <family val="2"/>
      <scheme val="minor"/>
    </font>
    <font>
      <b/>
      <sz val="8"/>
      <color rgb="FFFF0000"/>
      <name val="Calibri"/>
      <family val="2"/>
      <scheme val="minor"/>
    </font>
    <font>
      <b/>
      <i/>
      <u/>
      <sz val="11"/>
      <color theme="1"/>
      <name val="Calibri"/>
      <family val="2"/>
      <scheme val="minor"/>
    </font>
    <font>
      <b/>
      <sz val="9"/>
      <color theme="1"/>
      <name val="Calibri"/>
      <family val="2"/>
      <scheme val="minor"/>
    </font>
    <font>
      <sz val="11"/>
      <color rgb="FF0000FF"/>
      <name val="Calibri"/>
      <family val="2"/>
      <scheme val="minor"/>
    </font>
    <font>
      <b/>
      <sz val="11"/>
      <color rgb="FF0000FF"/>
      <name val="Calibri"/>
      <family val="2"/>
      <scheme val="minor"/>
    </font>
    <font>
      <b/>
      <i/>
      <sz val="11"/>
      <color rgb="FF0000FF"/>
      <name val="Calibri"/>
      <family val="2"/>
      <scheme val="minor"/>
    </font>
    <font>
      <b/>
      <i/>
      <sz val="11"/>
      <color rgb="FFFF0000"/>
      <name val="Calibri"/>
      <family val="2"/>
      <scheme val="minor"/>
    </font>
    <font>
      <sz val="9"/>
      <name val="Arial"/>
      <family val="2"/>
    </font>
    <font>
      <b/>
      <sz val="10"/>
      <name val="Arial"/>
      <family val="2"/>
    </font>
    <font>
      <u/>
      <sz val="10"/>
      <color rgb="FFFF0000"/>
      <name val="Arial"/>
      <family val="2"/>
    </font>
    <font>
      <sz val="10"/>
      <color rgb="FFFF0000"/>
      <name val="Arial"/>
      <family val="2"/>
    </font>
    <font>
      <sz val="10"/>
      <name val="MS Sans Serif"/>
    </font>
    <font>
      <sz val="10"/>
      <name val="MS Sans Serif"/>
      <family val="2"/>
    </font>
    <font>
      <b/>
      <sz val="10"/>
      <color rgb="FFFF0000"/>
      <name val="Arial"/>
      <family val="2"/>
    </font>
    <font>
      <b/>
      <i/>
      <sz val="9"/>
      <color rgb="FFFF0000"/>
      <name val="Arial"/>
      <family val="2"/>
    </font>
    <font>
      <b/>
      <sz val="16"/>
      <color rgb="FF0000FF"/>
      <name val="Calibri"/>
      <family val="2"/>
      <scheme val="minor"/>
    </font>
    <font>
      <b/>
      <sz val="12"/>
      <color rgb="FFFF0000"/>
      <name val="Calibri"/>
      <family val="2"/>
      <scheme val="minor"/>
    </font>
    <font>
      <sz val="8"/>
      <color rgb="FFFF0000"/>
      <name val="Calibri"/>
      <family val="2"/>
      <scheme val="minor"/>
    </font>
    <font>
      <b/>
      <i/>
      <sz val="12"/>
      <color rgb="FFFF0000"/>
      <name val="Calibri"/>
      <family val="2"/>
      <scheme val="minor"/>
    </font>
    <font>
      <i/>
      <sz val="8"/>
      <color rgb="FFFF0000"/>
      <name val="Calibri"/>
      <family val="2"/>
      <scheme val="minor"/>
    </font>
    <font>
      <b/>
      <u/>
      <sz val="11"/>
      <color rgb="FF0000FF"/>
      <name val="Calibri"/>
      <family val="2"/>
      <scheme val="minor"/>
    </font>
    <font>
      <sz val="12"/>
      <color rgb="FF0000FF"/>
      <name val="Calibri"/>
      <family val="2"/>
      <scheme val="minor"/>
    </font>
    <font>
      <i/>
      <sz val="8"/>
      <color rgb="FF0000FF"/>
      <name val="Calibri"/>
      <family val="2"/>
      <scheme val="minor"/>
    </font>
    <font>
      <b/>
      <i/>
      <sz val="12"/>
      <color rgb="FF0000FF"/>
      <name val="Calibri"/>
      <family val="2"/>
      <scheme val="minor"/>
    </font>
    <font>
      <b/>
      <i/>
      <sz val="10"/>
      <color rgb="FF0000FF"/>
      <name val="Calibri"/>
      <family val="2"/>
      <scheme val="minor"/>
    </font>
    <font>
      <b/>
      <sz val="9"/>
      <color rgb="FFFF0000"/>
      <name val="Calibri"/>
      <family val="2"/>
      <scheme val="minor"/>
    </font>
    <font>
      <i/>
      <sz val="11"/>
      <color rgb="FFFF0000"/>
      <name val="Calibri"/>
      <family val="2"/>
      <scheme val="minor"/>
    </font>
    <font>
      <i/>
      <sz val="11"/>
      <color rgb="FF0000FF"/>
      <name val="Calibri"/>
      <family val="2"/>
      <scheme val="minor"/>
    </font>
    <font>
      <b/>
      <sz val="14"/>
      <color rgb="FFFF0000"/>
      <name val="Calibri"/>
      <family val="2"/>
      <scheme val="minor"/>
    </font>
    <font>
      <b/>
      <sz val="11"/>
      <color rgb="FF7AC142"/>
      <name val="Calibri"/>
      <family val="2"/>
      <scheme val="minor"/>
    </font>
    <font>
      <b/>
      <sz val="11"/>
      <color rgb="FF38939B"/>
      <name val="Calibri"/>
      <family val="2"/>
      <scheme val="minor"/>
    </font>
    <font>
      <b/>
      <sz val="11"/>
      <color theme="7" tint="0.39997558519241921"/>
      <name val="Calibri"/>
      <family val="2"/>
      <scheme val="minor"/>
    </font>
    <font>
      <b/>
      <sz val="11"/>
      <color theme="0" tint="-0.499984740745262"/>
      <name val="Calibri"/>
      <family val="2"/>
      <scheme val="minor"/>
    </font>
    <font>
      <b/>
      <sz val="11"/>
      <color rgb="FFF8971D"/>
      <name val="Calibri"/>
      <family val="2"/>
      <scheme val="minor"/>
    </font>
    <font>
      <sz val="9"/>
      <name val="Segoe UI"/>
      <family val="2"/>
    </font>
    <font>
      <sz val="9"/>
      <name val="Segoe UI"/>
      <family val="2"/>
    </font>
    <font>
      <sz val="10"/>
      <color indexed="8"/>
      <name val="Arial"/>
      <family val="2"/>
    </font>
    <font>
      <sz val="10"/>
      <name val="Segoe UI"/>
      <family val="2"/>
    </font>
    <font>
      <sz val="9"/>
      <name val="Calibri"/>
      <family val="2"/>
      <scheme val="minor"/>
    </font>
    <font>
      <b/>
      <sz val="14"/>
      <name val="Calibri"/>
      <family val="2"/>
      <scheme val="minor"/>
    </font>
    <font>
      <b/>
      <sz val="12"/>
      <color rgb="FF0000FF"/>
      <name val="Calibri"/>
      <family val="2"/>
      <scheme val="minor"/>
    </font>
    <font>
      <sz val="11"/>
      <color rgb="FF00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lightUp"/>
    </fill>
    <fill>
      <patternFill patternType="solid">
        <fgColor theme="7" tint="0.79998168889431442"/>
        <bgColor indexed="64"/>
      </patternFill>
    </fill>
    <fill>
      <patternFill patternType="solid">
        <fgColor indexed="65"/>
        <bgColor indexed="64"/>
      </patternFill>
    </fill>
    <fill>
      <patternFill patternType="solid">
        <fgColor rgb="FF9CC5CA"/>
        <bgColor indexed="64"/>
      </patternFill>
    </fill>
    <fill>
      <patternFill patternType="solid">
        <fgColor rgb="FFFFF2CC"/>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0" fontId="57" fillId="0" borderId="0"/>
    <xf numFmtId="9" fontId="57" fillId="0" borderId="0" applyFont="0" applyFill="0" applyBorder="0" applyAlignment="0" applyProtection="0"/>
    <xf numFmtId="0" fontId="36" fillId="0" borderId="0"/>
    <xf numFmtId="0" fontId="81" fillId="0" borderId="0" applyNumberFormat="0" applyBorder="0" applyAlignment="0"/>
    <xf numFmtId="0" fontId="79" fillId="0" borderId="0">
      <alignment vertical="center"/>
    </xf>
    <xf numFmtId="43" fontId="80" fillId="0" borderId="0" applyFont="0" applyFill="0" applyBorder="0" applyAlignment="0" applyProtection="0"/>
    <xf numFmtId="44" fontId="80" fillId="0" borderId="0" applyFont="0" applyFill="0" applyBorder="0" applyAlignment="0" applyProtection="0"/>
    <xf numFmtId="9" fontId="80" fillId="0" borderId="0" applyFont="0" applyFill="0" applyBorder="0" applyAlignment="0" applyProtection="0"/>
    <xf numFmtId="0" fontId="80" fillId="0" borderId="0">
      <alignment vertical="center"/>
    </xf>
    <xf numFmtId="44" fontId="56" fillId="0" borderId="0" applyFont="0" applyFill="0" applyBorder="0" applyAlignment="0" applyProtection="0"/>
    <xf numFmtId="9" fontId="36" fillId="0" borderId="0" applyFont="0" applyFill="0" applyBorder="0" applyAlignment="0" applyProtection="0"/>
    <xf numFmtId="0" fontId="80" fillId="0" borderId="0">
      <alignment vertical="center"/>
    </xf>
    <xf numFmtId="9" fontId="36" fillId="0" borderId="0" applyFont="0" applyFill="0" applyBorder="0" applyAlignment="0" applyProtection="0"/>
    <xf numFmtId="43" fontId="36"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43" fontId="36" fillId="0" borderId="0" applyFont="0" applyFill="0" applyBorder="0" applyAlignment="0" applyProtection="0"/>
    <xf numFmtId="40" fontId="57" fillId="0" borderId="0" applyFont="0" applyFill="0" applyBorder="0" applyAlignment="0" applyProtection="0"/>
    <xf numFmtId="40" fontId="57" fillId="0" borderId="0" applyFont="0" applyFill="0" applyBorder="0" applyAlignment="0" applyProtection="0"/>
    <xf numFmtId="176" fontId="82" fillId="0" borderId="0" applyFont="0" applyFill="0" applyBorder="0" applyAlignment="0" applyProtection="0"/>
    <xf numFmtId="9" fontId="82" fillId="0" borderId="0" applyFont="0" applyFill="0" applyBorder="0" applyAlignment="0" applyProtection="0"/>
    <xf numFmtId="0" fontId="81" fillId="0" borderId="0">
      <alignment vertical="top"/>
    </xf>
    <xf numFmtId="40" fontId="56"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0" fontId="80" fillId="0" borderId="0">
      <alignment vertical="center"/>
    </xf>
    <xf numFmtId="43" fontId="36" fillId="0" borderId="0" applyFont="0" applyFill="0" applyBorder="0" applyAlignment="0" applyProtection="0"/>
    <xf numFmtId="40" fontId="5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43" fontId="80" fillId="0" borderId="0" applyFont="0" applyFill="0" applyBorder="0" applyAlignment="0" applyProtection="0"/>
    <xf numFmtId="9" fontId="80" fillId="0" borderId="0" applyFont="0" applyFill="0" applyBorder="0" applyAlignment="0" applyProtection="0"/>
    <xf numFmtId="43" fontId="36" fillId="0" borderId="0" applyFont="0" applyFill="0" applyBorder="0" applyAlignment="0" applyProtection="0"/>
  </cellStyleXfs>
  <cellXfs count="577">
    <xf numFmtId="0" fontId="0" fillId="0" borderId="0" xfId="0"/>
    <xf numFmtId="0" fontId="3" fillId="0" borderId="0" xfId="0" applyFont="1"/>
    <xf numFmtId="0" fontId="5" fillId="0" borderId="0" xfId="0" applyFont="1"/>
    <xf numFmtId="0" fontId="6" fillId="0" borderId="0" xfId="0" applyFont="1"/>
    <xf numFmtId="0" fontId="0" fillId="0" borderId="0" xfId="0" applyAlignment="1">
      <alignment wrapText="1"/>
    </xf>
    <xf numFmtId="0" fontId="8" fillId="0" borderId="0" xfId="0" applyFont="1"/>
    <xf numFmtId="0" fontId="3" fillId="0" borderId="0" xfId="0" applyFont="1" applyAlignment="1">
      <alignment horizontal="center" wrapText="1"/>
    </xf>
    <xf numFmtId="0" fontId="8" fillId="0" borderId="0" xfId="0" applyFont="1" applyAlignment="1">
      <alignment wrapText="1"/>
    </xf>
    <xf numFmtId="165" fontId="0" fillId="2" borderId="1" xfId="1" applyNumberFormat="1" applyFont="1" applyFill="1" applyBorder="1"/>
    <xf numFmtId="165" fontId="3" fillId="2" borderId="1" xfId="1" applyNumberFormat="1" applyFont="1" applyFill="1" applyBorder="1"/>
    <xf numFmtId="0" fontId="3" fillId="3" borderId="1" xfId="0" applyFont="1" applyFill="1" applyBorder="1" applyAlignment="1">
      <alignment horizontal="center" wrapText="1"/>
    </xf>
    <xf numFmtId="43" fontId="0" fillId="0" borderId="0" xfId="1" applyFont="1"/>
    <xf numFmtId="43" fontId="8" fillId="0" borderId="0" xfId="1" applyFont="1" applyAlignment="1"/>
    <xf numFmtId="165" fontId="0" fillId="0" borderId="0" xfId="1" applyNumberFormat="1" applyFont="1"/>
    <xf numFmtId="165" fontId="8" fillId="0" borderId="0" xfId="1" applyNumberFormat="1" applyFont="1" applyAlignment="1"/>
    <xf numFmtId="165" fontId="3" fillId="3" borderId="2" xfId="1" applyNumberFormat="1" applyFont="1" applyFill="1" applyBorder="1" applyAlignment="1">
      <alignment horizontal="center" wrapText="1"/>
    </xf>
    <xf numFmtId="43" fontId="3" fillId="3" borderId="2" xfId="1" applyFont="1" applyFill="1" applyBorder="1" applyAlignment="1">
      <alignment horizontal="center" wrapText="1"/>
    </xf>
    <xf numFmtId="44" fontId="3" fillId="2" borderId="1" xfId="2" applyFont="1" applyFill="1" applyBorder="1"/>
    <xf numFmtId="166" fontId="3" fillId="2" borderId="1" xfId="2" applyNumberFormat="1" applyFont="1" applyFill="1" applyBorder="1"/>
    <xf numFmtId="0" fontId="0" fillId="0" borderId="1" xfId="0" applyBorder="1" applyAlignment="1">
      <alignment horizontal="center" vertical="center"/>
    </xf>
    <xf numFmtId="0" fontId="0" fillId="0" borderId="1" xfId="0" applyBorder="1" applyAlignment="1">
      <alignment vertical="center" wrapText="1"/>
    </xf>
    <xf numFmtId="44" fontId="0" fillId="2" borderId="1" xfId="2" applyFont="1" applyFill="1" applyBorder="1" applyAlignment="1">
      <alignment vertical="center"/>
    </xf>
    <xf numFmtId="0" fontId="0" fillId="0" borderId="0" xfId="0" applyAlignment="1">
      <alignment vertical="center"/>
    </xf>
    <xf numFmtId="0" fontId="0" fillId="3" borderId="1" xfId="0" applyFill="1" applyBorder="1" applyAlignment="1">
      <alignment horizontal="center"/>
    </xf>
    <xf numFmtId="0" fontId="0" fillId="0" borderId="1" xfId="0" applyBorder="1" applyAlignment="1">
      <alignment horizontal="center"/>
    </xf>
    <xf numFmtId="44" fontId="3" fillId="0" borderId="0" xfId="2" applyFont="1" applyFill="1" applyBorder="1"/>
    <xf numFmtId="166" fontId="0" fillId="0" borderId="1" xfId="2" applyNumberFormat="1" applyFont="1" applyFill="1" applyBorder="1"/>
    <xf numFmtId="165" fontId="3" fillId="2" borderId="1" xfId="0" applyNumberFormat="1" applyFont="1" applyFill="1" applyBorder="1"/>
    <xf numFmtId="9" fontId="0" fillId="0" borderId="0" xfId="3" applyFont="1"/>
    <xf numFmtId="9" fontId="3" fillId="2" borderId="1" xfId="3" applyFont="1" applyFill="1" applyBorder="1"/>
    <xf numFmtId="166" fontId="3" fillId="2" borderId="1" xfId="0" applyNumberFormat="1" applyFont="1" applyFill="1" applyBorder="1"/>
    <xf numFmtId="165" fontId="0" fillId="0" borderId="1" xfId="1" applyNumberFormat="1" applyFont="1" applyFill="1" applyBorder="1"/>
    <xf numFmtId="165" fontId="0" fillId="4" borderId="1" xfId="1" applyNumberFormat="1" applyFont="1" applyFill="1" applyBorder="1" applyAlignment="1">
      <alignment vertical="center"/>
    </xf>
    <xf numFmtId="0" fontId="10" fillId="0" borderId="0" xfId="0" applyFont="1" applyAlignment="1">
      <alignment vertical="center"/>
    </xf>
    <xf numFmtId="0" fontId="0" fillId="0" borderId="0" xfId="0" applyAlignment="1">
      <alignment vertical="top"/>
    </xf>
    <xf numFmtId="164" fontId="0" fillId="0" borderId="0" xfId="0" applyNumberFormat="1" applyAlignment="1">
      <alignment horizontal="left"/>
    </xf>
    <xf numFmtId="0" fontId="2" fillId="0" borderId="0" xfId="0" applyFont="1" applyAlignment="1">
      <alignment vertical="top"/>
    </xf>
    <xf numFmtId="0" fontId="3" fillId="0" borderId="0" xfId="0" applyFont="1" applyAlignment="1">
      <alignment horizontal="right"/>
    </xf>
    <xf numFmtId="0" fontId="12" fillId="0" borderId="0" xfId="0" applyFont="1" applyAlignment="1">
      <alignment horizontal="right" vertical="top"/>
    </xf>
    <xf numFmtId="166" fontId="1" fillId="2" borderId="1" xfId="2" applyNumberFormat="1" applyFont="1" applyFill="1" applyBorder="1"/>
    <xf numFmtId="0" fontId="9" fillId="0" borderId="0" xfId="0" applyFont="1"/>
    <xf numFmtId="0" fontId="14" fillId="0" borderId="0" xfId="0" applyFont="1"/>
    <xf numFmtId="164" fontId="3" fillId="0" borderId="0" xfId="0" applyNumberFormat="1" applyFont="1" applyAlignment="1">
      <alignment horizontal="right"/>
    </xf>
    <xf numFmtId="44" fontId="4" fillId="2" borderId="1" xfId="2" applyFont="1" applyFill="1" applyBorder="1"/>
    <xf numFmtId="164" fontId="4" fillId="0" borderId="0" xfId="0" applyNumberFormat="1" applyFont="1" applyAlignment="1">
      <alignment horizontal="right"/>
    </xf>
    <xf numFmtId="166" fontId="0" fillId="0" borderId="0" xfId="2" applyNumberFormat="1" applyFont="1" applyFill="1" applyBorder="1"/>
    <xf numFmtId="164" fontId="0" fillId="0" borderId="0" xfId="0" applyNumberFormat="1" applyAlignment="1">
      <alignment horizontal="right"/>
    </xf>
    <xf numFmtId="43" fontId="0" fillId="2" borderId="1" xfId="1" applyFont="1" applyFill="1" applyBorder="1" applyAlignment="1">
      <alignment vertical="center"/>
    </xf>
    <xf numFmtId="0" fontId="2" fillId="0" borderId="0" xfId="0" applyFont="1"/>
    <xf numFmtId="0" fontId="2" fillId="0" borderId="0" xfId="0" applyFont="1" applyAlignment="1">
      <alignment wrapText="1"/>
    </xf>
    <xf numFmtId="165" fontId="2" fillId="0" borderId="0" xfId="1" applyNumberFormat="1" applyFont="1"/>
    <xf numFmtId="0" fontId="16" fillId="0" borderId="0" xfId="0" applyFont="1" applyAlignment="1">
      <alignment wrapText="1"/>
    </xf>
    <xf numFmtId="165" fontId="16" fillId="0" borderId="0" xfId="1" applyNumberFormat="1" applyFont="1" applyAlignment="1"/>
    <xf numFmtId="0" fontId="2" fillId="0" borderId="0" xfId="0" applyFont="1" applyAlignment="1">
      <alignment horizontal="left"/>
    </xf>
    <xf numFmtId="0" fontId="2" fillId="0" borderId="0" xfId="0" quotePrefix="1" applyFont="1"/>
    <xf numFmtId="0" fontId="2" fillId="0" borderId="0" xfId="0" quotePrefix="1" applyFont="1" applyAlignment="1">
      <alignment horizontal="left"/>
    </xf>
    <xf numFmtId="164" fontId="0" fillId="0" borderId="0" xfId="0" applyNumberFormat="1"/>
    <xf numFmtId="0" fontId="17" fillId="0" borderId="0" xfId="0" applyFont="1"/>
    <xf numFmtId="166" fontId="17" fillId="0" borderId="3" xfId="0" applyNumberFormat="1" applyFont="1" applyBorder="1"/>
    <xf numFmtId="166" fontId="17" fillId="0" borderId="0" xfId="0" applyNumberFormat="1" applyFont="1"/>
    <xf numFmtId="164" fontId="2" fillId="0" borderId="0" xfId="0" applyNumberFormat="1" applyFont="1" applyAlignment="1">
      <alignment horizontal="left"/>
    </xf>
    <xf numFmtId="0" fontId="18" fillId="0" borderId="0" xfId="0" applyFont="1"/>
    <xf numFmtId="0" fontId="13" fillId="0" borderId="0" xfId="0" applyFont="1" applyAlignment="1">
      <alignment horizontal="left" vertical="top" wrapText="1"/>
    </xf>
    <xf numFmtId="0" fontId="19" fillId="0" borderId="0" xfId="0" applyFont="1" applyAlignment="1">
      <alignment vertical="center"/>
    </xf>
    <xf numFmtId="0" fontId="22" fillId="0" borderId="0" xfId="0" applyFont="1"/>
    <xf numFmtId="0" fontId="21" fillId="0" borderId="0" xfId="0" applyFont="1"/>
    <xf numFmtId="0" fontId="22" fillId="0" borderId="0" xfId="0" applyFont="1" applyAlignment="1">
      <alignment wrapText="1"/>
    </xf>
    <xf numFmtId="0" fontId="21" fillId="0" borderId="0" xfId="0" applyFont="1" applyAlignment="1">
      <alignment wrapText="1"/>
    </xf>
    <xf numFmtId="166" fontId="0" fillId="2" borderId="1" xfId="2" applyNumberFormat="1" applyFont="1" applyFill="1" applyBorder="1"/>
    <xf numFmtId="0" fontId="0" fillId="0" borderId="0" xfId="0" applyAlignment="1">
      <alignment horizontal="center"/>
    </xf>
    <xf numFmtId="0" fontId="15" fillId="0" borderId="0" xfId="0" applyFont="1"/>
    <xf numFmtId="0" fontId="3" fillId="0" borderId="0" xfId="0" applyFont="1" applyAlignment="1">
      <alignment horizontal="left"/>
    </xf>
    <xf numFmtId="0" fontId="19" fillId="0" borderId="0" xfId="0" applyFont="1"/>
    <xf numFmtId="0" fontId="20" fillId="0" borderId="0" xfId="0" applyFont="1"/>
    <xf numFmtId="0" fontId="23" fillId="0" borderId="0" xfId="0" applyFont="1"/>
    <xf numFmtId="166" fontId="20" fillId="2" borderId="10" xfId="2" applyNumberFormat="1" applyFont="1" applyFill="1" applyBorder="1"/>
    <xf numFmtId="0" fontId="17" fillId="0" borderId="0" xfId="0" applyFont="1" applyAlignment="1">
      <alignment horizontal="right"/>
    </xf>
    <xf numFmtId="0" fontId="3" fillId="0" borderId="1" xfId="0" applyFont="1" applyBorder="1" applyAlignment="1">
      <alignment horizontal="center"/>
    </xf>
    <xf numFmtId="0" fontId="3" fillId="0" borderId="0" xfId="0" applyFont="1" applyAlignment="1">
      <alignment horizontal="center"/>
    </xf>
    <xf numFmtId="0" fontId="11" fillId="0" borderId="0" xfId="0" applyFont="1" applyAlignment="1">
      <alignment vertical="top"/>
    </xf>
    <xf numFmtId="0" fontId="24" fillId="0" borderId="0" xfId="0" applyFont="1" applyAlignment="1">
      <alignment vertical="top"/>
    </xf>
    <xf numFmtId="165" fontId="3" fillId="0" borderId="0" xfId="1" applyNumberFormat="1" applyFont="1" applyFill="1" applyBorder="1" applyAlignment="1">
      <alignment horizontal="center" wrapText="1"/>
    </xf>
    <xf numFmtId="0" fontId="0" fillId="0" borderId="3" xfId="0" applyBorder="1"/>
    <xf numFmtId="0" fontId="25" fillId="0" borderId="0" xfId="0" quotePrefix="1" applyFont="1" applyAlignment="1">
      <alignment vertical="top"/>
    </xf>
    <xf numFmtId="0" fontId="0" fillId="0" borderId="1" xfId="0" applyBorder="1" applyAlignment="1">
      <alignment horizontal="center" vertical="top"/>
    </xf>
    <xf numFmtId="44" fontId="3" fillId="2" borderId="1" xfId="2" applyFont="1" applyFill="1" applyBorder="1" applyAlignment="1">
      <alignment vertical="top"/>
    </xf>
    <xf numFmtId="166" fontId="0" fillId="2" borderId="1" xfId="0" applyNumberFormat="1" applyFill="1" applyBorder="1" applyAlignment="1">
      <alignment vertical="top"/>
    </xf>
    <xf numFmtId="165" fontId="0" fillId="6" borderId="9" xfId="1" applyNumberFormat="1" applyFont="1" applyFill="1" applyBorder="1" applyAlignment="1">
      <alignment vertical="center"/>
    </xf>
    <xf numFmtId="165" fontId="0" fillId="6" borderId="0" xfId="1" applyNumberFormat="1" applyFont="1" applyFill="1" applyBorder="1" applyAlignment="1">
      <alignment vertical="center"/>
    </xf>
    <xf numFmtId="165" fontId="0" fillId="6" borderId="13" xfId="1" applyNumberFormat="1" applyFont="1" applyFill="1" applyBorder="1" applyAlignment="1">
      <alignment vertical="center"/>
    </xf>
    <xf numFmtId="165" fontId="0" fillId="6" borderId="15" xfId="1" applyNumberFormat="1" applyFont="1" applyFill="1" applyBorder="1" applyAlignment="1">
      <alignment vertical="center"/>
    </xf>
    <xf numFmtId="167" fontId="0" fillId="2" borderId="2" xfId="3" applyNumberFormat="1" applyFont="1" applyFill="1" applyBorder="1" applyAlignment="1">
      <alignment horizontal="center" vertical="top"/>
    </xf>
    <xf numFmtId="0" fontId="12" fillId="0" borderId="0" xfId="0" applyFont="1" applyAlignment="1">
      <alignment horizontal="left"/>
    </xf>
    <xf numFmtId="0" fontId="26" fillId="0" borderId="1" xfId="0" applyFont="1" applyBorder="1" applyAlignment="1">
      <alignment horizontal="center" vertical="top" wrapText="1"/>
    </xf>
    <xf numFmtId="0" fontId="26" fillId="0" borderId="1" xfId="0" applyFont="1" applyBorder="1" applyAlignment="1">
      <alignment horizontal="center" wrapText="1"/>
    </xf>
    <xf numFmtId="0" fontId="26" fillId="0" borderId="18" xfId="0" applyFont="1" applyBorder="1" applyAlignment="1">
      <alignment horizontal="center" wrapText="1"/>
    </xf>
    <xf numFmtId="0" fontId="26" fillId="0" borderId="19" xfId="0" applyFont="1" applyBorder="1" applyAlignment="1">
      <alignment horizontal="center"/>
    </xf>
    <xf numFmtId="0" fontId="27" fillId="0" borderId="0" xfId="0" applyFont="1" applyAlignment="1">
      <alignment horizontal="center" wrapText="1"/>
    </xf>
    <xf numFmtId="165" fontId="26" fillId="4" borderId="1" xfId="1" applyNumberFormat="1" applyFont="1" applyFill="1" applyBorder="1" applyAlignment="1">
      <alignment vertical="center"/>
    </xf>
    <xf numFmtId="0" fontId="26" fillId="0" borderId="17" xfId="0" applyFont="1" applyBorder="1" applyAlignment="1">
      <alignment horizontal="center" vertical="top" wrapText="1"/>
    </xf>
    <xf numFmtId="0" fontId="26" fillId="0" borderId="0" xfId="0" applyFont="1"/>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14" xfId="0" applyBorder="1" applyAlignment="1">
      <alignment horizontal="center" vertical="top"/>
    </xf>
    <xf numFmtId="0" fontId="0" fillId="0" borderId="16" xfId="0" applyBorder="1" applyAlignment="1">
      <alignment horizontal="center" vertical="top"/>
    </xf>
    <xf numFmtId="165" fontId="3" fillId="2" borderId="2" xfId="0" applyNumberFormat="1" applyFont="1" applyFill="1" applyBorder="1"/>
    <xf numFmtId="165" fontId="3" fillId="2" borderId="8" xfId="0" applyNumberFormat="1" applyFont="1" applyFill="1" applyBorder="1"/>
    <xf numFmtId="165" fontId="3" fillId="2" borderId="18" xfId="0" applyNumberFormat="1" applyFont="1" applyFill="1" applyBorder="1"/>
    <xf numFmtId="165" fontId="0" fillId="6" borderId="11" xfId="1" applyNumberFormat="1" applyFont="1" applyFill="1" applyBorder="1" applyAlignment="1">
      <alignment vertical="center"/>
    </xf>
    <xf numFmtId="165" fontId="0" fillId="6" borderId="3" xfId="1" applyNumberFormat="1" applyFont="1" applyFill="1" applyBorder="1" applyAlignment="1">
      <alignment vertical="center"/>
    </xf>
    <xf numFmtId="0" fontId="26" fillId="0" borderId="0" xfId="0" applyFont="1" applyAlignment="1">
      <alignment horizontal="center" vertical="top" wrapText="1"/>
    </xf>
    <xf numFmtId="0" fontId="26" fillId="0" borderId="0" xfId="0" applyFont="1" applyAlignment="1">
      <alignment horizontal="center" wrapText="1"/>
    </xf>
    <xf numFmtId="0" fontId="26" fillId="0" borderId="0" xfId="0" applyFont="1" applyAlignment="1">
      <alignment horizontal="center"/>
    </xf>
    <xf numFmtId="0" fontId="26" fillId="0" borderId="18" xfId="0" applyFont="1" applyBorder="1" applyAlignment="1">
      <alignment horizontal="center" vertical="top" wrapText="1"/>
    </xf>
    <xf numFmtId="0" fontId="26" fillId="0" borderId="19" xfId="0" applyFont="1" applyBorder="1" applyAlignment="1">
      <alignment horizontal="center" vertical="top" wrapText="1"/>
    </xf>
    <xf numFmtId="165" fontId="0" fillId="5" borderId="1" xfId="1" applyNumberFormat="1" applyFont="1" applyFill="1" applyBorder="1" applyAlignment="1" applyProtection="1">
      <alignment vertical="center"/>
      <protection locked="0"/>
    </xf>
    <xf numFmtId="166" fontId="0" fillId="5" borderId="1" xfId="2" applyNumberFormat="1" applyFont="1" applyFill="1" applyBorder="1" applyProtection="1">
      <protection locked="0"/>
    </xf>
    <xf numFmtId="0" fontId="0" fillId="5" borderId="1" xfId="0" applyFill="1" applyBorder="1" applyAlignment="1" applyProtection="1">
      <alignment horizontal="center"/>
      <protection locked="0"/>
    </xf>
    <xf numFmtId="0" fontId="3" fillId="5" borderId="1" xfId="0" applyFont="1" applyFill="1" applyBorder="1" applyAlignment="1" applyProtection="1">
      <alignment horizontal="center"/>
      <protection locked="0"/>
    </xf>
    <xf numFmtId="43" fontId="0" fillId="5" borderId="1" xfId="1" applyFont="1" applyFill="1" applyBorder="1" applyProtection="1">
      <protection locked="0"/>
    </xf>
    <xf numFmtId="0" fontId="0" fillId="5" borderId="2" xfId="0" applyFill="1" applyBorder="1" applyAlignment="1" applyProtection="1">
      <alignment horizontal="center" vertical="top"/>
      <protection locked="0"/>
    </xf>
    <xf numFmtId="37" fontId="0" fillId="5" borderId="2" xfId="1" applyNumberFormat="1" applyFont="1" applyFill="1" applyBorder="1" applyAlignment="1" applyProtection="1">
      <alignment horizontal="center" vertical="top"/>
      <protection locked="0"/>
    </xf>
    <xf numFmtId="165" fontId="0" fillId="5" borderId="17" xfId="1" applyNumberFormat="1" applyFont="1" applyFill="1" applyBorder="1" applyAlignment="1" applyProtection="1">
      <alignment vertical="top"/>
      <protection locked="0"/>
    </xf>
    <xf numFmtId="165" fontId="0" fillId="5" borderId="18" xfId="1" applyNumberFormat="1" applyFont="1" applyFill="1" applyBorder="1" applyProtection="1">
      <protection locked="0"/>
    </xf>
    <xf numFmtId="165" fontId="0" fillId="5" borderId="19" xfId="1" applyNumberFormat="1" applyFont="1" applyFill="1" applyBorder="1" applyProtection="1">
      <protection locked="0"/>
    </xf>
    <xf numFmtId="166" fontId="0" fillId="5" borderId="1" xfId="2" applyNumberFormat="1" applyFont="1" applyFill="1" applyBorder="1" applyAlignment="1" applyProtection="1">
      <alignment vertical="top"/>
      <protection locked="0"/>
    </xf>
    <xf numFmtId="0" fontId="2" fillId="0" borderId="0" xfId="0" applyFont="1" applyAlignment="1">
      <alignment horizontal="left" vertical="top" wrapText="1"/>
    </xf>
    <xf numFmtId="0" fontId="9" fillId="0" borderId="0" xfId="0" applyFont="1" applyAlignment="1">
      <alignment vertical="center"/>
    </xf>
    <xf numFmtId="0" fontId="9" fillId="0" borderId="0" xfId="0" applyFont="1" applyAlignment="1">
      <alignment horizontal="center" wrapText="1"/>
    </xf>
    <xf numFmtId="0" fontId="28" fillId="0" borderId="0" xfId="0" applyFont="1"/>
    <xf numFmtId="0" fontId="13" fillId="0" borderId="0" xfId="0" applyFont="1" applyAlignment="1">
      <alignment vertical="top" wrapText="1"/>
    </xf>
    <xf numFmtId="0" fontId="0" fillId="0" borderId="9" xfId="0" applyBorder="1" applyAlignment="1">
      <alignment horizontal="center" vertical="top"/>
    </xf>
    <xf numFmtId="0" fontId="0" fillId="0" borderId="0" xfId="0" applyAlignment="1">
      <alignment horizontal="center" vertical="top"/>
    </xf>
    <xf numFmtId="168" fontId="0" fillId="5" borderId="2" xfId="1" applyNumberFormat="1" applyFont="1" applyFill="1" applyBorder="1" applyAlignment="1" applyProtection="1">
      <alignment horizontal="center" vertical="top"/>
      <protection locked="0"/>
    </xf>
    <xf numFmtId="168" fontId="0" fillId="0" borderId="9" xfId="0" applyNumberFormat="1" applyBorder="1" applyAlignment="1">
      <alignment horizontal="center" vertical="top"/>
    </xf>
    <xf numFmtId="168" fontId="0" fillId="0" borderId="0" xfId="0" applyNumberFormat="1" applyAlignment="1">
      <alignment horizontal="center" vertical="top"/>
    </xf>
    <xf numFmtId="168" fontId="0" fillId="0" borderId="0" xfId="1" applyNumberFormat="1" applyFont="1" applyAlignment="1">
      <alignment horizontal="center"/>
    </xf>
    <xf numFmtId="168" fontId="0" fillId="0" borderId="0" xfId="0" applyNumberFormat="1" applyAlignment="1">
      <alignment horizontal="center"/>
    </xf>
    <xf numFmtId="37" fontId="0" fillId="2" borderId="2" xfId="1" applyNumberFormat="1" applyFont="1" applyFill="1" applyBorder="1" applyAlignment="1" applyProtection="1">
      <alignment horizontal="center" vertical="top"/>
      <protection locked="0"/>
    </xf>
    <xf numFmtId="0" fontId="2" fillId="0" borderId="0" xfId="0" applyFont="1" applyAlignment="1">
      <alignment vertical="center"/>
    </xf>
    <xf numFmtId="0" fontId="29" fillId="0" borderId="0" xfId="0" applyFont="1" applyAlignment="1">
      <alignment vertical="center"/>
    </xf>
    <xf numFmtId="0" fontId="30" fillId="0" borderId="0" xfId="0" applyFont="1"/>
    <xf numFmtId="0" fontId="20" fillId="0" borderId="0" xfId="0" applyFont="1" applyAlignment="1">
      <alignment horizontal="left"/>
    </xf>
    <xf numFmtId="165" fontId="9" fillId="0" borderId="0" xfId="1" applyNumberFormat="1" applyFont="1"/>
    <xf numFmtId="168" fontId="2" fillId="0" borderId="14" xfId="0" applyNumberFormat="1" applyFont="1" applyBorder="1" applyAlignment="1">
      <alignment horizontal="center"/>
    </xf>
    <xf numFmtId="168" fontId="2" fillId="0" borderId="16" xfId="0" applyNumberFormat="1" applyFont="1" applyBorder="1" applyAlignment="1">
      <alignment horizontal="center"/>
    </xf>
    <xf numFmtId="168" fontId="2" fillId="0" borderId="12" xfId="0" applyNumberFormat="1" applyFont="1" applyBorder="1" applyAlignment="1">
      <alignment horizontal="center"/>
    </xf>
    <xf numFmtId="43" fontId="26" fillId="2" borderId="1" xfId="1" applyFont="1" applyFill="1" applyBorder="1" applyAlignment="1">
      <alignment vertical="center"/>
    </xf>
    <xf numFmtId="44" fontId="26" fillId="2" borderId="1" xfId="2" applyFont="1" applyFill="1" applyBorder="1" applyAlignment="1">
      <alignment vertical="center"/>
    </xf>
    <xf numFmtId="165" fontId="26" fillId="5" borderId="1" xfId="1" applyNumberFormat="1" applyFont="1" applyFill="1" applyBorder="1" applyAlignment="1" applyProtection="1">
      <alignment vertical="center"/>
      <protection locked="0"/>
    </xf>
    <xf numFmtId="0" fontId="27" fillId="3" borderId="1" xfId="0" applyFont="1" applyFill="1" applyBorder="1" applyAlignment="1">
      <alignment horizontal="center" wrapText="1"/>
    </xf>
    <xf numFmtId="0" fontId="27" fillId="0" borderId="7" xfId="0" applyFont="1" applyBorder="1" applyAlignment="1">
      <alignment horizontal="left"/>
    </xf>
    <xf numFmtId="0" fontId="27" fillId="0" borderId="7" xfId="0" applyFont="1" applyBorder="1" applyAlignment="1">
      <alignment horizontal="center"/>
    </xf>
    <xf numFmtId="0" fontId="27" fillId="0" borderId="7" xfId="0" applyFont="1" applyBorder="1" applyAlignment="1">
      <alignment horizontal="center" wrapText="1"/>
    </xf>
    <xf numFmtId="0" fontId="26" fillId="0" borderId="1" xfId="0" applyFont="1" applyBorder="1" applyAlignment="1">
      <alignment horizontal="center" vertical="center"/>
    </xf>
    <xf numFmtId="43" fontId="26" fillId="5" borderId="1" xfId="1" applyFont="1" applyFill="1" applyBorder="1" applyAlignment="1" applyProtection="1">
      <alignment vertical="center"/>
      <protection locked="0"/>
    </xf>
    <xf numFmtId="166" fontId="26" fillId="5" borderId="1" xfId="2" applyNumberFormat="1" applyFont="1" applyFill="1" applyBorder="1" applyAlignment="1" applyProtection="1">
      <alignment vertical="center"/>
      <protection locked="0"/>
    </xf>
    <xf numFmtId="166" fontId="26" fillId="2" borderId="1" xfId="2" applyNumberFormat="1" applyFont="1" applyFill="1" applyBorder="1" applyAlignment="1">
      <alignment vertical="center"/>
    </xf>
    <xf numFmtId="43" fontId="27" fillId="2" borderId="1" xfId="1" applyFont="1" applyFill="1" applyBorder="1" applyAlignment="1">
      <alignment vertical="center"/>
    </xf>
    <xf numFmtId="166" fontId="27" fillId="2" borderId="1" xfId="2" applyNumberFormat="1" applyFont="1" applyFill="1" applyBorder="1" applyAlignment="1">
      <alignment vertical="center"/>
    </xf>
    <xf numFmtId="0" fontId="26" fillId="0" borderId="7" xfId="0" applyFont="1" applyBorder="1" applyAlignment="1">
      <alignment horizontal="center" vertical="center"/>
    </xf>
    <xf numFmtId="0" fontId="27" fillId="0" borderId="7" xfId="0" applyFont="1" applyBorder="1" applyAlignment="1">
      <alignment horizontal="left" vertical="center"/>
    </xf>
    <xf numFmtId="43" fontId="27" fillId="0" borderId="7" xfId="1" applyFont="1" applyFill="1" applyBorder="1" applyAlignment="1">
      <alignment vertical="center"/>
    </xf>
    <xf numFmtId="166" fontId="27" fillId="0" borderId="7" xfId="2" applyNumberFormat="1" applyFont="1" applyFill="1" applyBorder="1" applyAlignment="1">
      <alignment vertical="center"/>
    </xf>
    <xf numFmtId="166" fontId="26" fillId="0" borderId="1" xfId="2" applyNumberFormat="1" applyFont="1" applyFill="1" applyBorder="1" applyAlignment="1">
      <alignment vertical="center"/>
    </xf>
    <xf numFmtId="0" fontId="27" fillId="0" borderId="1" xfId="0" applyFont="1" applyBorder="1" applyAlignment="1">
      <alignment horizontal="center" vertical="center"/>
    </xf>
    <xf numFmtId="0" fontId="26" fillId="0" borderId="7" xfId="0" applyFont="1" applyBorder="1" applyAlignment="1">
      <alignment horizontal="left" vertical="center"/>
    </xf>
    <xf numFmtId="0" fontId="26" fillId="0" borderId="5" xfId="0" applyFont="1" applyBorder="1" applyAlignment="1">
      <alignment horizontal="left" vertical="center"/>
    </xf>
    <xf numFmtId="166" fontId="33" fillId="2" borderId="1" xfId="2" applyNumberFormat="1" applyFont="1" applyFill="1" applyBorder="1" applyAlignment="1">
      <alignment vertical="center"/>
    </xf>
    <xf numFmtId="0" fontId="26" fillId="0" borderId="0" xfId="0" applyFont="1" applyAlignment="1">
      <alignment vertical="center"/>
    </xf>
    <xf numFmtId="0" fontId="26" fillId="0" borderId="0" xfId="0" applyFont="1" applyAlignment="1">
      <alignment horizontal="center" vertical="center"/>
    </xf>
    <xf numFmtId="10" fontId="26" fillId="2" borderId="1" xfId="3" applyNumberFormat="1" applyFont="1" applyFill="1" applyBorder="1" applyAlignment="1">
      <alignment horizontal="center"/>
    </xf>
    <xf numFmtId="0" fontId="26" fillId="0" borderId="6" xfId="0" applyFont="1" applyBorder="1" applyAlignment="1">
      <alignment horizontal="left" vertical="center"/>
    </xf>
    <xf numFmtId="0" fontId="31" fillId="0" borderId="0" xfId="0" applyFont="1" applyAlignment="1">
      <alignment horizontal="left" vertical="top" wrapText="1"/>
    </xf>
    <xf numFmtId="0" fontId="26" fillId="3" borderId="1" xfId="0" applyFont="1" applyFill="1" applyBorder="1" applyAlignment="1">
      <alignment horizontal="center"/>
    </xf>
    <xf numFmtId="0" fontId="26" fillId="0" borderId="0" xfId="0" applyFont="1" applyAlignment="1">
      <alignment wrapText="1"/>
    </xf>
    <xf numFmtId="0" fontId="26" fillId="0" borderId="6" xfId="0" applyFont="1" applyBorder="1" applyAlignment="1">
      <alignment horizontal="center"/>
    </xf>
    <xf numFmtId="0" fontId="26" fillId="5" borderId="1" xfId="0" applyFont="1" applyFill="1" applyBorder="1" applyAlignment="1" applyProtection="1">
      <alignment horizontal="center"/>
      <protection locked="0"/>
    </xf>
    <xf numFmtId="39" fontId="26" fillId="5" borderId="1" xfId="1" applyNumberFormat="1" applyFont="1" applyFill="1" applyBorder="1" applyAlignment="1" applyProtection="1">
      <alignment horizontal="center"/>
      <protection locked="0"/>
    </xf>
    <xf numFmtId="166" fontId="26" fillId="5" borderId="1" xfId="2" applyNumberFormat="1" applyFont="1" applyFill="1" applyBorder="1" applyProtection="1">
      <protection locked="0"/>
    </xf>
    <xf numFmtId="166" fontId="26" fillId="2" borderId="1" xfId="2" applyNumberFormat="1" applyFont="1" applyFill="1" applyBorder="1"/>
    <xf numFmtId="0" fontId="26" fillId="0" borderId="1" xfId="0" applyFont="1" applyBorder="1" applyAlignment="1">
      <alignment horizontal="center"/>
    </xf>
    <xf numFmtId="166" fontId="27" fillId="2" borderId="8" xfId="2" applyNumberFormat="1" applyFont="1" applyFill="1" applyBorder="1"/>
    <xf numFmtId="0" fontId="27" fillId="0" borderId="0" xfId="0" applyFont="1" applyAlignment="1">
      <alignment horizontal="right"/>
    </xf>
    <xf numFmtId="166" fontId="27" fillId="2" borderId="1" xfId="2" applyNumberFormat="1" applyFont="1" applyFill="1" applyBorder="1"/>
    <xf numFmtId="0" fontId="34" fillId="0" borderId="0" xfId="0" applyFont="1" applyAlignment="1">
      <alignment horizontal="right" vertical="top"/>
    </xf>
    <xf numFmtId="0" fontId="35" fillId="0" borderId="0" xfId="0" applyFont="1" applyAlignment="1">
      <alignment vertical="top"/>
    </xf>
    <xf numFmtId="0" fontId="35" fillId="0" borderId="0" xfId="0" applyFont="1" applyAlignment="1">
      <alignment horizontal="right" vertical="top"/>
    </xf>
    <xf numFmtId="0" fontId="31" fillId="0" borderId="0" xfId="0" applyFont="1" applyAlignment="1">
      <alignment horizontal="left" wrapText="1"/>
    </xf>
    <xf numFmtId="0" fontId="36" fillId="0" borderId="0" xfId="0" applyFont="1" applyAlignment="1">
      <alignment vertical="center" wrapText="1"/>
    </xf>
    <xf numFmtId="0" fontId="37" fillId="0" borderId="0" xfId="0" applyFont="1" applyAlignment="1">
      <alignment wrapText="1"/>
    </xf>
    <xf numFmtId="0" fontId="27" fillId="3" borderId="4" xfId="0" applyFont="1" applyFill="1" applyBorder="1" applyAlignment="1">
      <alignment horizontal="center" wrapText="1"/>
    </xf>
    <xf numFmtId="0" fontId="27" fillId="3" borderId="6" xfId="0" applyFont="1" applyFill="1" applyBorder="1" applyAlignment="1">
      <alignment horizontal="center" wrapText="1"/>
    </xf>
    <xf numFmtId="166" fontId="26" fillId="2" borderId="1" xfId="0" applyNumberFormat="1" applyFont="1" applyFill="1" applyBorder="1"/>
    <xf numFmtId="37" fontId="26" fillId="5" borderId="1" xfId="0" applyNumberFormat="1" applyFont="1" applyFill="1" applyBorder="1" applyAlignment="1" applyProtection="1">
      <alignment horizontal="center"/>
      <protection locked="0"/>
    </xf>
    <xf numFmtId="0" fontId="26" fillId="5" borderId="1" xfId="0" applyFont="1" applyFill="1" applyBorder="1" applyProtection="1">
      <protection locked="0"/>
    </xf>
    <xf numFmtId="44" fontId="37" fillId="0" borderId="0" xfId="2" applyFont="1" applyAlignment="1">
      <alignment wrapText="1"/>
    </xf>
    <xf numFmtId="0" fontId="37" fillId="0" borderId="0" xfId="0" applyFont="1" applyAlignment="1">
      <alignment horizontal="center" wrapText="1"/>
    </xf>
    <xf numFmtId="0" fontId="38" fillId="0" borderId="0" xfId="0" applyFont="1" applyAlignment="1">
      <alignment horizontal="center"/>
    </xf>
    <xf numFmtId="0" fontId="37" fillId="0" borderId="0" xfId="0" applyFont="1" applyAlignment="1">
      <alignment vertical="top"/>
    </xf>
    <xf numFmtId="0" fontId="37" fillId="0" borderId="0" xfId="0" applyFont="1"/>
    <xf numFmtId="44" fontId="37" fillId="0" borderId="0" xfId="2" applyFont="1"/>
    <xf numFmtId="0" fontId="37" fillId="0" borderId="0" xfId="0" applyFont="1" applyAlignment="1">
      <alignment horizontal="center"/>
    </xf>
    <xf numFmtId="0" fontId="27" fillId="0" borderId="0" xfId="0" applyFont="1"/>
    <xf numFmtId="164" fontId="26" fillId="0" borderId="0" xfId="0" applyNumberFormat="1" applyFont="1" applyAlignment="1">
      <alignment horizontal="left"/>
    </xf>
    <xf numFmtId="165" fontId="26" fillId="0" borderId="0" xfId="1" applyNumberFormat="1" applyFont="1"/>
    <xf numFmtId="168" fontId="26" fillId="0" borderId="0" xfId="1" applyNumberFormat="1" applyFont="1" applyAlignment="1">
      <alignment horizontal="center"/>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0" fontId="27" fillId="0" borderId="0" xfId="0" applyFont="1" applyAlignment="1">
      <alignment horizontal="center"/>
    </xf>
    <xf numFmtId="168" fontId="27" fillId="0" borderId="0" xfId="0" applyNumberFormat="1" applyFont="1" applyAlignment="1">
      <alignment horizontal="center" wrapText="1"/>
    </xf>
    <xf numFmtId="0" fontId="26" fillId="0" borderId="1" xfId="0" applyFont="1" applyBorder="1" applyAlignment="1">
      <alignment horizontal="center" vertical="top"/>
    </xf>
    <xf numFmtId="37" fontId="26" fillId="2" borderId="2" xfId="1" applyNumberFormat="1" applyFont="1" applyFill="1" applyBorder="1" applyAlignment="1" applyProtection="1">
      <alignment horizontal="center" vertical="top"/>
      <protection locked="0"/>
    </xf>
    <xf numFmtId="165" fontId="26" fillId="2" borderId="1" xfId="1" applyNumberFormat="1" applyFont="1" applyFill="1" applyBorder="1"/>
    <xf numFmtId="167" fontId="26" fillId="2" borderId="2" xfId="3" applyNumberFormat="1" applyFont="1" applyFill="1" applyBorder="1" applyAlignment="1">
      <alignment horizontal="center" vertical="top"/>
    </xf>
    <xf numFmtId="0" fontId="26" fillId="0" borderId="17" xfId="0" applyFont="1" applyBorder="1" applyAlignment="1">
      <alignment horizontal="center" vertical="top"/>
    </xf>
    <xf numFmtId="165" fontId="26" fillId="6" borderId="9" xfId="1" applyNumberFormat="1" applyFont="1" applyFill="1" applyBorder="1" applyAlignment="1">
      <alignment vertical="center"/>
    </xf>
    <xf numFmtId="0" fontId="26" fillId="0" borderId="9" xfId="0" applyFont="1" applyBorder="1" applyAlignment="1">
      <alignment horizontal="center" vertical="top"/>
    </xf>
    <xf numFmtId="168" fontId="26" fillId="0" borderId="9" xfId="0" applyNumberFormat="1" applyFont="1" applyBorder="1" applyAlignment="1">
      <alignment horizontal="center" vertical="top"/>
    </xf>
    <xf numFmtId="0" fontId="26" fillId="0" borderId="14" xfId="0" applyFont="1" applyBorder="1" applyAlignment="1">
      <alignment horizontal="center" vertical="top"/>
    </xf>
    <xf numFmtId="165" fontId="26" fillId="5" borderId="17" xfId="1" applyNumberFormat="1" applyFont="1" applyFill="1" applyBorder="1" applyAlignment="1" applyProtection="1">
      <alignment vertical="top"/>
      <protection locked="0"/>
    </xf>
    <xf numFmtId="165" fontId="26" fillId="6" borderId="13" xfId="1" applyNumberFormat="1" applyFont="1" applyFill="1" applyBorder="1" applyAlignment="1">
      <alignment vertical="center"/>
    </xf>
    <xf numFmtId="0" fontId="26" fillId="0" borderId="18" xfId="0" applyFont="1" applyBorder="1" applyAlignment="1">
      <alignment horizontal="center" vertical="top"/>
    </xf>
    <xf numFmtId="165" fontId="26" fillId="6" borderId="0" xfId="1" applyNumberFormat="1" applyFont="1" applyFill="1" applyBorder="1" applyAlignment="1">
      <alignment vertical="center"/>
    </xf>
    <xf numFmtId="0" fontId="26" fillId="0" borderId="0" xfId="0" applyFont="1" applyAlignment="1">
      <alignment horizontal="center" vertical="top"/>
    </xf>
    <xf numFmtId="168" fontId="26" fillId="0" borderId="0" xfId="0" applyNumberFormat="1" applyFont="1" applyAlignment="1">
      <alignment horizontal="center" vertical="top"/>
    </xf>
    <xf numFmtId="0" fontId="26" fillId="0" borderId="16" xfId="0" applyFont="1" applyBorder="1" applyAlignment="1">
      <alignment horizontal="center" vertical="top"/>
    </xf>
    <xf numFmtId="165" fontId="26" fillId="5" borderId="18" xfId="1" applyNumberFormat="1" applyFont="1" applyFill="1" applyBorder="1" applyProtection="1">
      <protection locked="0"/>
    </xf>
    <xf numFmtId="165" fontId="26" fillId="6" borderId="15" xfId="1" applyNumberFormat="1" applyFont="1" applyFill="1" applyBorder="1" applyAlignment="1">
      <alignment vertical="center"/>
    </xf>
    <xf numFmtId="0" fontId="26" fillId="0" borderId="19" xfId="0" applyFont="1" applyBorder="1" applyAlignment="1">
      <alignment horizontal="center" vertical="top"/>
    </xf>
    <xf numFmtId="165" fontId="26" fillId="5" borderId="19" xfId="1" applyNumberFormat="1" applyFont="1" applyFill="1" applyBorder="1" applyProtection="1">
      <protection locked="0"/>
    </xf>
    <xf numFmtId="0" fontId="43" fillId="0" borderId="13" xfId="0" applyFont="1" applyBorder="1"/>
    <xf numFmtId="0" fontId="26" fillId="0" borderId="9" xfId="0" applyFont="1" applyBorder="1"/>
    <xf numFmtId="0" fontId="31" fillId="0" borderId="15" xfId="0" applyFont="1" applyBorder="1"/>
    <xf numFmtId="0" fontId="31" fillId="0" borderId="0" xfId="0" applyFont="1"/>
    <xf numFmtId="0" fontId="31" fillId="0" borderId="11" xfId="0" applyFont="1" applyBorder="1"/>
    <xf numFmtId="0" fontId="31" fillId="0" borderId="3" xfId="0" applyFont="1" applyBorder="1"/>
    <xf numFmtId="0" fontId="26" fillId="0" borderId="3" xfId="0" applyFont="1" applyBorder="1"/>
    <xf numFmtId="43" fontId="27" fillId="3" borderId="2" xfId="1" applyFont="1" applyFill="1" applyBorder="1" applyAlignment="1">
      <alignment horizontal="center" wrapText="1"/>
    </xf>
    <xf numFmtId="165" fontId="27" fillId="3" borderId="2" xfId="1" applyNumberFormat="1" applyFont="1" applyFill="1" applyBorder="1" applyAlignment="1">
      <alignment horizontal="center" wrapText="1"/>
    </xf>
    <xf numFmtId="0" fontId="0" fillId="0" borderId="0" xfId="0" applyAlignment="1">
      <alignment horizontal="left"/>
    </xf>
    <xf numFmtId="0" fontId="44" fillId="0" borderId="0" xfId="0" applyFont="1"/>
    <xf numFmtId="0" fontId="16" fillId="0" borderId="0" xfId="0" applyFont="1"/>
    <xf numFmtId="0" fontId="45" fillId="0" borderId="0" xfId="0" applyFont="1"/>
    <xf numFmtId="0" fontId="0" fillId="5" borderId="0" xfId="0" applyFill="1" applyAlignment="1" applyProtection="1">
      <alignment horizontal="left"/>
      <protection locked="0"/>
    </xf>
    <xf numFmtId="0" fontId="3" fillId="0" borderId="3" xfId="0" applyFont="1" applyBorder="1" applyAlignment="1">
      <alignment horizontal="center"/>
    </xf>
    <xf numFmtId="0" fontId="46" fillId="0" borderId="0" xfId="0" applyFont="1" applyAlignment="1">
      <alignment horizontal="left"/>
    </xf>
    <xf numFmtId="166" fontId="0" fillId="0" borderId="0" xfId="2" applyNumberFormat="1" applyFont="1"/>
    <xf numFmtId="44" fontId="0" fillId="0" borderId="0" xfId="2" applyFont="1"/>
    <xf numFmtId="165" fontId="0" fillId="0" borderId="3" xfId="1" applyNumberFormat="1" applyFont="1" applyBorder="1"/>
    <xf numFmtId="44" fontId="3" fillId="0" borderId="0" xfId="0" applyNumberFormat="1" applyFont="1"/>
    <xf numFmtId="44" fontId="3" fillId="0" borderId="0" xfId="2" applyFont="1"/>
    <xf numFmtId="44" fontId="0" fillId="0" borderId="0" xfId="0" applyNumberFormat="1"/>
    <xf numFmtId="0" fontId="47" fillId="0" borderId="0" xfId="0" applyFont="1" applyAlignment="1">
      <alignment horizontal="center"/>
    </xf>
    <xf numFmtId="166" fontId="0" fillId="0" borderId="3" xfId="2" applyNumberFormat="1" applyFont="1" applyBorder="1"/>
    <xf numFmtId="0" fontId="48" fillId="3" borderId="1" xfId="0" applyFont="1" applyFill="1" applyBorder="1" applyAlignment="1">
      <alignment horizontal="center"/>
    </xf>
    <xf numFmtId="0" fontId="2" fillId="3" borderId="1" xfId="0" applyFont="1" applyFill="1" applyBorder="1" applyAlignment="1">
      <alignment horizontal="center"/>
    </xf>
    <xf numFmtId="0" fontId="49" fillId="3" borderId="1" xfId="0" applyFont="1" applyFill="1" applyBorder="1" applyAlignment="1">
      <alignment horizontal="center" wrapText="1"/>
    </xf>
    <xf numFmtId="0" fontId="9" fillId="3" borderId="1" xfId="0" applyFont="1" applyFill="1" applyBorder="1" applyAlignment="1">
      <alignment horizontal="center" wrapText="1"/>
    </xf>
    <xf numFmtId="0" fontId="49" fillId="0" borderId="0" xfId="0" applyFont="1"/>
    <xf numFmtId="0" fontId="48" fillId="0" borderId="0" xfId="0" applyFont="1"/>
    <xf numFmtId="0" fontId="49" fillId="0" borderId="7" xfId="0" applyFont="1" applyBorder="1" applyAlignment="1">
      <alignment horizontal="center" wrapText="1"/>
    </xf>
    <xf numFmtId="43" fontId="48" fillId="5" borderId="1" xfId="1" applyFont="1" applyFill="1" applyBorder="1" applyAlignment="1" applyProtection="1">
      <alignment vertical="center"/>
      <protection locked="0"/>
    </xf>
    <xf numFmtId="43" fontId="49" fillId="0" borderId="7" xfId="1" applyFont="1" applyFill="1" applyBorder="1" applyAlignment="1">
      <alignment vertical="center"/>
    </xf>
    <xf numFmtId="0" fontId="48" fillId="0" borderId="0" xfId="0" applyFont="1" applyAlignment="1">
      <alignment vertical="center"/>
    </xf>
    <xf numFmtId="166" fontId="49" fillId="2" borderId="1" xfId="2" applyNumberFormat="1" applyFont="1" applyFill="1" applyBorder="1" applyAlignment="1">
      <alignment vertical="center"/>
    </xf>
    <xf numFmtId="166" fontId="49" fillId="0" borderId="7" xfId="2" applyNumberFormat="1" applyFont="1" applyFill="1" applyBorder="1" applyAlignment="1">
      <alignment vertical="center"/>
    </xf>
    <xf numFmtId="165" fontId="48" fillId="4" borderId="1" xfId="1" applyNumberFormat="1" applyFont="1" applyFill="1" applyBorder="1" applyAlignment="1">
      <alignment vertical="center"/>
    </xf>
    <xf numFmtId="0" fontId="48" fillId="0" borderId="0" xfId="0" applyFont="1" applyAlignment="1">
      <alignment vertical="top"/>
    </xf>
    <xf numFmtId="0" fontId="49" fillId="0" borderId="7" xfId="0" applyFont="1" applyBorder="1" applyAlignment="1">
      <alignment horizontal="left" vertical="center" wrapText="1"/>
    </xf>
    <xf numFmtId="0" fontId="9" fillId="0" borderId="7" xfId="0" applyFont="1" applyBorder="1" applyAlignment="1">
      <alignment horizontal="center" wrapText="1"/>
    </xf>
    <xf numFmtId="43" fontId="2" fillId="5" borderId="1" xfId="1" applyFont="1" applyFill="1" applyBorder="1" applyAlignment="1" applyProtection="1">
      <alignment vertical="center"/>
      <protection locked="0"/>
    </xf>
    <xf numFmtId="43" fontId="9" fillId="0" borderId="7" xfId="1" applyFont="1" applyFill="1" applyBorder="1" applyAlignment="1">
      <alignment vertical="center"/>
    </xf>
    <xf numFmtId="166" fontId="2" fillId="5" borderId="1" xfId="2" applyNumberFormat="1" applyFont="1" applyFill="1" applyBorder="1" applyAlignment="1" applyProtection="1">
      <alignment vertical="center"/>
      <protection locked="0"/>
    </xf>
    <xf numFmtId="166" fontId="9" fillId="2" borderId="1" xfId="2" applyNumberFormat="1" applyFont="1" applyFill="1" applyBorder="1" applyAlignment="1">
      <alignment vertical="center"/>
    </xf>
    <xf numFmtId="166" fontId="9" fillId="0" borderId="7" xfId="2" applyNumberFormat="1" applyFont="1" applyFill="1" applyBorder="1" applyAlignment="1">
      <alignment vertical="center"/>
    </xf>
    <xf numFmtId="166" fontId="2" fillId="0" borderId="1" xfId="2" applyNumberFormat="1" applyFont="1" applyFill="1" applyBorder="1" applyAlignment="1">
      <alignment vertical="center"/>
    </xf>
    <xf numFmtId="165" fontId="2" fillId="4" borderId="1" xfId="1" applyNumberFormat="1" applyFont="1" applyFill="1" applyBorder="1" applyAlignment="1">
      <alignment vertical="center"/>
    </xf>
    <xf numFmtId="166" fontId="2" fillId="2" borderId="1" xfId="2" applyNumberFormat="1" applyFont="1" applyFill="1" applyBorder="1" applyAlignment="1">
      <alignment vertical="center"/>
    </xf>
    <xf numFmtId="0" fontId="9" fillId="0" borderId="7" xfId="0" applyFont="1" applyBorder="1" applyAlignment="1">
      <alignment horizontal="left" vertical="center" wrapText="1"/>
    </xf>
    <xf numFmtId="0" fontId="52" fillId="0" borderId="0" xfId="0" applyFont="1" applyAlignment="1">
      <alignment vertical="top"/>
    </xf>
    <xf numFmtId="0" fontId="36" fillId="0" borderId="0" xfId="0" applyFont="1"/>
    <xf numFmtId="0" fontId="53" fillId="7" borderId="20" xfId="0" applyFont="1" applyFill="1" applyBorder="1" applyAlignment="1">
      <alignment vertical="top"/>
    </xf>
    <xf numFmtId="0" fontId="53" fillId="7" borderId="21" xfId="0" applyFont="1" applyFill="1" applyBorder="1" applyAlignment="1">
      <alignment vertical="top"/>
    </xf>
    <xf numFmtId="0" fontId="53" fillId="7" borderId="22" xfId="0" applyFont="1" applyFill="1" applyBorder="1" applyAlignment="1">
      <alignment vertical="top"/>
    </xf>
    <xf numFmtId="0" fontId="53" fillId="0" borderId="0" xfId="0" applyFont="1" applyAlignment="1">
      <alignment vertical="top"/>
    </xf>
    <xf numFmtId="0" fontId="36" fillId="0" borderId="0" xfId="0" applyFont="1" applyAlignment="1">
      <alignment vertical="top"/>
    </xf>
    <xf numFmtId="0" fontId="53" fillId="0" borderId="0" xfId="0" applyFont="1" applyAlignment="1">
      <alignment horizontal="center" vertical="top"/>
    </xf>
    <xf numFmtId="0" fontId="53" fillId="0" borderId="0" xfId="0" applyFont="1" applyAlignment="1" applyProtection="1">
      <alignment horizontal="center" vertical="top"/>
      <protection locked="0"/>
    </xf>
    <xf numFmtId="0" fontId="53" fillId="0" borderId="3" xfId="0" applyFont="1" applyBorder="1" applyAlignment="1" applyProtection="1">
      <alignment horizontal="center" vertical="top"/>
      <protection locked="0"/>
    </xf>
    <xf numFmtId="0" fontId="53" fillId="0" borderId="3" xfId="0" applyFont="1" applyBorder="1" applyAlignment="1" applyProtection="1">
      <alignment horizontal="left" vertical="top"/>
      <protection locked="0"/>
    </xf>
    <xf numFmtId="0" fontId="36" fillId="0" borderId="3" xfId="0" applyFont="1" applyBorder="1" applyAlignment="1">
      <alignment horizontal="center" vertical="top"/>
    </xf>
    <xf numFmtId="0" fontId="54" fillId="0" borderId="0" xfId="0" applyFont="1"/>
    <xf numFmtId="0" fontId="55" fillId="0" borderId="0" xfId="0" applyFont="1"/>
    <xf numFmtId="0" fontId="36" fillId="0" borderId="0" xfId="0" applyFont="1" applyAlignment="1" applyProtection="1">
      <alignment vertical="top"/>
      <protection locked="0"/>
    </xf>
    <xf numFmtId="0" fontId="36" fillId="0" borderId="0" xfId="0" applyFont="1" applyAlignment="1" applyProtection="1">
      <alignment horizontal="center" vertical="top"/>
      <protection locked="0"/>
    </xf>
    <xf numFmtId="0" fontId="55" fillId="0" borderId="0" xfId="0" applyFont="1" applyAlignment="1" applyProtection="1">
      <alignment horizontal="left" vertical="top"/>
      <protection locked="0"/>
    </xf>
    <xf numFmtId="0" fontId="55" fillId="0" borderId="0" xfId="0" applyFont="1" applyAlignment="1" applyProtection="1">
      <alignment vertical="top"/>
      <protection locked="0"/>
    </xf>
    <xf numFmtId="37" fontId="53" fillId="0" borderId="0" xfId="4" applyNumberFormat="1" applyFont="1" applyAlignment="1">
      <alignment horizontal="center" vertical="top" wrapText="1"/>
    </xf>
    <xf numFmtId="0" fontId="53" fillId="0" borderId="0" xfId="5" quotePrefix="1" applyFont="1" applyAlignment="1">
      <alignment horizontal="center" vertical="top"/>
    </xf>
    <xf numFmtId="169" fontId="55" fillId="0" borderId="0" xfId="0" applyNumberFormat="1" applyFont="1" applyAlignment="1">
      <alignment horizontal="center" vertical="top"/>
    </xf>
    <xf numFmtId="37" fontId="53" fillId="0" borderId="0" xfId="5" applyNumberFormat="1" applyFont="1" applyAlignment="1" applyProtection="1">
      <alignment horizontal="center" vertical="top"/>
      <protection locked="0"/>
    </xf>
    <xf numFmtId="0" fontId="58" fillId="0" borderId="0" xfId="5" quotePrefix="1" applyFont="1" applyAlignment="1">
      <alignment horizontal="center" vertical="top"/>
    </xf>
    <xf numFmtId="0" fontId="36" fillId="0" borderId="0" xfId="5" quotePrefix="1" applyFont="1" applyAlignment="1">
      <alignment horizontal="center" vertical="top"/>
    </xf>
    <xf numFmtId="0" fontId="36" fillId="0" borderId="0" xfId="0" applyFont="1" applyAlignment="1">
      <alignment horizontal="center" vertical="top"/>
    </xf>
    <xf numFmtId="0" fontId="36" fillId="0" borderId="0" xfId="0" applyFont="1" applyAlignment="1">
      <alignment horizontal="left" vertical="top"/>
    </xf>
    <xf numFmtId="169" fontId="36" fillId="0" borderId="0" xfId="0" applyNumberFormat="1" applyFont="1" applyAlignment="1">
      <alignment horizontal="center" vertical="top"/>
    </xf>
    <xf numFmtId="0" fontId="49" fillId="3" borderId="4" xfId="0" applyFont="1" applyFill="1" applyBorder="1" applyAlignment="1">
      <alignment horizontal="center" wrapText="1"/>
    </xf>
    <xf numFmtId="0" fontId="9" fillId="0" borderId="0" xfId="0" applyFont="1" applyAlignment="1">
      <alignment horizontal="center"/>
    </xf>
    <xf numFmtId="166" fontId="2" fillId="5" borderId="1" xfId="2" applyNumberFormat="1" applyFont="1" applyFill="1" applyBorder="1" applyProtection="1">
      <protection locked="0"/>
    </xf>
    <xf numFmtId="166" fontId="2" fillId="2" borderId="1" xfId="2" applyNumberFormat="1" applyFont="1" applyFill="1" applyBorder="1"/>
    <xf numFmtId="166" fontId="9" fillId="2" borderId="1" xfId="2" applyNumberFormat="1" applyFont="1" applyFill="1" applyBorder="1"/>
    <xf numFmtId="0" fontId="10" fillId="0" borderId="0" xfId="0" quotePrefix="1" applyFont="1"/>
    <xf numFmtId="166" fontId="48" fillId="5" borderId="1" xfId="2" applyNumberFormat="1" applyFont="1" applyFill="1" applyBorder="1" applyProtection="1">
      <protection locked="0"/>
    </xf>
    <xf numFmtId="0" fontId="59" fillId="0" borderId="0" xfId="0" quotePrefix="1" applyFont="1"/>
    <xf numFmtId="0" fontId="9" fillId="3" borderId="4" xfId="0" applyFont="1" applyFill="1" applyBorder="1" applyAlignment="1">
      <alignment horizontal="center" wrapText="1"/>
    </xf>
    <xf numFmtId="0" fontId="30" fillId="0" borderId="0" xfId="0" applyFont="1" applyAlignment="1">
      <alignment wrapText="1"/>
    </xf>
    <xf numFmtId="0" fontId="59" fillId="0" borderId="0" xfId="0" quotePrefix="1" applyFont="1" applyAlignment="1">
      <alignment horizontal="left"/>
    </xf>
    <xf numFmtId="0" fontId="60" fillId="0" borderId="0" xfId="0" applyFont="1" applyAlignment="1">
      <alignment horizontal="left" wrapText="1"/>
    </xf>
    <xf numFmtId="164" fontId="48" fillId="0" borderId="0" xfId="0" applyNumberFormat="1" applyFont="1" applyAlignment="1">
      <alignment horizontal="left"/>
    </xf>
    <xf numFmtId="166" fontId="49" fillId="2" borderId="1" xfId="2" applyNumberFormat="1" applyFont="1" applyFill="1" applyBorder="1"/>
    <xf numFmtId="0" fontId="16" fillId="0" borderId="0" xfId="0" applyFont="1" applyAlignment="1">
      <alignment horizontal="left" wrapText="1"/>
    </xf>
    <xf numFmtId="0" fontId="51" fillId="0" borderId="0" xfId="0" quotePrefix="1" applyFont="1"/>
    <xf numFmtId="0" fontId="9" fillId="3" borderId="0" xfId="0" applyFont="1" applyFill="1" applyAlignment="1">
      <alignment horizontal="center"/>
    </xf>
    <xf numFmtId="0" fontId="9" fillId="0" borderId="0" xfId="0" applyFont="1" applyAlignment="1">
      <alignment horizontal="right"/>
    </xf>
    <xf numFmtId="0" fontId="63" fillId="0" borderId="0" xfId="0" applyFont="1"/>
    <xf numFmtId="43" fontId="2" fillId="5" borderId="1" xfId="1" applyFont="1" applyFill="1" applyBorder="1" applyProtection="1">
      <protection locked="0"/>
    </xf>
    <xf numFmtId="0" fontId="29" fillId="0" borderId="0" xfId="0" applyFont="1"/>
    <xf numFmtId="0" fontId="64" fillId="0" borderId="0" xfId="0" quotePrefix="1" applyFont="1" applyAlignment="1">
      <alignment vertical="top"/>
    </xf>
    <xf numFmtId="0" fontId="65" fillId="0" borderId="0" xfId="0" applyFont="1"/>
    <xf numFmtId="0" fontId="66" fillId="0" borderId="0" xfId="0" applyFont="1"/>
    <xf numFmtId="0" fontId="67" fillId="0" borderId="0" xfId="0" quotePrefix="1" applyFont="1" applyAlignment="1">
      <alignment vertical="top"/>
    </xf>
    <xf numFmtId="0" fontId="68" fillId="0" borderId="0" xfId="0" applyFont="1"/>
    <xf numFmtId="0" fontId="12" fillId="0" borderId="0" xfId="0" quotePrefix="1" applyFont="1"/>
    <xf numFmtId="166" fontId="61" fillId="2" borderId="10" xfId="2" applyNumberFormat="1" applyFont="1" applyFill="1" applyBorder="1"/>
    <xf numFmtId="0" fontId="12" fillId="0" borderId="0" xfId="0" applyFont="1"/>
    <xf numFmtId="0" fontId="10" fillId="0" borderId="9" xfId="0" quotePrefix="1" applyFont="1" applyBorder="1" applyAlignment="1">
      <alignment horizontal="left"/>
    </xf>
    <xf numFmtId="0" fontId="71" fillId="0" borderId="0" xfId="0" applyFont="1" applyAlignment="1">
      <alignment horizontal="left" wrapText="1"/>
    </xf>
    <xf numFmtId="165" fontId="9" fillId="2" borderId="1" xfId="0" applyNumberFormat="1" applyFont="1" applyFill="1" applyBorder="1"/>
    <xf numFmtId="165" fontId="9" fillId="2" borderId="2" xfId="0" applyNumberFormat="1" applyFont="1" applyFill="1" applyBorder="1"/>
    <xf numFmtId="165" fontId="9" fillId="2" borderId="18" xfId="0" applyNumberFormat="1" applyFont="1" applyFill="1" applyBorder="1"/>
    <xf numFmtId="165" fontId="9" fillId="2" borderId="8" xfId="0" applyNumberFormat="1" applyFont="1" applyFill="1" applyBorder="1"/>
    <xf numFmtId="0" fontId="72" fillId="0" borderId="0" xfId="0" applyFont="1" applyAlignment="1">
      <alignment horizontal="left" wrapText="1"/>
    </xf>
    <xf numFmtId="0" fontId="49" fillId="0" borderId="0" xfId="0" applyFont="1" applyAlignment="1">
      <alignment horizontal="center" wrapText="1"/>
    </xf>
    <xf numFmtId="165" fontId="49" fillId="2" borderId="1" xfId="0" applyNumberFormat="1" applyFont="1" applyFill="1" applyBorder="1"/>
    <xf numFmtId="167" fontId="2" fillId="2" borderId="2" xfId="3" applyNumberFormat="1" applyFont="1" applyFill="1" applyBorder="1" applyAlignment="1">
      <alignment horizontal="center" vertical="top"/>
    </xf>
    <xf numFmtId="9" fontId="2" fillId="0" borderId="0" xfId="3" applyFont="1"/>
    <xf numFmtId="9" fontId="9" fillId="2" borderId="1" xfId="3" applyFont="1" applyFill="1" applyBorder="1"/>
    <xf numFmtId="166" fontId="48" fillId="5" borderId="1" xfId="2" applyNumberFormat="1" applyFont="1" applyFill="1" applyBorder="1" applyAlignment="1" applyProtection="1">
      <alignment vertical="top"/>
      <protection locked="0"/>
    </xf>
    <xf numFmtId="165" fontId="48" fillId="6" borderId="9" xfId="1" applyNumberFormat="1" applyFont="1" applyFill="1" applyBorder="1" applyAlignment="1">
      <alignment vertical="center"/>
    </xf>
    <xf numFmtId="165" fontId="48" fillId="6" borderId="0" xfId="1" applyNumberFormat="1" applyFont="1" applyFill="1" applyBorder="1" applyAlignment="1">
      <alignment vertical="center"/>
    </xf>
    <xf numFmtId="0" fontId="69" fillId="0" borderId="0" xfId="0" applyFont="1" applyAlignment="1">
      <alignment horizontal="right" vertical="top"/>
    </xf>
    <xf numFmtId="166" fontId="2" fillId="5" borderId="1" xfId="2" applyNumberFormat="1" applyFont="1" applyFill="1" applyBorder="1" applyAlignment="1" applyProtection="1">
      <alignment vertical="top"/>
      <protection locked="0"/>
    </xf>
    <xf numFmtId="165" fontId="2" fillId="6" borderId="9" xfId="1" applyNumberFormat="1" applyFont="1" applyFill="1" applyBorder="1" applyAlignment="1">
      <alignment vertical="center"/>
    </xf>
    <xf numFmtId="165" fontId="2" fillId="6" borderId="0" xfId="1" applyNumberFormat="1" applyFont="1" applyFill="1" applyBorder="1" applyAlignment="1">
      <alignment vertical="center"/>
    </xf>
    <xf numFmtId="165" fontId="2" fillId="6" borderId="3" xfId="1" applyNumberFormat="1" applyFont="1" applyFill="1" applyBorder="1" applyAlignment="1">
      <alignment vertical="center"/>
    </xf>
    <xf numFmtId="44" fontId="9" fillId="2" borderId="1" xfId="2" applyFont="1" applyFill="1" applyBorder="1" applyAlignment="1">
      <alignment vertical="top"/>
    </xf>
    <xf numFmtId="44" fontId="9" fillId="2" borderId="1" xfId="2" applyFont="1" applyFill="1" applyBorder="1"/>
    <xf numFmtId="166" fontId="2" fillId="2" borderId="1" xfId="0" applyNumberFormat="1" applyFont="1" applyFill="1" applyBorder="1" applyAlignment="1">
      <alignment vertical="top"/>
    </xf>
    <xf numFmtId="166" fontId="9" fillId="2" borderId="1" xfId="0" applyNumberFormat="1" applyFont="1" applyFill="1" applyBorder="1"/>
    <xf numFmtId="0" fontId="8" fillId="0" borderId="0" xfId="0" applyFont="1" applyAlignment="1">
      <alignment horizontal="left" wrapText="1"/>
    </xf>
    <xf numFmtId="0" fontId="49" fillId="3" borderId="2" xfId="0" applyFont="1" applyFill="1" applyBorder="1" applyAlignment="1">
      <alignment horizontal="center" wrapText="1"/>
    </xf>
    <xf numFmtId="170" fontId="26" fillId="5" borderId="2" xfId="0" applyNumberFormat="1" applyFont="1" applyFill="1" applyBorder="1" applyAlignment="1" applyProtection="1">
      <alignment horizontal="center" vertical="top"/>
      <protection locked="0"/>
    </xf>
    <xf numFmtId="171" fontId="26" fillId="5" borderId="2" xfId="0" applyNumberFormat="1" applyFont="1" applyFill="1" applyBorder="1" applyAlignment="1" applyProtection="1">
      <alignment horizontal="center" vertical="top"/>
      <protection locked="0"/>
    </xf>
    <xf numFmtId="172" fontId="26" fillId="5" borderId="2" xfId="0" applyNumberFormat="1" applyFont="1" applyFill="1" applyBorder="1" applyAlignment="1" applyProtection="1">
      <alignment horizontal="center" vertical="top"/>
      <protection locked="0"/>
    </xf>
    <xf numFmtId="168" fontId="26" fillId="0" borderId="0" xfId="1" applyNumberFormat="1" applyFont="1" applyFill="1" applyAlignment="1">
      <alignment horizontal="left"/>
    </xf>
    <xf numFmtId="168" fontId="26" fillId="0" borderId="0" xfId="1" applyNumberFormat="1" applyFont="1" applyFill="1" applyAlignment="1">
      <alignment horizontal="center"/>
    </xf>
    <xf numFmtId="165" fontId="26" fillId="0" borderId="0" xfId="1" applyNumberFormat="1" applyFont="1" applyFill="1"/>
    <xf numFmtId="172" fontId="26" fillId="0" borderId="17" xfId="0" applyNumberFormat="1" applyFont="1" applyBorder="1" applyAlignment="1">
      <alignment horizontal="center" vertical="top" wrapText="1"/>
    </xf>
    <xf numFmtId="172" fontId="26" fillId="5" borderId="2" xfId="1" applyNumberFormat="1" applyFont="1" applyFill="1" applyBorder="1" applyAlignment="1" applyProtection="1">
      <alignment horizontal="center" vertical="top"/>
      <protection locked="0"/>
    </xf>
    <xf numFmtId="172" fontId="26" fillId="0" borderId="18" xfId="0" applyNumberFormat="1" applyFont="1" applyBorder="1" applyAlignment="1">
      <alignment horizontal="center" vertical="top" wrapText="1"/>
    </xf>
    <xf numFmtId="172" fontId="26" fillId="0" borderId="19" xfId="0" applyNumberFormat="1" applyFont="1" applyBorder="1" applyAlignment="1">
      <alignment horizontal="center" vertical="top" wrapText="1"/>
    </xf>
    <xf numFmtId="170" fontId="26" fillId="5" borderId="2" xfId="1" applyNumberFormat="1" applyFont="1" applyFill="1" applyBorder="1" applyAlignment="1" applyProtection="1">
      <alignment horizontal="center" vertical="top"/>
      <protection locked="0"/>
    </xf>
    <xf numFmtId="164" fontId="9" fillId="3" borderId="0" xfId="0" applyNumberFormat="1" applyFont="1" applyFill="1" applyAlignment="1">
      <alignment horizontal="center"/>
    </xf>
    <xf numFmtId="165" fontId="9" fillId="3" borderId="2" xfId="1" applyNumberFormat="1" applyFont="1" applyFill="1" applyBorder="1" applyAlignment="1">
      <alignment horizontal="center" wrapText="1"/>
    </xf>
    <xf numFmtId="44" fontId="2" fillId="2" borderId="1" xfId="2" applyFont="1" applyFill="1" applyBorder="1" applyAlignment="1">
      <alignment vertical="center"/>
    </xf>
    <xf numFmtId="43" fontId="9" fillId="3" borderId="2" xfId="1" applyFont="1" applyFill="1" applyBorder="1" applyAlignment="1">
      <alignment horizontal="center" wrapText="1"/>
    </xf>
    <xf numFmtId="43" fontId="2" fillId="2" borderId="1" xfId="1" applyFont="1" applyFill="1" applyBorder="1" applyAlignment="1">
      <alignment vertical="center"/>
    </xf>
    <xf numFmtId="165" fontId="9" fillId="2" borderId="1" xfId="1" applyNumberFormat="1" applyFont="1" applyFill="1" applyBorder="1"/>
    <xf numFmtId="165" fontId="2" fillId="5" borderId="1" xfId="1" applyNumberFormat="1" applyFont="1" applyFill="1" applyBorder="1" applyAlignment="1" applyProtection="1">
      <alignment vertical="center"/>
      <protection locked="0"/>
    </xf>
    <xf numFmtId="164" fontId="9" fillId="3" borderId="7" xfId="0" applyNumberFormat="1" applyFont="1" applyFill="1" applyBorder="1" applyAlignment="1">
      <alignment horizontal="center"/>
    </xf>
    <xf numFmtId="165" fontId="2" fillId="0" borderId="1" xfId="1" applyNumberFormat="1" applyFont="1" applyFill="1" applyBorder="1"/>
    <xf numFmtId="44" fontId="73" fillId="2" borderId="1" xfId="2" applyFont="1" applyFill="1" applyBorder="1"/>
    <xf numFmtId="166" fontId="2" fillId="0" borderId="1" xfId="2" applyNumberFormat="1" applyFont="1" applyFill="1" applyBorder="1"/>
    <xf numFmtId="0" fontId="48" fillId="0" borderId="0" xfId="0" quotePrefix="1" applyFont="1"/>
    <xf numFmtId="0" fontId="48" fillId="0" borderId="0" xfId="0" quotePrefix="1" applyFont="1" applyAlignment="1">
      <alignment horizontal="left"/>
    </xf>
    <xf numFmtId="0" fontId="48" fillId="0" borderId="0" xfId="0" applyFont="1" applyAlignment="1">
      <alignment wrapText="1"/>
    </xf>
    <xf numFmtId="165" fontId="48" fillId="5" borderId="1" xfId="1" applyNumberFormat="1" applyFont="1" applyFill="1" applyBorder="1" applyAlignment="1" applyProtection="1">
      <alignment vertical="center"/>
      <protection locked="0"/>
    </xf>
    <xf numFmtId="165" fontId="48" fillId="0" borderId="0" xfId="1" applyNumberFormat="1" applyFont="1"/>
    <xf numFmtId="165" fontId="60" fillId="0" borderId="0" xfId="1" applyNumberFormat="1" applyFont="1" applyAlignment="1"/>
    <xf numFmtId="165" fontId="49" fillId="3" borderId="2" xfId="1" applyNumberFormat="1" applyFont="1" applyFill="1" applyBorder="1" applyAlignment="1">
      <alignment horizontal="center" wrapText="1"/>
    </xf>
    <xf numFmtId="172" fontId="0" fillId="0" borderId="0" xfId="0" applyNumberFormat="1"/>
    <xf numFmtId="0" fontId="0" fillId="0" borderId="0" xfId="0" applyAlignment="1">
      <alignment horizontal="left" wrapText="1"/>
    </xf>
    <xf numFmtId="0" fontId="7" fillId="0" borderId="0" xfId="0" applyFont="1" applyAlignment="1">
      <alignment horizontal="left"/>
    </xf>
    <xf numFmtId="172" fontId="48" fillId="0" borderId="0" xfId="0" applyNumberFormat="1" applyFont="1"/>
    <xf numFmtId="172" fontId="2" fillId="0" borderId="0" xfId="0" applyNumberFormat="1" applyFont="1"/>
    <xf numFmtId="37" fontId="0" fillId="0" borderId="0" xfId="0" applyNumberFormat="1"/>
    <xf numFmtId="37" fontId="52" fillId="0" borderId="0" xfId="0" applyNumberFormat="1" applyFont="1" applyAlignment="1">
      <alignment vertical="top"/>
    </xf>
    <xf numFmtId="37" fontId="53" fillId="7" borderId="21" xfId="0" applyNumberFormat="1" applyFont="1" applyFill="1" applyBorder="1" applyAlignment="1">
      <alignment vertical="top"/>
    </xf>
    <xf numFmtId="37" fontId="53" fillId="0" borderId="0" xfId="0" applyNumberFormat="1" applyFont="1" applyAlignment="1">
      <alignment vertical="top"/>
    </xf>
    <xf numFmtId="37" fontId="53" fillId="0" borderId="0" xfId="0" applyNumberFormat="1" applyFont="1" applyAlignment="1" applyProtection="1">
      <alignment horizontal="center" vertical="top"/>
      <protection locked="0"/>
    </xf>
    <xf numFmtId="37" fontId="53" fillId="0" borderId="3" xfId="0" applyNumberFormat="1" applyFont="1" applyBorder="1" applyAlignment="1" applyProtection="1">
      <alignment horizontal="center" vertical="top"/>
      <protection locked="0"/>
    </xf>
    <xf numFmtId="37" fontId="36" fillId="0" borderId="0" xfId="0" applyNumberFormat="1" applyFont="1" applyAlignment="1">
      <alignment vertical="top"/>
    </xf>
    <xf numFmtId="0" fontId="52" fillId="0" borderId="0" xfId="0" applyFont="1" applyAlignment="1">
      <alignment horizontal="center" vertical="top"/>
    </xf>
    <xf numFmtId="0" fontId="53" fillId="7" borderId="21" xfId="0" applyFont="1" applyFill="1" applyBorder="1" applyAlignment="1">
      <alignment horizontal="center" vertical="top"/>
    </xf>
    <xf numFmtId="0" fontId="36" fillId="0" borderId="0" xfId="0" applyFont="1" applyAlignment="1">
      <alignment horizontal="center"/>
    </xf>
    <xf numFmtId="166" fontId="48" fillId="0" borderId="1" xfId="2" applyNumberFormat="1" applyFont="1" applyFill="1" applyBorder="1" applyAlignment="1">
      <alignment horizontal="right"/>
    </xf>
    <xf numFmtId="166" fontId="49" fillId="2" borderId="1" xfId="2" applyNumberFormat="1" applyFont="1" applyFill="1" applyBorder="1" applyAlignment="1">
      <alignment horizontal="right"/>
    </xf>
    <xf numFmtId="0" fontId="9" fillId="3" borderId="2" xfId="0" applyFont="1" applyFill="1" applyBorder="1" applyAlignment="1">
      <alignment horizontal="center" wrapText="1"/>
    </xf>
    <xf numFmtId="43" fontId="26" fillId="0" borderId="1" xfId="1" applyFont="1" applyFill="1" applyBorder="1" applyAlignment="1">
      <alignment vertical="center"/>
    </xf>
    <xf numFmtId="0" fontId="0" fillId="0" borderId="0" xfId="0" applyAlignment="1">
      <alignment horizontal="left" vertical="top" wrapText="1"/>
    </xf>
    <xf numFmtId="173" fontId="0" fillId="0" borderId="0" xfId="0" applyNumberFormat="1" applyAlignment="1">
      <alignment horizontal="left"/>
    </xf>
    <xf numFmtId="170" fontId="0" fillId="0" borderId="0" xfId="0" applyNumberFormat="1" applyAlignment="1">
      <alignment horizontal="left"/>
    </xf>
    <xf numFmtId="174" fontId="26" fillId="2" borderId="1" xfId="1" applyNumberFormat="1" applyFont="1" applyFill="1" applyBorder="1"/>
    <xf numFmtId="174" fontId="26" fillId="5" borderId="17" xfId="1" applyNumberFormat="1" applyFont="1" applyFill="1" applyBorder="1" applyAlignment="1" applyProtection="1">
      <alignment vertical="top"/>
      <protection locked="0"/>
    </xf>
    <xf numFmtId="174" fontId="48" fillId="2" borderId="1" xfId="1" applyNumberFormat="1" applyFont="1" applyFill="1" applyBorder="1"/>
    <xf numFmtId="174" fontId="48" fillId="5" borderId="17" xfId="1" applyNumberFormat="1" applyFont="1" applyFill="1" applyBorder="1" applyAlignment="1" applyProtection="1">
      <alignment vertical="top"/>
      <protection locked="0"/>
    </xf>
    <xf numFmtId="174" fontId="2" fillId="2" borderId="1" xfId="1" applyNumberFormat="1" applyFont="1" applyFill="1" applyBorder="1"/>
    <xf numFmtId="174" fontId="2" fillId="5" borderId="17" xfId="1" applyNumberFormat="1" applyFont="1" applyFill="1" applyBorder="1" applyAlignment="1" applyProtection="1">
      <alignment vertical="top"/>
      <protection locked="0"/>
    </xf>
    <xf numFmtId="175" fontId="0" fillId="0" borderId="0" xfId="0" applyNumberFormat="1" applyAlignment="1">
      <alignment horizontal="left"/>
    </xf>
    <xf numFmtId="172" fontId="0" fillId="0" borderId="0" xfId="0" applyNumberFormat="1" applyAlignment="1">
      <alignment horizontal="left"/>
    </xf>
    <xf numFmtId="0" fontId="51" fillId="0" borderId="0" xfId="0" applyFont="1"/>
    <xf numFmtId="0" fontId="0" fillId="0" borderId="0" xfId="0" applyAlignment="1">
      <alignment horizontal="center" vertical="center"/>
    </xf>
    <xf numFmtId="0" fontId="0" fillId="0" borderId="1" xfId="0" quotePrefix="1" applyBorder="1" applyAlignment="1">
      <alignment horizontal="center" vertical="center"/>
    </xf>
    <xf numFmtId="0" fontId="31" fillId="0" borderId="3" xfId="0" applyFont="1" applyBorder="1" applyAlignment="1">
      <alignment horizontal="left" vertical="top"/>
    </xf>
    <xf numFmtId="166" fontId="83" fillId="0" borderId="0" xfId="0" applyNumberFormat="1" applyFont="1"/>
    <xf numFmtId="164" fontId="26" fillId="0" borderId="0" xfId="0" applyNumberFormat="1" applyFont="1" applyAlignment="1">
      <alignment horizontal="right"/>
    </xf>
    <xf numFmtId="164" fontId="27" fillId="0" borderId="0" xfId="0" applyNumberFormat="1" applyFont="1" applyAlignment="1">
      <alignment horizontal="right"/>
    </xf>
    <xf numFmtId="164" fontId="84" fillId="0" borderId="0" xfId="0" applyNumberFormat="1" applyFont="1" applyAlignment="1">
      <alignment horizontal="right"/>
    </xf>
    <xf numFmtId="44" fontId="84" fillId="2" borderId="1" xfId="2" applyFont="1" applyFill="1" applyBorder="1"/>
    <xf numFmtId="165" fontId="27" fillId="0" borderId="0" xfId="1" applyNumberFormat="1" applyFont="1" applyFill="1" applyBorder="1" applyAlignment="1">
      <alignment wrapText="1"/>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27" fillId="0" borderId="9" xfId="0" applyFont="1" applyBorder="1" applyAlignment="1">
      <alignment horizontal="left"/>
    </xf>
    <xf numFmtId="0" fontId="27" fillId="0" borderId="9" xfId="0" applyFont="1" applyBorder="1" applyAlignment="1">
      <alignment horizontal="center"/>
    </xf>
    <xf numFmtId="0" fontId="27" fillId="0" borderId="9" xfId="0" applyFont="1" applyBorder="1" applyAlignment="1">
      <alignment horizontal="center" wrapText="1"/>
    </xf>
    <xf numFmtId="0" fontId="26" fillId="0" borderId="9" xfId="0" applyFont="1" applyBorder="1" applyAlignment="1">
      <alignment horizontal="center" vertical="center"/>
    </xf>
    <xf numFmtId="0" fontId="27" fillId="0" borderId="9" xfId="0" applyFont="1" applyBorder="1" applyAlignment="1">
      <alignment horizontal="left" vertical="center"/>
    </xf>
    <xf numFmtId="166" fontId="27" fillId="0" borderId="9" xfId="2" applyNumberFormat="1" applyFont="1" applyFill="1" applyBorder="1" applyAlignment="1">
      <alignment vertical="center"/>
    </xf>
    <xf numFmtId="0" fontId="26" fillId="0" borderId="8" xfId="0" applyFont="1" applyBorder="1" applyAlignment="1">
      <alignment horizontal="center" vertical="center"/>
    </xf>
    <xf numFmtId="166" fontId="49" fillId="0" borderId="0" xfId="2" applyNumberFormat="1" applyFont="1" applyFill="1" applyBorder="1" applyAlignment="1">
      <alignment vertical="center"/>
    </xf>
    <xf numFmtId="166" fontId="85" fillId="2" borderId="1" xfId="2" applyNumberFormat="1" applyFont="1" applyFill="1" applyBorder="1" applyAlignment="1">
      <alignment vertical="center"/>
    </xf>
    <xf numFmtId="166" fontId="48" fillId="0" borderId="0" xfId="2" applyNumberFormat="1" applyFont="1" applyFill="1" applyBorder="1" applyAlignment="1" applyProtection="1">
      <alignment vertical="center"/>
      <protection locked="0"/>
    </xf>
    <xf numFmtId="166" fontId="85" fillId="0" borderId="0" xfId="2" applyNumberFormat="1" applyFont="1" applyFill="1" applyBorder="1" applyAlignment="1">
      <alignment vertical="center"/>
    </xf>
    <xf numFmtId="166" fontId="9" fillId="0" borderId="0" xfId="2" applyNumberFormat="1" applyFont="1" applyFill="1" applyBorder="1" applyAlignment="1">
      <alignment vertical="center"/>
    </xf>
    <xf numFmtId="166" fontId="61" fillId="2" borderId="1" xfId="2" applyNumberFormat="1" applyFont="1" applyFill="1" applyBorder="1" applyAlignment="1">
      <alignment vertical="center"/>
    </xf>
    <xf numFmtId="165" fontId="26" fillId="0" borderId="0" xfId="1" applyNumberFormat="1" applyFont="1" applyBorder="1"/>
    <xf numFmtId="165" fontId="0" fillId="5" borderId="1" xfId="1" applyNumberFormat="1" applyFont="1" applyFill="1" applyBorder="1" applyProtection="1">
      <protection locked="0"/>
    </xf>
    <xf numFmtId="0" fontId="86" fillId="8" borderId="6" xfId="0" applyFont="1" applyFill="1" applyBorder="1" applyAlignment="1" applyProtection="1">
      <alignment horizontal="left"/>
      <protection locked="0"/>
    </xf>
    <xf numFmtId="0" fontId="86" fillId="8" borderId="7" xfId="0" applyFont="1" applyFill="1" applyBorder="1" applyAlignment="1" applyProtection="1">
      <alignment horizontal="left"/>
      <protection locked="0"/>
    </xf>
    <xf numFmtId="0" fontId="86" fillId="8" borderId="5"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166" fontId="48" fillId="5" borderId="1" xfId="2" applyNumberFormat="1" applyFont="1" applyFill="1" applyBorder="1" applyProtection="1"/>
    <xf numFmtId="165" fontId="0" fillId="0" borderId="0" xfId="1" applyNumberFormat="1" applyFont="1" applyFill="1"/>
    <xf numFmtId="0" fontId="6" fillId="0" borderId="0" xfId="0" applyFont="1" applyAlignment="1">
      <alignment horizontal="left"/>
    </xf>
    <xf numFmtId="14" fontId="0" fillId="0" borderId="0" xfId="0" applyNumberFormat="1"/>
    <xf numFmtId="0" fontId="0" fillId="5" borderId="1" xfId="0" applyFill="1" applyBorder="1" applyAlignment="1">
      <alignment horizontal="center"/>
    </xf>
    <xf numFmtId="166" fontId="0" fillId="5" borderId="1" xfId="2" applyNumberFormat="1" applyFont="1" applyFill="1" applyBorder="1"/>
    <xf numFmtId="0" fontId="0" fillId="5" borderId="1" xfId="0" applyFill="1" applyBorder="1"/>
    <xf numFmtId="37" fontId="0" fillId="5" borderId="1" xfId="0" applyNumberFormat="1" applyFill="1" applyBorder="1" applyAlignment="1">
      <alignment horizontal="center"/>
    </xf>
    <xf numFmtId="0" fontId="0" fillId="5" borderId="1" xfId="0" applyFill="1" applyBorder="1" applyAlignment="1">
      <alignment horizontal="left" wrapText="1"/>
    </xf>
    <xf numFmtId="177" fontId="0" fillId="5" borderId="1" xfId="1" applyNumberFormat="1" applyFont="1" applyFill="1" applyBorder="1" applyProtection="1">
      <protection locked="0"/>
    </xf>
    <xf numFmtId="0" fontId="0" fillId="5" borderId="6" xfId="0" applyFill="1" applyBorder="1" applyAlignment="1">
      <alignment horizontal="left"/>
    </xf>
    <xf numFmtId="0" fontId="0" fillId="5" borderId="7" xfId="0" applyFill="1" applyBorder="1" applyAlignment="1">
      <alignment horizontal="left"/>
    </xf>
    <xf numFmtId="0" fontId="0" fillId="5" borderId="5" xfId="0" applyFill="1" applyBorder="1" applyAlignment="1">
      <alignment horizontal="left"/>
    </xf>
    <xf numFmtId="37" fontId="26" fillId="5" borderId="2" xfId="1" applyNumberFormat="1" applyFont="1" applyFill="1" applyBorder="1" applyAlignment="1" applyProtection="1">
      <alignment horizontal="center" vertical="top"/>
      <protection locked="0"/>
    </xf>
    <xf numFmtId="168" fontId="26" fillId="5" borderId="2" xfId="1" applyNumberFormat="1" applyFont="1" applyFill="1" applyBorder="1" applyAlignment="1" applyProtection="1">
      <alignment horizontal="center" vertical="top"/>
      <protection locked="0"/>
    </xf>
    <xf numFmtId="0" fontId="0" fillId="5" borderId="2" xfId="0" applyFill="1" applyBorder="1" applyAlignment="1">
      <alignment horizontal="center" vertical="top"/>
    </xf>
    <xf numFmtId="177" fontId="26" fillId="5" borderId="1" xfId="2" applyNumberFormat="1" applyFont="1" applyFill="1" applyBorder="1" applyProtection="1">
      <protection locked="0"/>
    </xf>
    <xf numFmtId="177" fontId="26" fillId="5" borderId="1" xfId="2" applyNumberFormat="1" applyFont="1" applyFill="1" applyBorder="1" applyAlignment="1" applyProtection="1">
      <alignment vertical="center"/>
      <protection locked="0"/>
    </xf>
    <xf numFmtId="0" fontId="26" fillId="5" borderId="1" xfId="0" applyFont="1" applyFill="1" applyBorder="1" applyAlignment="1" applyProtection="1">
      <alignment horizontal="left"/>
      <protection locked="0"/>
    </xf>
    <xf numFmtId="0" fontId="0" fillId="0" borderId="0" xfId="0" applyAlignment="1">
      <alignment horizontal="left" wrapText="1"/>
    </xf>
    <xf numFmtId="0" fontId="0" fillId="0" borderId="0" xfId="0" applyAlignment="1">
      <alignment horizontal="left" vertical="top" wrapText="1"/>
    </xf>
    <xf numFmtId="172" fontId="15" fillId="0" borderId="0" xfId="0" applyNumberFormat="1" applyFont="1" applyAlignment="1">
      <alignment horizontal="left"/>
    </xf>
    <xf numFmtId="0" fontId="0" fillId="0" borderId="0" xfId="0" applyAlignment="1">
      <alignment wrapText="1"/>
    </xf>
    <xf numFmtId="0" fontId="26" fillId="0" borderId="1" xfId="0" applyFont="1" applyBorder="1" applyAlignment="1">
      <alignment horizontal="left"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5" xfId="0" applyFont="1" applyBorder="1" applyAlignment="1">
      <alignment horizontal="left" vertical="center"/>
    </xf>
    <xf numFmtId="0" fontId="33" fillId="2" borderId="6" xfId="0" applyFont="1" applyFill="1" applyBorder="1" applyAlignment="1">
      <alignment horizontal="left" vertical="center"/>
    </xf>
    <xf numFmtId="0" fontId="33" fillId="2" borderId="7" xfId="0" applyFont="1" applyFill="1" applyBorder="1" applyAlignment="1">
      <alignment horizontal="left" vertical="center"/>
    </xf>
    <xf numFmtId="0" fontId="33"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 xfId="0" applyFont="1" applyFill="1" applyBorder="1" applyAlignment="1">
      <alignment horizontal="left" vertical="center"/>
    </xf>
    <xf numFmtId="0" fontId="27" fillId="2" borderId="5" xfId="0" applyFont="1" applyFill="1" applyBorder="1" applyAlignment="1">
      <alignment horizontal="left" vertical="center"/>
    </xf>
    <xf numFmtId="0" fontId="27" fillId="3" borderId="6" xfId="0" applyFont="1" applyFill="1" applyBorder="1" applyAlignment="1">
      <alignment horizontal="left" vertical="center"/>
    </xf>
    <xf numFmtId="0" fontId="27" fillId="3" borderId="7" xfId="0" applyFont="1" applyFill="1" applyBorder="1" applyAlignment="1">
      <alignment horizontal="left" vertical="center"/>
    </xf>
    <xf numFmtId="0" fontId="27" fillId="3" borderId="5" xfId="0" applyFont="1" applyFill="1" applyBorder="1" applyAlignment="1">
      <alignment horizontal="left" vertical="center"/>
    </xf>
    <xf numFmtId="0" fontId="27" fillId="0" borderId="3" xfId="0" applyFont="1" applyBorder="1" applyAlignment="1">
      <alignment horizontal="left" vertical="center" wrapText="1"/>
    </xf>
    <xf numFmtId="0" fontId="27" fillId="3" borderId="1" xfId="0" applyFont="1" applyFill="1" applyBorder="1" applyAlignment="1">
      <alignment horizontal="center"/>
    </xf>
    <xf numFmtId="0" fontId="26" fillId="5" borderId="1" xfId="0" applyFont="1" applyFill="1" applyBorder="1" applyAlignment="1" applyProtection="1">
      <alignment horizontal="left"/>
      <protection locked="0"/>
    </xf>
    <xf numFmtId="0" fontId="8" fillId="0" borderId="0" xfId="0" applyFont="1" applyAlignment="1">
      <alignment horizontal="left" wrapText="1"/>
    </xf>
    <xf numFmtId="0" fontId="31" fillId="0" borderId="0" xfId="0" applyFont="1" applyAlignment="1">
      <alignment horizontal="left" vertical="top" wrapText="1"/>
    </xf>
    <xf numFmtId="0" fontId="26" fillId="3" borderId="6" xfId="0" applyFont="1" applyFill="1" applyBorder="1" applyAlignment="1">
      <alignment horizontal="center"/>
    </xf>
    <xf numFmtId="0" fontId="26" fillId="3" borderId="5" xfId="0" applyFont="1" applyFill="1" applyBorder="1" applyAlignment="1">
      <alignment horizontal="center"/>
    </xf>
    <xf numFmtId="0" fontId="27" fillId="3" borderId="1" xfId="0" applyFont="1" applyFill="1" applyBorder="1" applyAlignment="1">
      <alignment horizontal="center" wrapText="1"/>
    </xf>
    <xf numFmtId="172" fontId="0" fillId="5" borderId="0" xfId="0" applyNumberFormat="1" applyFill="1" applyAlignment="1" applyProtection="1">
      <alignment horizontal="left" vertical="top" wrapText="1"/>
      <protection locked="0"/>
    </xf>
    <xf numFmtId="172" fontId="0" fillId="5" borderId="0" xfId="0" quotePrefix="1" applyNumberFormat="1" applyFill="1" applyAlignment="1" applyProtection="1">
      <alignment horizontal="center" vertical="top" wrapText="1"/>
      <protection locked="0"/>
    </xf>
    <xf numFmtId="0" fontId="39" fillId="0" borderId="0" xfId="0" applyFont="1" applyAlignment="1">
      <alignment horizontal="left" vertical="top" wrapText="1"/>
    </xf>
    <xf numFmtId="0" fontId="31" fillId="0" borderId="0" xfId="0" applyFont="1" applyAlignment="1">
      <alignment horizontal="left" wrapText="1"/>
    </xf>
    <xf numFmtId="0" fontId="26" fillId="3" borderId="1" xfId="0" applyFont="1" applyFill="1" applyBorder="1" applyAlignment="1">
      <alignment horizontal="center"/>
    </xf>
    <xf numFmtId="0" fontId="27" fillId="3" borderId="4" xfId="0" applyFont="1" applyFill="1" applyBorder="1" applyAlignment="1">
      <alignment horizontal="center" wrapText="1"/>
    </xf>
    <xf numFmtId="0" fontId="0" fillId="0" borderId="1" xfId="0" applyBorder="1" applyAlignment="1">
      <alignment horizontal="left"/>
    </xf>
    <xf numFmtId="0" fontId="26" fillId="0" borderId="1" xfId="0" applyFont="1" applyBorder="1" applyAlignment="1">
      <alignment horizontal="left"/>
    </xf>
    <xf numFmtId="0" fontId="26" fillId="0" borderId="1" xfId="0" applyFont="1" applyBorder="1" applyAlignment="1">
      <alignment horizontal="left" vertical="center" wrapText="1"/>
    </xf>
    <xf numFmtId="0" fontId="0" fillId="3" borderId="1" xfId="0" applyFill="1" applyBorder="1" applyAlignment="1">
      <alignment horizontal="center"/>
    </xf>
    <xf numFmtId="0" fontId="3" fillId="3" borderId="1" xfId="0" applyFont="1" applyFill="1" applyBorder="1" applyAlignment="1">
      <alignment horizontal="center"/>
    </xf>
    <xf numFmtId="0" fontId="3" fillId="3" borderId="1" xfId="0" applyFont="1" applyFill="1" applyBorder="1" applyAlignment="1">
      <alignment horizontal="center" wrapText="1"/>
    </xf>
    <xf numFmtId="0" fontId="3" fillId="3" borderId="6" xfId="0" applyFont="1" applyFill="1" applyBorder="1" applyAlignment="1">
      <alignment horizontal="center"/>
    </xf>
    <xf numFmtId="0" fontId="3" fillId="3" borderId="5" xfId="0" applyFont="1" applyFill="1" applyBorder="1" applyAlignment="1">
      <alignment horizontal="center"/>
    </xf>
    <xf numFmtId="0" fontId="0" fillId="5" borderId="1" xfId="0" applyFill="1" applyBorder="1" applyAlignment="1" applyProtection="1">
      <alignment horizontal="left"/>
      <protection locked="0"/>
    </xf>
    <xf numFmtId="0" fontId="3" fillId="3" borderId="2" xfId="0" applyFont="1" applyFill="1" applyBorder="1" applyAlignment="1">
      <alignment horizontal="center" wrapText="1"/>
    </xf>
    <xf numFmtId="0" fontId="3" fillId="3" borderId="8" xfId="0" applyFont="1" applyFill="1" applyBorder="1" applyAlignment="1">
      <alignment horizontal="center" wrapText="1"/>
    </xf>
    <xf numFmtId="0" fontId="3" fillId="3" borderId="7" xfId="0" applyFont="1" applyFill="1" applyBorder="1" applyAlignment="1">
      <alignment horizontal="center"/>
    </xf>
    <xf numFmtId="0" fontId="3" fillId="3" borderId="13" xfId="0" applyFont="1" applyFill="1" applyBorder="1" applyAlignment="1">
      <alignment horizontal="center"/>
    </xf>
    <xf numFmtId="0" fontId="3" fillId="3" borderId="9" xfId="0" applyFont="1" applyFill="1" applyBorder="1" applyAlignment="1">
      <alignment horizontal="center"/>
    </xf>
    <xf numFmtId="0" fontId="3" fillId="3" borderId="14" xfId="0" applyFont="1" applyFill="1" applyBorder="1" applyAlignment="1">
      <alignment horizontal="center"/>
    </xf>
    <xf numFmtId="0" fontId="3" fillId="3" borderId="11" xfId="0" applyFont="1" applyFill="1" applyBorder="1" applyAlignment="1">
      <alignment horizontal="center"/>
    </xf>
    <xf numFmtId="0" fontId="3" fillId="3" borderId="3" xfId="0" applyFont="1" applyFill="1" applyBorder="1" applyAlignment="1">
      <alignment horizontal="center"/>
    </xf>
    <xf numFmtId="0" fontId="3" fillId="3" borderId="12" xfId="0" applyFont="1" applyFill="1" applyBorder="1" applyAlignment="1">
      <alignment horizontal="center"/>
    </xf>
    <xf numFmtId="0" fontId="3" fillId="0" borderId="1" xfId="0" applyFont="1" applyBorder="1" applyAlignment="1">
      <alignment horizontal="left"/>
    </xf>
    <xf numFmtId="172" fontId="26" fillId="5" borderId="13" xfId="0" applyNumberFormat="1" applyFont="1" applyFill="1" applyBorder="1" applyAlignment="1" applyProtection="1">
      <alignment horizontal="left" vertical="top"/>
      <protection locked="0"/>
    </xf>
    <xf numFmtId="172" fontId="26" fillId="5" borderId="14" xfId="0" applyNumberFormat="1" applyFont="1" applyFill="1" applyBorder="1" applyAlignment="1" applyProtection="1">
      <alignment horizontal="left" vertical="top"/>
      <protection locked="0"/>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0" fontId="3" fillId="3" borderId="2" xfId="0" applyFont="1" applyFill="1" applyBorder="1" applyAlignment="1">
      <alignment horizontal="center"/>
    </xf>
    <xf numFmtId="0" fontId="27" fillId="3" borderId="13" xfId="0" applyFont="1" applyFill="1" applyBorder="1" applyAlignment="1">
      <alignment horizontal="center"/>
    </xf>
    <xf numFmtId="0" fontId="27" fillId="3" borderId="14" xfId="0" applyFont="1" applyFill="1" applyBorder="1" applyAlignment="1">
      <alignment horizontal="center"/>
    </xf>
    <xf numFmtId="0" fontId="27" fillId="3" borderId="11" xfId="0" applyFont="1" applyFill="1" applyBorder="1" applyAlignment="1">
      <alignment horizontal="center"/>
    </xf>
    <xf numFmtId="0" fontId="27" fillId="3" borderId="12" xfId="0" applyFont="1" applyFill="1" applyBorder="1" applyAlignment="1">
      <alignment horizontal="center"/>
    </xf>
    <xf numFmtId="168" fontId="27" fillId="3" borderId="2" xfId="0" applyNumberFormat="1" applyFont="1" applyFill="1" applyBorder="1" applyAlignment="1">
      <alignment horizontal="center" wrapText="1"/>
    </xf>
    <xf numFmtId="168" fontId="27" fillId="3" borderId="8" xfId="0" applyNumberFormat="1" applyFont="1" applyFill="1" applyBorder="1" applyAlignment="1">
      <alignment horizontal="center" wrapText="1"/>
    </xf>
    <xf numFmtId="165" fontId="3" fillId="0" borderId="0" xfId="1" applyNumberFormat="1" applyFont="1" applyFill="1" applyBorder="1" applyAlignment="1">
      <alignment horizontal="center" wrapText="1"/>
    </xf>
    <xf numFmtId="164" fontId="3" fillId="3" borderId="6" xfId="0" applyNumberFormat="1" applyFont="1" applyFill="1" applyBorder="1" applyAlignment="1">
      <alignment horizontal="center"/>
    </xf>
    <xf numFmtId="164" fontId="3" fillId="3" borderId="7" xfId="0" applyNumberFormat="1" applyFont="1" applyFill="1" applyBorder="1" applyAlignment="1">
      <alignment horizontal="center"/>
    </xf>
    <xf numFmtId="164" fontId="3" fillId="3" borderId="5" xfId="0" applyNumberFormat="1" applyFont="1" applyFill="1" applyBorder="1" applyAlignment="1">
      <alignment horizontal="center"/>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0" fillId="5" borderId="0" xfId="0" applyFill="1" applyAlignment="1" applyProtection="1">
      <alignment horizontal="center" vertical="top" wrapText="1"/>
      <protection locked="0"/>
    </xf>
    <xf numFmtId="0" fontId="0" fillId="5" borderId="0" xfId="0" applyFill="1" applyAlignment="1">
      <alignment horizontal="left" vertical="top" wrapText="1"/>
    </xf>
    <xf numFmtId="0" fontId="0" fillId="5" borderId="1" xfId="0" applyFill="1" applyBorder="1" applyAlignment="1">
      <alignment horizontal="left"/>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3" borderId="6" xfId="0" applyFill="1" applyBorder="1" applyAlignment="1">
      <alignment horizontal="center"/>
    </xf>
    <xf numFmtId="0" fontId="0" fillId="3" borderId="7" xfId="0" applyFill="1" applyBorder="1" applyAlignment="1">
      <alignment horizontal="center"/>
    </xf>
    <xf numFmtId="0" fontId="0" fillId="3" borderId="5" xfId="0" applyFill="1" applyBorder="1" applyAlignment="1">
      <alignment horizontal="center"/>
    </xf>
    <xf numFmtId="0" fontId="86" fillId="8" borderId="6" xfId="0" applyFont="1" applyFill="1" applyBorder="1" applyAlignment="1" applyProtection="1">
      <alignment horizontal="left"/>
      <protection locked="0"/>
    </xf>
    <xf numFmtId="0" fontId="86" fillId="8" borderId="7" xfId="0" applyFont="1" applyFill="1" applyBorder="1" applyAlignment="1" applyProtection="1">
      <alignment horizontal="left"/>
      <protection locked="0"/>
    </xf>
    <xf numFmtId="0" fontId="86" fillId="8" borderId="5" xfId="0" applyFont="1" applyFill="1" applyBorder="1" applyAlignment="1" applyProtection="1">
      <alignment horizontal="left"/>
      <protection locked="0"/>
    </xf>
    <xf numFmtId="0" fontId="0" fillId="5" borderId="13" xfId="0" applyFill="1" applyBorder="1" applyAlignment="1" applyProtection="1">
      <alignment horizontal="left" vertical="top"/>
      <protection locked="0"/>
    </xf>
    <xf numFmtId="0" fontId="0" fillId="5" borderId="14" xfId="0" applyFill="1" applyBorder="1" applyAlignment="1" applyProtection="1">
      <alignment horizontal="left" vertical="top"/>
      <protection locked="0"/>
    </xf>
    <xf numFmtId="0" fontId="0" fillId="5" borderId="13" xfId="0" applyFill="1" applyBorder="1" applyAlignment="1">
      <alignment horizontal="left" vertical="top"/>
    </xf>
    <xf numFmtId="0" fontId="0" fillId="5" borderId="14" xfId="0" applyFill="1" applyBorder="1" applyAlignment="1">
      <alignment horizontal="left" vertical="top"/>
    </xf>
    <xf numFmtId="0" fontId="27" fillId="2" borderId="6" xfId="0" applyFont="1" applyFill="1" applyBorder="1" applyAlignment="1">
      <alignment vertical="center"/>
    </xf>
    <xf numFmtId="0" fontId="27" fillId="2" borderId="7" xfId="0" applyFont="1" applyFill="1" applyBorder="1" applyAlignment="1">
      <alignment vertical="center"/>
    </xf>
    <xf numFmtId="0" fontId="27" fillId="2" borderId="5" xfId="0" applyFont="1" applyFill="1" applyBorder="1" applyAlignment="1">
      <alignment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5" xfId="0" applyFont="1" applyBorder="1" applyAlignment="1">
      <alignment vertical="center"/>
    </xf>
    <xf numFmtId="0" fontId="27" fillId="0" borderId="7" xfId="0" applyFont="1" applyBorder="1" applyAlignment="1">
      <alignment horizontal="left" vertical="center" wrapText="1"/>
    </xf>
    <xf numFmtId="0" fontId="49" fillId="3" borderId="2" xfId="0" applyFont="1" applyFill="1" applyBorder="1" applyAlignment="1">
      <alignment horizontal="center" wrapText="1"/>
    </xf>
    <xf numFmtId="0" fontId="49" fillId="3" borderId="8" xfId="0" applyFont="1" applyFill="1" applyBorder="1" applyAlignment="1">
      <alignment horizontal="center" wrapText="1"/>
    </xf>
    <xf numFmtId="0" fontId="9" fillId="3" borderId="2" xfId="0" applyFont="1" applyFill="1" applyBorder="1" applyAlignment="1">
      <alignment horizontal="center" wrapText="1"/>
    </xf>
    <xf numFmtId="0" fontId="9" fillId="3" borderId="8" xfId="0" applyFont="1" applyFill="1" applyBorder="1" applyAlignment="1">
      <alignment horizontal="center" wrapText="1"/>
    </xf>
    <xf numFmtId="0" fontId="49" fillId="3" borderId="1" xfId="0" applyFont="1" applyFill="1" applyBorder="1" applyAlignment="1">
      <alignment horizontal="center" wrapText="1"/>
    </xf>
    <xf numFmtId="0" fontId="9" fillId="3" borderId="1" xfId="0" applyFont="1" applyFill="1" applyBorder="1" applyAlignment="1">
      <alignment horizontal="center" wrapText="1"/>
    </xf>
    <xf numFmtId="165" fontId="9" fillId="0" borderId="0" xfId="1" applyNumberFormat="1" applyFont="1" applyFill="1" applyBorder="1" applyAlignment="1">
      <alignment horizontal="center" wrapText="1"/>
    </xf>
    <xf numFmtId="0" fontId="27" fillId="3" borderId="6" xfId="0" applyFont="1" applyFill="1" applyBorder="1" applyAlignment="1">
      <alignment vertical="center"/>
    </xf>
    <xf numFmtId="0" fontId="27" fillId="3" borderId="7" xfId="0" applyFont="1" applyFill="1" applyBorder="1" applyAlignment="1">
      <alignment vertical="center"/>
    </xf>
    <xf numFmtId="0" fontId="27" fillId="3" borderId="5" xfId="0" applyFont="1" applyFill="1" applyBorder="1" applyAlignment="1">
      <alignment vertical="center"/>
    </xf>
    <xf numFmtId="0" fontId="26" fillId="0" borderId="11" xfId="0" applyFont="1" applyBorder="1" applyAlignment="1">
      <alignment horizontal="left" vertical="center"/>
    </xf>
    <xf numFmtId="0" fontId="26" fillId="0" borderId="3" xfId="0" applyFont="1" applyBorder="1" applyAlignment="1">
      <alignment horizontal="left" vertical="center"/>
    </xf>
    <xf numFmtId="0" fontId="26" fillId="0" borderId="12" xfId="0" applyFont="1" applyBorder="1" applyAlignment="1">
      <alignment horizontal="left" vertical="center"/>
    </xf>
  </cellXfs>
  <cellStyles count="45">
    <cellStyle name="Comma" xfId="1" builtinId="3"/>
    <cellStyle name="Comma 2" xfId="10" xr:uid="{00000000-0005-0000-0000-000001000000}"/>
    <cellStyle name="Comma 2 2" xfId="23" xr:uid="{00000000-0005-0000-0000-000002000000}"/>
    <cellStyle name="Comma 2 2 2" xfId="36" xr:uid="{00000000-0005-0000-0000-000003000000}"/>
    <cellStyle name="Comma 2 2 3" xfId="32" xr:uid="{00000000-0005-0000-0000-000004000000}"/>
    <cellStyle name="Comma 2 3" xfId="21" xr:uid="{00000000-0005-0000-0000-000005000000}"/>
    <cellStyle name="Comma 2 4" xfId="42" xr:uid="{00000000-0005-0000-0000-000006000000}"/>
    <cellStyle name="Comma 3" xfId="18" xr:uid="{00000000-0005-0000-0000-000007000000}"/>
    <cellStyle name="Comma 3 2" xfId="24" xr:uid="{00000000-0005-0000-0000-000008000000}"/>
    <cellStyle name="Comma 3 3" xfId="35" xr:uid="{00000000-0005-0000-0000-000009000000}"/>
    <cellStyle name="Comma 3 4" xfId="33" xr:uid="{00000000-0005-0000-0000-00000A000000}"/>
    <cellStyle name="Comma 3 5" xfId="44" xr:uid="{00000000-0005-0000-0000-00000B000000}"/>
    <cellStyle name="Comma 4" xfId="22" xr:uid="{00000000-0005-0000-0000-00000C000000}"/>
    <cellStyle name="Comma 5" xfId="27" xr:uid="{00000000-0005-0000-0000-00000D000000}"/>
    <cellStyle name="Comma 6" xfId="29" xr:uid="{00000000-0005-0000-0000-00000E000000}"/>
    <cellStyle name="Comma 7" xfId="28" xr:uid="{00000000-0005-0000-0000-00000F000000}"/>
    <cellStyle name="Comma 8" xfId="38" xr:uid="{00000000-0005-0000-0000-000010000000}"/>
    <cellStyle name="Currency" xfId="2" builtinId="4"/>
    <cellStyle name="Currency 2" xfId="11" xr:uid="{00000000-0005-0000-0000-000012000000}"/>
    <cellStyle name="Currency 3" xfId="14" xr:uid="{00000000-0005-0000-0000-000013000000}"/>
    <cellStyle name="Currency 4" xfId="31" xr:uid="{00000000-0005-0000-0000-000014000000}"/>
    <cellStyle name="Currency 5" xfId="39" xr:uid="{00000000-0005-0000-0000-000015000000}"/>
    <cellStyle name="Normal" xfId="0" builtinId="0"/>
    <cellStyle name="Normal 2" xfId="5" xr:uid="{00000000-0005-0000-0000-000017000000}"/>
    <cellStyle name="Normal 2 2" xfId="13" xr:uid="{00000000-0005-0000-0000-000018000000}"/>
    <cellStyle name="Normal 3" xfId="4" xr:uid="{00000000-0005-0000-0000-000019000000}"/>
    <cellStyle name="Normal 3 2" xfId="9" xr:uid="{00000000-0005-0000-0000-00001A000000}"/>
    <cellStyle name="Normal 3 2 2" xfId="34" xr:uid="{00000000-0005-0000-0000-00001B000000}"/>
    <cellStyle name="Normal 3 3" xfId="16" xr:uid="{00000000-0005-0000-0000-00001C000000}"/>
    <cellStyle name="Normal 3 4" xfId="7" xr:uid="{00000000-0005-0000-0000-00001D000000}"/>
    <cellStyle name="Normal 3 5" xfId="41" xr:uid="{00000000-0005-0000-0000-00001E000000}"/>
    <cellStyle name="Normal 4" xfId="26" xr:uid="{00000000-0005-0000-0000-00001F000000}"/>
    <cellStyle name="Normal 5" xfId="30" xr:uid="{00000000-0005-0000-0000-000020000000}"/>
    <cellStyle name="Normal 6" xfId="37" xr:uid="{00000000-0005-0000-0000-000021000000}"/>
    <cellStyle name="Percent" xfId="3" builtinId="5"/>
    <cellStyle name="Percent 2" xfId="6" xr:uid="{00000000-0005-0000-0000-000023000000}"/>
    <cellStyle name="Percent 2 2" xfId="17" xr:uid="{00000000-0005-0000-0000-000024000000}"/>
    <cellStyle name="Percent 3" xfId="12" xr:uid="{00000000-0005-0000-0000-000025000000}"/>
    <cellStyle name="Percent 3 2" xfId="25" xr:uid="{00000000-0005-0000-0000-000026000000}"/>
    <cellStyle name="Percent 3 3" xfId="15" xr:uid="{00000000-0005-0000-0000-000027000000}"/>
    <cellStyle name="Percent 3 4" xfId="43" xr:uid="{00000000-0005-0000-0000-000028000000}"/>
    <cellStyle name="Percent 4" xfId="19" xr:uid="{00000000-0005-0000-0000-000029000000}"/>
    <cellStyle name="Percent 5" xfId="20" xr:uid="{00000000-0005-0000-0000-00002A000000}"/>
    <cellStyle name="Percent 6" xfId="40" xr:uid="{00000000-0005-0000-0000-00002B000000}"/>
    <cellStyle name="STYLE1" xfId="8" xr:uid="{00000000-0005-0000-0000-00002C000000}"/>
  </cellStyles>
  <dxfs count="0"/>
  <tableStyles count="0" defaultTableStyle="TableStyleMedium2" defaultPivotStyle="PivotStyleLight16"/>
  <colors>
    <mruColors>
      <color rgb="FFF8971D"/>
      <color rgb="FFFF0000"/>
      <color rgb="FF9CC5CA"/>
      <color rgb="FF0000FF"/>
      <color rgb="FF7AC142"/>
      <color rgb="FF0033CC"/>
      <color rgb="FF6666FF"/>
      <color rgb="FF389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7</xdr:col>
      <xdr:colOff>85725</xdr:colOff>
      <xdr:row>1</xdr:row>
      <xdr:rowOff>38100</xdr:rowOff>
    </xdr:from>
    <xdr:to>
      <xdr:col>7</xdr:col>
      <xdr:colOff>1123950</xdr:colOff>
      <xdr:row>1</xdr:row>
      <xdr:rowOff>238125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twoCellAnchor>
    <xdr:from>
      <xdr:col>7</xdr:col>
      <xdr:colOff>85725</xdr:colOff>
      <xdr:row>1</xdr:row>
      <xdr:rowOff>38100</xdr:rowOff>
    </xdr:from>
    <xdr:to>
      <xdr:col>7</xdr:col>
      <xdr:colOff>1123950</xdr:colOff>
      <xdr:row>1</xdr:row>
      <xdr:rowOff>238125</xdr:rowOff>
    </xdr:to>
    <xdr:sp macro="[0]!ProtectAllSheets" textlink="">
      <xdr:nvSpPr>
        <xdr:cNvPr id="3" name="TextBox 2">
          <a:extLst>
            <a:ext uri="{FF2B5EF4-FFF2-40B4-BE49-F238E27FC236}">
              <a16:creationId xmlns:a16="http://schemas.microsoft.com/office/drawing/2014/main" id="{00000000-0008-0000-0100-000003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oneCellAnchor>
    <xdr:from>
      <xdr:col>7</xdr:col>
      <xdr:colOff>200025</xdr:colOff>
      <xdr:row>3</xdr:row>
      <xdr:rowOff>38100</xdr:rowOff>
    </xdr:from>
    <xdr:ext cx="866775" cy="219075"/>
    <xdr:sp macro="[0]!Unhide" textlink="">
      <xdr:nvSpPr>
        <xdr:cNvPr id="4" name="TextBox 3">
          <a:extLst>
            <a:ext uri="{FF2B5EF4-FFF2-40B4-BE49-F238E27FC236}">
              <a16:creationId xmlns:a16="http://schemas.microsoft.com/office/drawing/2014/main" id="{00000000-0008-0000-0100-000004000000}"/>
            </a:ext>
          </a:extLst>
        </xdr:cNvPr>
        <xdr:cNvSpPr txBox="1"/>
      </xdr:nvSpPr>
      <xdr:spPr>
        <a:xfrm>
          <a:off x="9972675" y="904875"/>
          <a:ext cx="866775" cy="21907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b="1"/>
            <a:t>Show All Tabs</a:t>
          </a:r>
        </a:p>
      </xdr:txBody>
    </xdr:sp>
    <xdr:clientData/>
  </xdr:oneCellAnchor>
  <xdr:oneCellAnchor>
    <xdr:from>
      <xdr:col>7</xdr:col>
      <xdr:colOff>47625</xdr:colOff>
      <xdr:row>5</xdr:row>
      <xdr:rowOff>28574</xdr:rowOff>
    </xdr:from>
    <xdr:ext cx="2800350" cy="371476"/>
    <xdr:sp macro="[0]!Hide" textlink="">
      <xdr:nvSpPr>
        <xdr:cNvPr id="5" name="TextBox 4">
          <a:extLst>
            <a:ext uri="{FF2B5EF4-FFF2-40B4-BE49-F238E27FC236}">
              <a16:creationId xmlns:a16="http://schemas.microsoft.com/office/drawing/2014/main" id="{00000000-0008-0000-0100-000005000000}"/>
            </a:ext>
          </a:extLst>
        </xdr:cNvPr>
        <xdr:cNvSpPr txBox="1"/>
      </xdr:nvSpPr>
      <xdr:spPr>
        <a:xfrm>
          <a:off x="9820275" y="1352549"/>
          <a:ext cx="2800350" cy="371476"/>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900" b="1"/>
            <a:t>Hide Schedules 2E/F/G/H/I/J/K/L/M</a:t>
          </a:r>
        </a:p>
        <a:p>
          <a:pPr algn="ctr"/>
          <a:r>
            <a:rPr lang="en-US" sz="900" b="1"/>
            <a:t>(Use</a:t>
          </a:r>
          <a:r>
            <a:rPr lang="en-US" sz="900" b="1" baseline="0"/>
            <a:t> if not a New Comprehensive Safety Net Provider)</a:t>
          </a:r>
          <a:endParaRPr lang="en-US" sz="9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5"/>
  <dimension ref="A1:N83"/>
  <sheetViews>
    <sheetView workbookViewId="0"/>
  </sheetViews>
  <sheetFormatPr defaultColWidth="9.1796875" defaultRowHeight="14.5" x14ac:dyDescent="0.35"/>
  <cols>
    <col min="1" max="1" width="3.7265625" style="78" customWidth="1"/>
    <col min="2" max="3" width="3.7265625" customWidth="1"/>
  </cols>
  <sheetData>
    <row r="1" spans="1:14" ht="18.5" x14ac:dyDescent="0.45">
      <c r="A1" s="394" t="s">
        <v>722</v>
      </c>
    </row>
    <row r="3" spans="1:14" x14ac:dyDescent="0.35">
      <c r="A3" s="78">
        <v>0</v>
      </c>
      <c r="B3" t="s">
        <v>723</v>
      </c>
    </row>
    <row r="5" spans="1:14" x14ac:dyDescent="0.35">
      <c r="B5" s="78" t="s">
        <v>447</v>
      </c>
      <c r="C5" t="s">
        <v>724</v>
      </c>
    </row>
    <row r="6" spans="1:14" x14ac:dyDescent="0.35">
      <c r="B6" s="78" t="s">
        <v>448</v>
      </c>
      <c r="C6" t="s">
        <v>725</v>
      </c>
    </row>
    <row r="8" spans="1:14" x14ac:dyDescent="0.35">
      <c r="A8" s="78">
        <v>1</v>
      </c>
      <c r="B8" s="474" t="s">
        <v>726</v>
      </c>
      <c r="C8" s="474"/>
      <c r="D8" s="474"/>
      <c r="E8" s="474"/>
      <c r="F8" s="474"/>
      <c r="G8" s="474"/>
      <c r="H8" s="474"/>
      <c r="I8" s="474"/>
      <c r="J8" s="474"/>
      <c r="K8" s="474"/>
      <c r="L8" s="474"/>
      <c r="M8" s="474"/>
      <c r="N8" s="474"/>
    </row>
    <row r="9" spans="1:14" x14ac:dyDescent="0.35">
      <c r="B9" s="474"/>
      <c r="C9" s="474"/>
      <c r="D9" s="474"/>
      <c r="E9" s="474"/>
      <c r="F9" s="474"/>
      <c r="G9" s="474"/>
      <c r="H9" s="474"/>
      <c r="I9" s="474"/>
      <c r="J9" s="474"/>
      <c r="K9" s="474"/>
      <c r="L9" s="474"/>
      <c r="M9" s="474"/>
      <c r="N9" s="474"/>
    </row>
    <row r="10" spans="1:14" x14ac:dyDescent="0.35">
      <c r="B10" s="393"/>
      <c r="C10" s="393"/>
      <c r="D10" s="393"/>
      <c r="E10" s="393"/>
      <c r="F10" s="393"/>
      <c r="G10" s="393"/>
      <c r="H10" s="393"/>
      <c r="I10" s="393"/>
      <c r="J10" s="393"/>
      <c r="K10" s="393"/>
      <c r="L10" s="393"/>
      <c r="M10" s="393"/>
      <c r="N10" s="393"/>
    </row>
    <row r="11" spans="1:14" x14ac:dyDescent="0.35">
      <c r="A11" s="78">
        <v>2</v>
      </c>
      <c r="B11" t="s">
        <v>727</v>
      </c>
    </row>
    <row r="13" spans="1:14" x14ac:dyDescent="0.35">
      <c r="B13" s="78" t="s">
        <v>447</v>
      </c>
      <c r="C13" t="s">
        <v>728</v>
      </c>
    </row>
    <row r="14" spans="1:14" x14ac:dyDescent="0.35">
      <c r="B14" s="78" t="s">
        <v>448</v>
      </c>
      <c r="C14" t="s">
        <v>729</v>
      </c>
    </row>
    <row r="15" spans="1:14" x14ac:dyDescent="0.35">
      <c r="B15" s="78" t="s">
        <v>449</v>
      </c>
      <c r="C15" t="s">
        <v>730</v>
      </c>
    </row>
    <row r="16" spans="1:14" x14ac:dyDescent="0.35">
      <c r="B16" s="78" t="s">
        <v>731</v>
      </c>
      <c r="C16" s="474" t="s">
        <v>732</v>
      </c>
      <c r="D16" s="474"/>
      <c r="E16" s="474"/>
      <c r="F16" s="474"/>
      <c r="G16" s="474"/>
      <c r="H16" s="474"/>
      <c r="I16" s="474"/>
      <c r="J16" s="474"/>
      <c r="K16" s="474"/>
      <c r="L16" s="474"/>
      <c r="M16" s="474"/>
      <c r="N16" s="474"/>
    </row>
    <row r="17" spans="1:14" x14ac:dyDescent="0.35">
      <c r="B17" s="78"/>
      <c r="C17" s="474"/>
      <c r="D17" s="474"/>
      <c r="E17" s="474"/>
      <c r="F17" s="474"/>
      <c r="G17" s="474"/>
      <c r="H17" s="474"/>
      <c r="I17" s="474"/>
      <c r="J17" s="474"/>
      <c r="K17" s="474"/>
      <c r="L17" s="474"/>
      <c r="M17" s="474"/>
      <c r="N17" s="474"/>
    </row>
    <row r="18" spans="1:14" x14ac:dyDescent="0.35">
      <c r="B18" s="78"/>
      <c r="C18" s="393"/>
      <c r="D18" s="393"/>
      <c r="E18" s="393"/>
      <c r="F18" s="393"/>
      <c r="G18" s="393"/>
      <c r="H18" s="393"/>
      <c r="I18" s="393"/>
      <c r="J18" s="393"/>
      <c r="K18" s="393"/>
      <c r="L18" s="393"/>
      <c r="M18" s="393"/>
      <c r="N18" s="393"/>
    </row>
    <row r="19" spans="1:14" x14ac:dyDescent="0.35">
      <c r="A19" s="78">
        <v>3</v>
      </c>
      <c r="B19" t="s">
        <v>733</v>
      </c>
    </row>
    <row r="20" spans="1:14" x14ac:dyDescent="0.35">
      <c r="B20" s="78"/>
    </row>
    <row r="21" spans="1:14" ht="15" customHeight="1" x14ac:dyDescent="0.35">
      <c r="B21" s="78" t="s">
        <v>447</v>
      </c>
      <c r="C21" s="474" t="s">
        <v>932</v>
      </c>
      <c r="D21" s="474"/>
      <c r="E21" s="474"/>
      <c r="F21" s="474"/>
      <c r="G21" s="474"/>
      <c r="H21" s="474"/>
      <c r="I21" s="474"/>
      <c r="J21" s="474"/>
      <c r="K21" s="474"/>
      <c r="L21" s="474"/>
      <c r="M21" s="474"/>
      <c r="N21" s="474"/>
    </row>
    <row r="22" spans="1:14" ht="15" customHeight="1" x14ac:dyDescent="0.35">
      <c r="B22" s="78"/>
      <c r="C22" s="474"/>
      <c r="D22" s="474"/>
      <c r="E22" s="474"/>
      <c r="F22" s="474"/>
      <c r="G22" s="474"/>
      <c r="H22" s="474"/>
      <c r="I22" s="474"/>
      <c r="J22" s="474"/>
      <c r="K22" s="474"/>
      <c r="L22" s="474"/>
      <c r="M22" s="474"/>
      <c r="N22" s="474"/>
    </row>
    <row r="23" spans="1:14" x14ac:dyDescent="0.35">
      <c r="C23" s="474"/>
      <c r="D23" s="474"/>
      <c r="E23" s="474"/>
      <c r="F23" s="474"/>
      <c r="G23" s="474"/>
      <c r="H23" s="474"/>
      <c r="I23" s="474"/>
      <c r="J23" s="474"/>
      <c r="K23" s="474"/>
      <c r="L23" s="474"/>
      <c r="M23" s="474"/>
      <c r="N23" s="474"/>
    </row>
    <row r="24" spans="1:14" ht="15" customHeight="1" x14ac:dyDescent="0.35">
      <c r="B24" s="78" t="s">
        <v>448</v>
      </c>
      <c r="C24" s="474" t="s">
        <v>904</v>
      </c>
      <c r="D24" s="474"/>
      <c r="E24" s="474"/>
      <c r="F24" s="474"/>
      <c r="G24" s="474"/>
      <c r="H24" s="474"/>
      <c r="I24" s="474"/>
      <c r="J24" s="474"/>
      <c r="K24" s="474"/>
      <c r="L24" s="474"/>
      <c r="M24" s="474"/>
      <c r="N24" s="474"/>
    </row>
    <row r="25" spans="1:14" x14ac:dyDescent="0.35">
      <c r="C25" s="474"/>
      <c r="D25" s="474"/>
      <c r="E25" s="474"/>
      <c r="F25" s="474"/>
      <c r="G25" s="474"/>
      <c r="H25" s="474"/>
      <c r="I25" s="474"/>
      <c r="J25" s="474"/>
      <c r="K25" s="474"/>
      <c r="L25" s="474"/>
      <c r="M25" s="474"/>
      <c r="N25" s="474"/>
    </row>
    <row r="26" spans="1:14" x14ac:dyDescent="0.35">
      <c r="D26" s="393"/>
      <c r="E26" s="393"/>
      <c r="F26" s="393"/>
      <c r="G26" s="393"/>
      <c r="H26" s="393"/>
      <c r="I26" s="393"/>
      <c r="J26" s="393"/>
      <c r="K26" s="393"/>
      <c r="L26" s="393"/>
      <c r="M26" s="393"/>
      <c r="N26" s="393"/>
    </row>
    <row r="27" spans="1:14" x14ac:dyDescent="0.35">
      <c r="A27" s="78">
        <v>4</v>
      </c>
      <c r="B27" t="s">
        <v>734</v>
      </c>
    </row>
    <row r="28" spans="1:14" x14ac:dyDescent="0.35">
      <c r="B28" s="78"/>
    </row>
    <row r="29" spans="1:14" x14ac:dyDescent="0.35">
      <c r="B29" s="78" t="s">
        <v>447</v>
      </c>
      <c r="C29" t="s">
        <v>735</v>
      </c>
    </row>
    <row r="30" spans="1:14" ht="15" customHeight="1" x14ac:dyDescent="0.35">
      <c r="B30" s="78" t="s">
        <v>448</v>
      </c>
      <c r="C30" s="474" t="s">
        <v>736</v>
      </c>
      <c r="D30" s="474"/>
      <c r="E30" s="474"/>
      <c r="F30" s="474"/>
      <c r="G30" s="474"/>
      <c r="H30" s="474"/>
      <c r="I30" s="474"/>
      <c r="J30" s="474"/>
      <c r="K30" s="474"/>
      <c r="L30" s="474"/>
      <c r="M30" s="474"/>
      <c r="N30" s="474"/>
    </row>
    <row r="31" spans="1:14" x14ac:dyDescent="0.35">
      <c r="C31" s="474"/>
      <c r="D31" s="474"/>
      <c r="E31" s="474"/>
      <c r="F31" s="474"/>
      <c r="G31" s="474"/>
      <c r="H31" s="474"/>
      <c r="I31" s="474"/>
      <c r="J31" s="474"/>
      <c r="K31" s="474"/>
      <c r="L31" s="474"/>
      <c r="M31" s="474"/>
      <c r="N31" s="474"/>
    </row>
    <row r="32" spans="1:14" x14ac:dyDescent="0.35">
      <c r="C32" s="474"/>
      <c r="D32" s="474"/>
      <c r="E32" s="474"/>
      <c r="F32" s="474"/>
      <c r="G32" s="474"/>
      <c r="H32" s="474"/>
      <c r="I32" s="474"/>
      <c r="J32" s="474"/>
      <c r="K32" s="474"/>
      <c r="L32" s="474"/>
      <c r="M32" s="474"/>
      <c r="N32" s="474"/>
    </row>
    <row r="33" spans="1:14" x14ac:dyDescent="0.35">
      <c r="D33" s="241"/>
      <c r="E33" s="241"/>
      <c r="F33" s="241"/>
      <c r="G33" s="241"/>
      <c r="H33" s="241"/>
      <c r="I33" s="241"/>
      <c r="J33" s="241"/>
      <c r="K33" s="241"/>
      <c r="L33" s="241"/>
      <c r="M33" s="241"/>
      <c r="N33" s="241"/>
    </row>
    <row r="34" spans="1:14" x14ac:dyDescent="0.35">
      <c r="A34" s="78">
        <v>5</v>
      </c>
      <c r="B34" t="s">
        <v>737</v>
      </c>
    </row>
    <row r="35" spans="1:14" x14ac:dyDescent="0.35">
      <c r="B35" s="78"/>
    </row>
    <row r="36" spans="1:14" x14ac:dyDescent="0.35">
      <c r="B36" s="78" t="s">
        <v>447</v>
      </c>
      <c r="C36" s="474" t="s">
        <v>738</v>
      </c>
      <c r="D36" s="474"/>
      <c r="E36" s="474"/>
      <c r="F36" s="474"/>
      <c r="G36" s="474"/>
      <c r="H36" s="474"/>
      <c r="I36" s="474"/>
      <c r="J36" s="474"/>
      <c r="K36" s="474"/>
      <c r="L36" s="474"/>
      <c r="M36" s="474"/>
      <c r="N36" s="474"/>
    </row>
    <row r="37" spans="1:14" x14ac:dyDescent="0.35">
      <c r="B37" s="78"/>
      <c r="C37" s="474"/>
      <c r="D37" s="474"/>
      <c r="E37" s="474"/>
      <c r="F37" s="474"/>
      <c r="G37" s="474"/>
      <c r="H37" s="474"/>
      <c r="I37" s="474"/>
      <c r="J37" s="474"/>
      <c r="K37" s="474"/>
      <c r="L37" s="474"/>
      <c r="M37" s="474"/>
      <c r="N37" s="474"/>
    </row>
    <row r="38" spans="1:14" x14ac:dyDescent="0.35">
      <c r="B38" s="78"/>
      <c r="C38" s="474"/>
      <c r="D38" s="474"/>
      <c r="E38" s="474"/>
      <c r="F38" s="474"/>
      <c r="G38" s="474"/>
      <c r="H38" s="474"/>
      <c r="I38" s="474"/>
      <c r="J38" s="474"/>
      <c r="K38" s="474"/>
      <c r="L38" s="474"/>
      <c r="M38" s="474"/>
      <c r="N38" s="474"/>
    </row>
    <row r="39" spans="1:14" x14ac:dyDescent="0.35">
      <c r="D39" s="241"/>
      <c r="E39" s="241"/>
      <c r="F39" s="241"/>
      <c r="G39" s="241"/>
      <c r="H39" s="241"/>
      <c r="I39" s="241"/>
      <c r="J39" s="241"/>
      <c r="K39" s="241"/>
      <c r="L39" s="241"/>
      <c r="M39" s="241"/>
      <c r="N39" s="241"/>
    </row>
    <row r="40" spans="1:14" x14ac:dyDescent="0.35">
      <c r="A40" s="78">
        <v>6</v>
      </c>
      <c r="B40" t="s">
        <v>739</v>
      </c>
    </row>
    <row r="41" spans="1:14" x14ac:dyDescent="0.35">
      <c r="B41" s="78"/>
    </row>
    <row r="42" spans="1:14" x14ac:dyDescent="0.35">
      <c r="B42" s="78" t="s">
        <v>447</v>
      </c>
      <c r="C42" t="s">
        <v>740</v>
      </c>
    </row>
    <row r="43" spans="1:14" x14ac:dyDescent="0.35">
      <c r="C43" s="78"/>
      <c r="D43" s="241"/>
      <c r="E43" s="241"/>
      <c r="F43" s="241"/>
      <c r="G43" s="241"/>
      <c r="H43" s="241"/>
      <c r="I43" s="241"/>
      <c r="J43" s="241"/>
      <c r="K43" s="241"/>
      <c r="L43" s="241"/>
      <c r="M43" s="241"/>
      <c r="N43" s="241"/>
    </row>
    <row r="44" spans="1:14" x14ac:dyDescent="0.35">
      <c r="A44" s="78">
        <v>7</v>
      </c>
      <c r="B44" t="s">
        <v>741</v>
      </c>
      <c r="C44" s="78"/>
      <c r="D44" s="241"/>
      <c r="E44" s="241"/>
      <c r="F44" s="241"/>
      <c r="G44" s="241"/>
      <c r="H44" s="241"/>
      <c r="I44" s="241"/>
      <c r="J44" s="241"/>
      <c r="K44" s="241"/>
      <c r="L44" s="241"/>
      <c r="M44" s="241"/>
      <c r="N44" s="241"/>
    </row>
    <row r="45" spans="1:14" x14ac:dyDescent="0.35">
      <c r="C45" s="78"/>
      <c r="D45" s="241"/>
      <c r="E45" s="241"/>
      <c r="F45" s="241"/>
      <c r="G45" s="241"/>
      <c r="H45" s="241"/>
      <c r="I45" s="241"/>
      <c r="J45" s="241"/>
      <c r="K45" s="241"/>
      <c r="L45" s="241"/>
      <c r="M45" s="241"/>
      <c r="N45" s="241"/>
    </row>
    <row r="46" spans="1:14" x14ac:dyDescent="0.35">
      <c r="B46" s="78" t="s">
        <v>447</v>
      </c>
      <c r="C46" s="474" t="s">
        <v>914</v>
      </c>
      <c r="D46" s="474"/>
      <c r="E46" s="474"/>
      <c r="F46" s="474"/>
      <c r="G46" s="474"/>
      <c r="H46" s="474"/>
      <c r="I46" s="474"/>
      <c r="J46" s="474"/>
      <c r="K46" s="474"/>
      <c r="L46" s="474"/>
      <c r="M46" s="474"/>
      <c r="N46" s="474"/>
    </row>
    <row r="47" spans="1:14" x14ac:dyDescent="0.35">
      <c r="C47" s="474"/>
      <c r="D47" s="474"/>
      <c r="E47" s="474"/>
      <c r="F47" s="474"/>
      <c r="G47" s="474"/>
      <c r="H47" s="474"/>
      <c r="I47" s="474"/>
      <c r="J47" s="474"/>
      <c r="K47" s="474"/>
      <c r="L47" s="474"/>
      <c r="M47" s="474"/>
      <c r="N47" s="474"/>
    </row>
    <row r="48" spans="1:14" x14ac:dyDescent="0.35">
      <c r="C48" s="474"/>
      <c r="D48" s="474"/>
      <c r="E48" s="474"/>
      <c r="F48" s="474"/>
      <c r="G48" s="474"/>
      <c r="H48" s="474"/>
      <c r="I48" s="474"/>
      <c r="J48" s="474"/>
      <c r="K48" s="474"/>
      <c r="L48" s="474"/>
      <c r="M48" s="474"/>
      <c r="N48" s="474"/>
    </row>
    <row r="49" spans="1:14" x14ac:dyDescent="0.35">
      <c r="B49" s="78" t="s">
        <v>448</v>
      </c>
      <c r="C49" s="474" t="s">
        <v>915</v>
      </c>
      <c r="D49" s="474"/>
      <c r="E49" s="474"/>
      <c r="F49" s="474"/>
      <c r="G49" s="474"/>
      <c r="H49" s="474"/>
      <c r="I49" s="474"/>
      <c r="J49" s="474"/>
      <c r="K49" s="474"/>
      <c r="L49" s="474"/>
      <c r="M49" s="474"/>
      <c r="N49" s="474"/>
    </row>
    <row r="50" spans="1:14" x14ac:dyDescent="0.35">
      <c r="B50" s="78"/>
      <c r="C50" s="474"/>
      <c r="D50" s="474"/>
      <c r="E50" s="474"/>
      <c r="F50" s="474"/>
      <c r="G50" s="474"/>
      <c r="H50" s="474"/>
      <c r="I50" s="474"/>
      <c r="J50" s="474"/>
      <c r="K50" s="474"/>
      <c r="L50" s="474"/>
      <c r="M50" s="474"/>
      <c r="N50" s="474"/>
    </row>
    <row r="51" spans="1:14" x14ac:dyDescent="0.35">
      <c r="C51" s="474"/>
      <c r="D51" s="474"/>
      <c r="E51" s="474"/>
      <c r="F51" s="474"/>
      <c r="G51" s="474"/>
      <c r="H51" s="474"/>
      <c r="I51" s="474"/>
      <c r="J51" s="474"/>
      <c r="K51" s="474"/>
      <c r="L51" s="474"/>
      <c r="M51" s="474"/>
      <c r="N51" s="474"/>
    </row>
    <row r="52" spans="1:14" x14ac:dyDescent="0.35">
      <c r="B52" s="78" t="s">
        <v>449</v>
      </c>
      <c r="C52" s="474" t="s">
        <v>742</v>
      </c>
      <c r="D52" s="474"/>
      <c r="E52" s="474"/>
      <c r="F52" s="474"/>
      <c r="G52" s="474"/>
      <c r="H52" s="474"/>
      <c r="I52" s="474"/>
      <c r="J52" s="474"/>
      <c r="K52" s="474"/>
      <c r="L52" s="474"/>
      <c r="M52" s="474"/>
      <c r="N52" s="474"/>
    </row>
    <row r="53" spans="1:14" x14ac:dyDescent="0.35">
      <c r="C53" s="474"/>
      <c r="D53" s="474"/>
      <c r="E53" s="474"/>
      <c r="F53" s="474"/>
      <c r="G53" s="474"/>
      <c r="H53" s="474"/>
      <c r="I53" s="474"/>
      <c r="J53" s="474"/>
      <c r="K53" s="474"/>
      <c r="L53" s="474"/>
      <c r="M53" s="474"/>
      <c r="N53" s="474"/>
    </row>
    <row r="54" spans="1:14" x14ac:dyDescent="0.35">
      <c r="C54" s="78"/>
      <c r="D54" s="241"/>
      <c r="E54" s="241"/>
      <c r="F54" s="241"/>
      <c r="G54" s="241"/>
      <c r="H54" s="241"/>
      <c r="I54" s="241"/>
      <c r="J54" s="241"/>
      <c r="K54" s="241"/>
      <c r="L54" s="241"/>
      <c r="M54" s="241"/>
      <c r="N54" s="241"/>
    </row>
    <row r="55" spans="1:14" x14ac:dyDescent="0.35">
      <c r="A55" s="78">
        <v>8</v>
      </c>
      <c r="B55" t="s">
        <v>743</v>
      </c>
      <c r="C55" s="78"/>
      <c r="D55" s="241"/>
      <c r="E55" s="241"/>
      <c r="F55" s="241"/>
      <c r="G55" s="241"/>
      <c r="H55" s="241"/>
      <c r="I55" s="241"/>
      <c r="J55" s="241"/>
      <c r="K55" s="241"/>
      <c r="L55" s="241"/>
      <c r="M55" s="241"/>
      <c r="N55" s="241"/>
    </row>
    <row r="56" spans="1:14" x14ac:dyDescent="0.35">
      <c r="C56" s="78"/>
      <c r="D56" s="241"/>
      <c r="E56" s="241"/>
      <c r="F56" s="241"/>
      <c r="G56" s="241"/>
      <c r="H56" s="241"/>
      <c r="I56" s="241"/>
      <c r="J56" s="241"/>
      <c r="K56" s="241"/>
      <c r="L56" s="241"/>
      <c r="M56" s="241"/>
      <c r="N56" s="241"/>
    </row>
    <row r="57" spans="1:14" x14ac:dyDescent="0.35">
      <c r="B57" s="78" t="s">
        <v>447</v>
      </c>
      <c r="C57" s="474" t="s">
        <v>749</v>
      </c>
      <c r="D57" s="474"/>
      <c r="E57" s="474"/>
      <c r="F57" s="474"/>
      <c r="G57" s="474"/>
      <c r="H57" s="474"/>
      <c r="I57" s="474"/>
      <c r="J57" s="474"/>
      <c r="K57" s="474"/>
      <c r="L57" s="474"/>
      <c r="M57" s="474"/>
      <c r="N57" s="474"/>
    </row>
    <row r="58" spans="1:14" x14ac:dyDescent="0.35">
      <c r="B58" s="78"/>
      <c r="C58" s="474"/>
      <c r="D58" s="474"/>
      <c r="E58" s="474"/>
      <c r="F58" s="474"/>
      <c r="G58" s="474"/>
      <c r="H58" s="474"/>
      <c r="I58" s="474"/>
      <c r="J58" s="474"/>
      <c r="K58" s="474"/>
      <c r="L58" s="474"/>
      <c r="M58" s="474"/>
      <c r="N58" s="474"/>
    </row>
    <row r="59" spans="1:14" x14ac:dyDescent="0.35">
      <c r="C59" s="474"/>
      <c r="D59" s="474"/>
      <c r="E59" s="474"/>
      <c r="F59" s="474"/>
      <c r="G59" s="474"/>
      <c r="H59" s="474"/>
      <c r="I59" s="474"/>
      <c r="J59" s="474"/>
      <c r="K59" s="474"/>
      <c r="L59" s="474"/>
      <c r="M59" s="474"/>
      <c r="N59" s="474"/>
    </row>
    <row r="60" spans="1:14" x14ac:dyDescent="0.35">
      <c r="B60" s="78" t="s">
        <v>448</v>
      </c>
      <c r="C60" s="474" t="s">
        <v>744</v>
      </c>
      <c r="D60" s="474"/>
      <c r="E60" s="474"/>
      <c r="F60" s="474"/>
      <c r="G60" s="474"/>
      <c r="H60" s="474"/>
      <c r="I60" s="474"/>
      <c r="J60" s="474"/>
      <c r="K60" s="474"/>
      <c r="L60" s="474"/>
      <c r="M60" s="474"/>
      <c r="N60" s="474"/>
    </row>
    <row r="61" spans="1:14" x14ac:dyDescent="0.35">
      <c r="B61" s="78"/>
      <c r="C61" s="474"/>
      <c r="D61" s="474"/>
      <c r="E61" s="474"/>
      <c r="F61" s="474"/>
      <c r="G61" s="474"/>
      <c r="H61" s="474"/>
      <c r="I61" s="474"/>
      <c r="J61" s="474"/>
      <c r="K61" s="474"/>
      <c r="L61" s="474"/>
      <c r="M61" s="474"/>
      <c r="N61" s="474"/>
    </row>
    <row r="62" spans="1:14" x14ac:dyDescent="0.35">
      <c r="B62" s="78"/>
      <c r="C62" s="474"/>
      <c r="D62" s="474"/>
      <c r="E62" s="474"/>
      <c r="F62" s="474"/>
      <c r="G62" s="474"/>
      <c r="H62" s="474"/>
      <c r="I62" s="474"/>
      <c r="J62" s="474"/>
      <c r="K62" s="474"/>
      <c r="L62" s="474"/>
      <c r="M62" s="474"/>
      <c r="N62" s="474"/>
    </row>
    <row r="63" spans="1:14" x14ac:dyDescent="0.35">
      <c r="C63" s="474"/>
      <c r="D63" s="474"/>
      <c r="E63" s="474"/>
      <c r="F63" s="474"/>
      <c r="G63" s="474"/>
      <c r="H63" s="474"/>
      <c r="I63" s="474"/>
      <c r="J63" s="474"/>
      <c r="K63" s="474"/>
      <c r="L63" s="474"/>
      <c r="M63" s="474"/>
      <c r="N63" s="474"/>
    </row>
    <row r="64" spans="1:14" x14ac:dyDescent="0.35">
      <c r="C64" s="78"/>
      <c r="D64" s="241"/>
      <c r="E64" s="241"/>
      <c r="F64" s="241"/>
      <c r="G64" s="241"/>
      <c r="H64" s="241"/>
      <c r="I64" s="241"/>
      <c r="J64" s="241"/>
      <c r="K64" s="241"/>
      <c r="L64" s="241"/>
      <c r="M64" s="241"/>
      <c r="N64" s="241"/>
    </row>
    <row r="65" spans="1:14" x14ac:dyDescent="0.35">
      <c r="A65" s="78">
        <v>9</v>
      </c>
      <c r="B65" t="s">
        <v>745</v>
      </c>
    </row>
    <row r="67" spans="1:14" x14ac:dyDescent="0.35">
      <c r="A67" s="78">
        <v>10</v>
      </c>
      <c r="B67" s="475" t="s">
        <v>746</v>
      </c>
      <c r="C67" s="475"/>
      <c r="D67" s="475"/>
      <c r="E67" s="475"/>
      <c r="F67" s="475"/>
      <c r="G67" s="475"/>
      <c r="H67" s="475"/>
      <c r="I67" s="475"/>
      <c r="J67" s="475"/>
      <c r="K67" s="475"/>
      <c r="L67" s="475"/>
      <c r="M67" s="475"/>
      <c r="N67" s="475"/>
    </row>
    <row r="68" spans="1:14" x14ac:dyDescent="0.35">
      <c r="B68" s="475"/>
      <c r="C68" s="475"/>
      <c r="D68" s="475"/>
      <c r="E68" s="475"/>
      <c r="F68" s="475"/>
      <c r="G68" s="475"/>
      <c r="H68" s="475"/>
      <c r="I68" s="475"/>
      <c r="J68" s="475"/>
      <c r="K68" s="475"/>
      <c r="L68" s="475"/>
      <c r="M68" s="475"/>
      <c r="N68" s="475"/>
    </row>
    <row r="69" spans="1:14" x14ac:dyDescent="0.35">
      <c r="B69" s="475"/>
      <c r="C69" s="475"/>
      <c r="D69" s="475"/>
      <c r="E69" s="475"/>
      <c r="F69" s="475"/>
      <c r="G69" s="475"/>
      <c r="H69" s="475"/>
      <c r="I69" s="475"/>
      <c r="J69" s="475"/>
      <c r="K69" s="475"/>
      <c r="L69" s="475"/>
      <c r="M69" s="475"/>
      <c r="N69" s="475"/>
    </row>
    <row r="70" spans="1:14" x14ac:dyDescent="0.35">
      <c r="B70" s="475"/>
      <c r="C70" s="475"/>
      <c r="D70" s="475"/>
      <c r="E70" s="475"/>
      <c r="F70" s="475"/>
      <c r="G70" s="475"/>
      <c r="H70" s="475"/>
      <c r="I70" s="475"/>
      <c r="J70" s="475"/>
      <c r="K70" s="475"/>
      <c r="L70" s="475"/>
      <c r="M70" s="475"/>
      <c r="N70" s="475"/>
    </row>
    <row r="71" spans="1:14" x14ac:dyDescent="0.35">
      <c r="B71" s="411"/>
      <c r="C71" s="411"/>
      <c r="D71" s="411"/>
      <c r="E71" s="411"/>
      <c r="F71" s="411"/>
      <c r="G71" s="411"/>
      <c r="H71" s="411"/>
      <c r="I71" s="411"/>
      <c r="J71" s="411"/>
      <c r="K71" s="411"/>
      <c r="L71" s="411"/>
      <c r="M71" s="411"/>
      <c r="N71" s="411"/>
    </row>
    <row r="72" spans="1:14" x14ac:dyDescent="0.35">
      <c r="A72" s="78">
        <v>11</v>
      </c>
      <c r="B72" t="s">
        <v>747</v>
      </c>
    </row>
    <row r="74" spans="1:14" x14ac:dyDescent="0.35">
      <c r="A74" s="78">
        <v>12</v>
      </c>
      <c r="B74" s="474" t="s">
        <v>748</v>
      </c>
      <c r="C74" s="474"/>
      <c r="D74" s="474"/>
      <c r="E74" s="474"/>
      <c r="F74" s="474"/>
      <c r="G74" s="474"/>
      <c r="H74" s="474"/>
      <c r="I74" s="474"/>
      <c r="J74" s="474"/>
      <c r="K74" s="474"/>
      <c r="L74" s="474"/>
      <c r="M74" s="474"/>
      <c r="N74" s="474"/>
    </row>
    <row r="75" spans="1:14" x14ac:dyDescent="0.35">
      <c r="B75" s="474"/>
      <c r="C75" s="474"/>
      <c r="D75" s="474"/>
      <c r="E75" s="474"/>
      <c r="F75" s="474"/>
      <c r="G75" s="474"/>
      <c r="H75" s="474"/>
      <c r="I75" s="474"/>
      <c r="J75" s="474"/>
      <c r="K75" s="474"/>
      <c r="L75" s="474"/>
      <c r="M75" s="474"/>
      <c r="N75" s="474"/>
    </row>
    <row r="76" spans="1:14" x14ac:dyDescent="0.35">
      <c r="B76" s="474"/>
      <c r="C76" s="474"/>
      <c r="D76" s="474"/>
      <c r="E76" s="474"/>
      <c r="F76" s="474"/>
      <c r="G76" s="474"/>
      <c r="H76" s="474"/>
      <c r="I76" s="474"/>
      <c r="J76" s="474"/>
      <c r="K76" s="474"/>
      <c r="L76" s="474"/>
      <c r="M76" s="474"/>
      <c r="N76" s="474"/>
    </row>
    <row r="78" spans="1:14" x14ac:dyDescent="0.35">
      <c r="B78" s="78" t="s">
        <v>447</v>
      </c>
      <c r="D78" s="475" t="s">
        <v>916</v>
      </c>
      <c r="E78" s="475"/>
      <c r="F78" s="475"/>
      <c r="G78" s="475"/>
      <c r="H78" s="475"/>
      <c r="I78" s="475"/>
      <c r="J78" s="475"/>
      <c r="K78" s="475"/>
      <c r="L78" s="475"/>
      <c r="M78" s="475"/>
      <c r="N78" s="475"/>
    </row>
    <row r="79" spans="1:14" x14ac:dyDescent="0.35">
      <c r="D79" s="475"/>
      <c r="E79" s="475"/>
      <c r="F79" s="475"/>
      <c r="G79" s="475"/>
      <c r="H79" s="475"/>
      <c r="I79" s="475"/>
      <c r="J79" s="475"/>
      <c r="K79" s="475"/>
      <c r="L79" s="475"/>
      <c r="M79" s="475"/>
      <c r="N79" s="475"/>
    </row>
    <row r="81" spans="2:14" x14ac:dyDescent="0.35">
      <c r="B81" s="78" t="s">
        <v>448</v>
      </c>
      <c r="D81" s="475" t="s">
        <v>917</v>
      </c>
      <c r="E81" s="475"/>
      <c r="F81" s="475"/>
      <c r="G81" s="475"/>
      <c r="H81" s="475"/>
      <c r="I81" s="475"/>
      <c r="J81" s="475"/>
      <c r="K81" s="475"/>
      <c r="L81" s="475"/>
      <c r="M81" s="475"/>
      <c r="N81" s="475"/>
    </row>
    <row r="82" spans="2:14" x14ac:dyDescent="0.35">
      <c r="B82" s="78"/>
      <c r="D82" s="475"/>
      <c r="E82" s="475"/>
      <c r="F82" s="475"/>
      <c r="G82" s="475"/>
      <c r="H82" s="475"/>
      <c r="I82" s="475"/>
      <c r="J82" s="475"/>
      <c r="K82" s="475"/>
      <c r="L82" s="475"/>
      <c r="M82" s="475"/>
      <c r="N82" s="475"/>
    </row>
    <row r="83" spans="2:14" x14ac:dyDescent="0.35">
      <c r="D83" s="475"/>
      <c r="E83" s="475"/>
      <c r="F83" s="475"/>
      <c r="G83" s="475"/>
      <c r="H83" s="475"/>
      <c r="I83" s="475"/>
      <c r="J83" s="475"/>
      <c r="K83" s="475"/>
      <c r="L83" s="475"/>
      <c r="M83" s="475"/>
      <c r="N83" s="475"/>
    </row>
  </sheetData>
  <customSheetViews>
    <customSheetView guid="{27BAF95E-10B4-4025-9660-F5A8EBC66DC3}" state="hidden">
      <pageMargins left="0.7" right="0.7" top="0.75" bottom="0.75" header="0.3" footer="0.3"/>
      <pageSetup orientation="portrait" horizontalDpi="1200" verticalDpi="1200" r:id="rId1"/>
    </customSheetView>
    <customSheetView guid="{D0F83CC0-0361-4280-BCA4-9A92C986158B}" state="hidden">
      <pageMargins left="0.7" right="0.7" top="0.75" bottom="0.75" header="0.3" footer="0.3"/>
      <pageSetup orientation="portrait" horizontalDpi="1200" verticalDpi="1200" r:id="rId2"/>
    </customSheetView>
  </customSheetViews>
  <mergeCells count="15">
    <mergeCell ref="D78:N79"/>
    <mergeCell ref="D81:N83"/>
    <mergeCell ref="B74:N76"/>
    <mergeCell ref="C46:N48"/>
    <mergeCell ref="C49:N51"/>
    <mergeCell ref="C52:N53"/>
    <mergeCell ref="C57:N59"/>
    <mergeCell ref="C60:N63"/>
    <mergeCell ref="B67:N70"/>
    <mergeCell ref="C36:N38"/>
    <mergeCell ref="B8:N9"/>
    <mergeCell ref="C16:N17"/>
    <mergeCell ref="C21:N23"/>
    <mergeCell ref="C24:N25"/>
    <mergeCell ref="C30:N32"/>
  </mergeCell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A1:AA319"/>
  <sheetViews>
    <sheetView tabSelected="1" workbookViewId="0"/>
  </sheetViews>
  <sheetFormatPr defaultColWidth="9.1796875" defaultRowHeight="14.5" x14ac:dyDescent="0.35"/>
  <cols>
    <col min="1" max="1" width="16.1796875" customWidth="1"/>
    <col min="2" max="2" width="9.81640625" customWidth="1"/>
    <col min="3" max="3" width="61" customWidth="1"/>
    <col min="4" max="6" width="18.1796875" customWidth="1"/>
    <col min="7" max="7" width="5.1796875" customWidth="1"/>
    <col min="8" max="8" width="18.453125" customWidth="1"/>
    <col min="27" max="27" width="9.1796875" customWidth="1"/>
  </cols>
  <sheetData>
    <row r="1" spans="1:27" ht="26" x14ac:dyDescent="0.6">
      <c r="A1" s="3" t="s">
        <v>771</v>
      </c>
      <c r="B1" s="3"/>
    </row>
    <row r="2" spans="1:27" ht="21" x14ac:dyDescent="0.5">
      <c r="A2" s="2" t="s">
        <v>772</v>
      </c>
      <c r="B2" s="2"/>
    </row>
    <row r="3" spans="1:27" ht="21" x14ac:dyDescent="0.5">
      <c r="A3" s="242" t="s">
        <v>495</v>
      </c>
      <c r="B3" s="2"/>
    </row>
    <row r="4" spans="1:27" ht="21" x14ac:dyDescent="0.5">
      <c r="A4" s="243" t="s">
        <v>497</v>
      </c>
      <c r="D4" s="458"/>
    </row>
    <row r="5" spans="1:27" x14ac:dyDescent="0.35">
      <c r="D5" s="458"/>
      <c r="AA5" s="244" t="s">
        <v>496</v>
      </c>
    </row>
    <row r="6" spans="1:27" x14ac:dyDescent="0.35">
      <c r="A6" s="1" t="s">
        <v>773</v>
      </c>
      <c r="B6" s="1"/>
      <c r="C6" s="245" t="s">
        <v>933</v>
      </c>
      <c r="AA6" s="244" t="s">
        <v>497</v>
      </c>
    </row>
    <row r="7" spans="1:27" x14ac:dyDescent="0.35">
      <c r="A7" s="1" t="s">
        <v>0</v>
      </c>
      <c r="B7" s="1"/>
      <c r="C7" s="35">
        <v>45473</v>
      </c>
    </row>
    <row r="10" spans="1:27" x14ac:dyDescent="0.35">
      <c r="C10" t="s">
        <v>498</v>
      </c>
      <c r="D10" s="246" t="s">
        <v>499</v>
      </c>
      <c r="E10" s="246" t="s">
        <v>500</v>
      </c>
      <c r="F10" s="246" t="s">
        <v>501</v>
      </c>
    </row>
    <row r="11" spans="1:27" x14ac:dyDescent="0.35">
      <c r="A11" s="247" t="s">
        <v>502</v>
      </c>
      <c r="D11" s="78"/>
      <c r="E11" s="78"/>
      <c r="F11" s="78"/>
    </row>
    <row r="12" spans="1:27" x14ac:dyDescent="0.35">
      <c r="A12" t="s">
        <v>503</v>
      </c>
      <c r="D12" s="248">
        <f>'Adjusted Schedule 1'!J96</f>
        <v>48990348.82</v>
      </c>
      <c r="E12" s="248">
        <f>'As-Filed Schedule 1'!J95</f>
        <v>48990348.82</v>
      </c>
      <c r="F12" s="248">
        <f t="shared" ref="F12:F32" si="0">D12-E12</f>
        <v>0</v>
      </c>
    </row>
    <row r="13" spans="1:27" x14ac:dyDescent="0.35">
      <c r="A13" t="s">
        <v>504</v>
      </c>
      <c r="D13" s="248">
        <f>'Adjusted Schedule 1A'!H26</f>
        <v>0</v>
      </c>
      <c r="E13" s="248">
        <f>'As-Filed Schedule 1A'!H25</f>
        <v>0</v>
      </c>
      <c r="F13" s="248">
        <f t="shared" si="0"/>
        <v>0</v>
      </c>
    </row>
    <row r="14" spans="1:27" x14ac:dyDescent="0.35">
      <c r="A14" t="s">
        <v>505</v>
      </c>
      <c r="D14" s="248">
        <f>'Adjusted Schedule 1C'!F26</f>
        <v>122420.2873648511</v>
      </c>
      <c r="E14" s="248">
        <f>'As-Filed Schedule 1C'!F25</f>
        <v>122420.2873648511</v>
      </c>
      <c r="F14" s="248">
        <f t="shared" si="0"/>
        <v>0</v>
      </c>
    </row>
    <row r="15" spans="1:27" x14ac:dyDescent="0.35">
      <c r="A15" t="s">
        <v>506</v>
      </c>
      <c r="D15" s="248">
        <f>'Adjusted Schedule 2A'!F76</f>
        <v>5023498.1539757596</v>
      </c>
      <c r="E15" s="248">
        <f>'As-Filed Schedule 2A'!F75</f>
        <v>5023498.1539757596</v>
      </c>
      <c r="F15" s="248">
        <f t="shared" si="0"/>
        <v>0</v>
      </c>
    </row>
    <row r="16" spans="1:27" x14ac:dyDescent="0.35">
      <c r="A16" t="s">
        <v>507</v>
      </c>
      <c r="D16" s="248">
        <f>'Adjusted Schedule 2B'!F76</f>
        <v>2572343.3416566472</v>
      </c>
      <c r="E16" s="248">
        <f>'As-Filed Schedule 2B'!F75</f>
        <v>2572343.3416566472</v>
      </c>
      <c r="F16" s="248">
        <f t="shared" si="0"/>
        <v>0</v>
      </c>
    </row>
    <row r="17" spans="1:6" x14ac:dyDescent="0.35">
      <c r="A17" t="s">
        <v>508</v>
      </c>
      <c r="D17" s="248">
        <f>'Adjusted Schedule 2C'!F76</f>
        <v>34061359.439048484</v>
      </c>
      <c r="E17" s="248">
        <f>'As-Filed Schedule 2C'!F75</f>
        <v>34061359.439048484</v>
      </c>
      <c r="F17" s="248">
        <f t="shared" si="0"/>
        <v>0</v>
      </c>
    </row>
    <row r="18" spans="1:6" x14ac:dyDescent="0.35">
      <c r="A18" t="s">
        <v>509</v>
      </c>
      <c r="D18" s="248">
        <f>'Adjusted Schedule 2D'!$F$76</f>
        <v>3163142.281135675</v>
      </c>
      <c r="E18" s="248">
        <f>'As-Filed Schedule 2D'!$F$75</f>
        <v>3163142.281135675</v>
      </c>
      <c r="F18" s="248">
        <f>D18-E18</f>
        <v>0</v>
      </c>
    </row>
    <row r="19" spans="1:6" hidden="1" x14ac:dyDescent="0.35">
      <c r="A19" t="s">
        <v>913</v>
      </c>
      <c r="D19" s="248">
        <f>'Adjusted Schedule 2E'!$F$76</f>
        <v>0</v>
      </c>
      <c r="E19" s="248">
        <f>'As-Filed Schedule 2E'!$F$75</f>
        <v>0</v>
      </c>
      <c r="F19" s="248">
        <f t="shared" ref="F19:F27" si="1">D19-E19</f>
        <v>0</v>
      </c>
    </row>
    <row r="20" spans="1:6" hidden="1" x14ac:dyDescent="0.35">
      <c r="A20" t="s">
        <v>912</v>
      </c>
      <c r="D20" s="248">
        <f>'Adjusted Schedule 2F'!$F$76</f>
        <v>0</v>
      </c>
      <c r="E20" s="248">
        <f>'As-Filed Schedule 2F'!$F$75</f>
        <v>0</v>
      </c>
      <c r="F20" s="248">
        <f t="shared" si="1"/>
        <v>0</v>
      </c>
    </row>
    <row r="21" spans="1:6" hidden="1" x14ac:dyDescent="0.35">
      <c r="A21" t="s">
        <v>911</v>
      </c>
      <c r="D21" s="248">
        <f>'Adjusted Schedule 2G'!$F$76</f>
        <v>0</v>
      </c>
      <c r="E21" s="248">
        <f>'As-Filed Schedule 2G'!$F$75</f>
        <v>0</v>
      </c>
      <c r="F21" s="248">
        <f t="shared" si="1"/>
        <v>0</v>
      </c>
    </row>
    <row r="22" spans="1:6" hidden="1" x14ac:dyDescent="0.35">
      <c r="A22" t="s">
        <v>910</v>
      </c>
      <c r="D22" s="248">
        <f>'Adjusted Schedule 2H'!$F$76</f>
        <v>0</v>
      </c>
      <c r="E22" s="248">
        <f>'As-Filed Schedule 2H'!$F$75</f>
        <v>0</v>
      </c>
      <c r="F22" s="248">
        <f t="shared" si="1"/>
        <v>0</v>
      </c>
    </row>
    <row r="23" spans="1:6" hidden="1" x14ac:dyDescent="0.35">
      <c r="A23" t="s">
        <v>909</v>
      </c>
      <c r="D23" s="248">
        <f>'Adjusted Schedule 2I'!$F$76</f>
        <v>0</v>
      </c>
      <c r="E23" s="248">
        <f>'As-Filed Schedule 2I'!$F$75</f>
        <v>0</v>
      </c>
      <c r="F23" s="248">
        <f t="shared" si="1"/>
        <v>0</v>
      </c>
    </row>
    <row r="24" spans="1:6" hidden="1" x14ac:dyDescent="0.35">
      <c r="A24" t="s">
        <v>908</v>
      </c>
      <c r="D24" s="248">
        <f>'Adjusted Schedule 2J'!$F$76</f>
        <v>0</v>
      </c>
      <c r="E24" s="248">
        <f>'As-Filed Schedule 2J'!$F$75</f>
        <v>0</v>
      </c>
      <c r="F24" s="248">
        <f t="shared" si="1"/>
        <v>0</v>
      </c>
    </row>
    <row r="25" spans="1:6" hidden="1" x14ac:dyDescent="0.35">
      <c r="A25" t="s">
        <v>907</v>
      </c>
      <c r="D25" s="248">
        <f>'Adjusted Schedule 2K'!$F$76</f>
        <v>0</v>
      </c>
      <c r="E25" s="248">
        <f>'As-Filed Schedule 2K'!$F$75</f>
        <v>0</v>
      </c>
      <c r="F25" s="248">
        <f t="shared" si="1"/>
        <v>0</v>
      </c>
    </row>
    <row r="26" spans="1:6" hidden="1" x14ac:dyDescent="0.35">
      <c r="A26" t="s">
        <v>906</v>
      </c>
      <c r="D26" s="248">
        <f>'Adjusted Schedule 2L'!$F$76</f>
        <v>0</v>
      </c>
      <c r="E26" s="248">
        <f>'As-Filed Schedule 2L'!$F$75</f>
        <v>0</v>
      </c>
      <c r="F26" s="248">
        <f t="shared" si="1"/>
        <v>0</v>
      </c>
    </row>
    <row r="27" spans="1:6" ht="27.75" hidden="1" customHeight="1" x14ac:dyDescent="0.35">
      <c r="A27" s="477" t="s">
        <v>905</v>
      </c>
      <c r="B27" s="477"/>
      <c r="C27" s="477"/>
      <c r="D27" s="248">
        <f>'Adjusted Schedule 2M'!$F$76</f>
        <v>0</v>
      </c>
      <c r="E27" s="248">
        <f>'As-Filed Schedule 2M'!$F$75</f>
        <v>0</v>
      </c>
      <c r="F27" s="248">
        <f t="shared" si="1"/>
        <v>0</v>
      </c>
    </row>
    <row r="28" spans="1:6" x14ac:dyDescent="0.35">
      <c r="A28" s="100" t="s">
        <v>510</v>
      </c>
      <c r="D28" s="13">
        <f>'Adjusted Schedule 3'!K168</f>
        <v>1986</v>
      </c>
      <c r="E28" s="13">
        <f>'As-Filed Schedule 3'!K167</f>
        <v>1986</v>
      </c>
      <c r="F28" s="13">
        <f t="shared" si="0"/>
        <v>0</v>
      </c>
    </row>
    <row r="29" spans="1:6" x14ac:dyDescent="0.35">
      <c r="A29" s="100" t="s">
        <v>511</v>
      </c>
      <c r="D29" s="248">
        <f>'Adjusted Schedule 3'!M168</f>
        <v>3659366.5359400609</v>
      </c>
      <c r="E29" s="248">
        <f>'As-Filed Schedule 3'!M167</f>
        <v>3659366.5359400609</v>
      </c>
      <c r="F29" s="248">
        <f t="shared" si="0"/>
        <v>0</v>
      </c>
    </row>
    <row r="30" spans="1:6" x14ac:dyDescent="0.35">
      <c r="A30" t="s">
        <v>512</v>
      </c>
      <c r="D30" s="13">
        <f>'Adjusted Schedule 4'!D198</f>
        <v>95678</v>
      </c>
      <c r="E30" s="13">
        <f>'As-Filed Schedule 4'!D197</f>
        <v>95678</v>
      </c>
      <c r="F30" s="13">
        <f t="shared" si="0"/>
        <v>0</v>
      </c>
    </row>
    <row r="31" spans="1:6" x14ac:dyDescent="0.35">
      <c r="A31" t="s">
        <v>513</v>
      </c>
      <c r="D31" s="13">
        <f>'Adjusted Schedule 4'!H198</f>
        <v>272325</v>
      </c>
      <c r="E31" s="13">
        <f>'As-Filed Schedule 4'!H197</f>
        <v>272325</v>
      </c>
      <c r="F31" s="13">
        <f t="shared" si="0"/>
        <v>0</v>
      </c>
    </row>
    <row r="32" spans="1:6" x14ac:dyDescent="0.35">
      <c r="A32" t="s">
        <v>927</v>
      </c>
      <c r="D32" s="456">
        <f>'Adjusted Schedule 4'!K9</f>
        <v>114120</v>
      </c>
      <c r="E32" s="456">
        <f>'As-Filed Schedule 4'!K8</f>
        <v>114120</v>
      </c>
      <c r="F32" s="13">
        <f t="shared" si="0"/>
        <v>0</v>
      </c>
    </row>
    <row r="33" spans="1:6" x14ac:dyDescent="0.35">
      <c r="D33" s="249"/>
      <c r="E33" s="249"/>
      <c r="F33" s="249"/>
    </row>
    <row r="34" spans="1:6" x14ac:dyDescent="0.35">
      <c r="A34" s="247" t="s">
        <v>514</v>
      </c>
      <c r="D34" s="249"/>
      <c r="E34" s="249"/>
      <c r="F34" s="249"/>
    </row>
    <row r="35" spans="1:6" x14ac:dyDescent="0.35">
      <c r="A35" t="s">
        <v>515</v>
      </c>
      <c r="D35" s="248">
        <f>'Adjusted Schedule 1'!F96</f>
        <v>44572738.6934141</v>
      </c>
      <c r="E35" s="248">
        <f>'As-Filed Schedule 1'!F95</f>
        <v>44572738.6934141</v>
      </c>
      <c r="F35" s="248">
        <f>D35-E35</f>
        <v>0</v>
      </c>
    </row>
    <row r="36" spans="1:6" x14ac:dyDescent="0.35">
      <c r="A36" s="100" t="s">
        <v>516</v>
      </c>
      <c r="D36" s="248">
        <f>'Adjusted Schedule 4'!D10</f>
        <v>339092.81999999966</v>
      </c>
      <c r="E36" s="248">
        <f>'As-Filed Schedule 4'!D9</f>
        <v>339092.81999999966</v>
      </c>
      <c r="F36" s="248">
        <f>D36-E36</f>
        <v>0</v>
      </c>
    </row>
    <row r="37" spans="1:6" x14ac:dyDescent="0.35">
      <c r="A37" t="s">
        <v>517</v>
      </c>
      <c r="D37" s="13">
        <f>'Adjusted Schedule 4'!F198</f>
        <v>149909.44</v>
      </c>
      <c r="E37" s="13">
        <f>'As-Filed Schedule 4'!F8</f>
        <v>149909.44</v>
      </c>
      <c r="F37" s="13">
        <f>D37-E37</f>
        <v>0</v>
      </c>
    </row>
    <row r="38" spans="1:6" x14ac:dyDescent="0.35">
      <c r="A38" t="s">
        <v>518</v>
      </c>
      <c r="D38" s="250">
        <f>'Adjusted Schedule 4'!J198</f>
        <v>241108.66000000003</v>
      </c>
      <c r="E38" s="250">
        <f>'As-Filed Schedule 4'!F9</f>
        <v>241108.66000000003</v>
      </c>
      <c r="F38" s="250">
        <f>D38-E38</f>
        <v>0</v>
      </c>
    </row>
    <row r="39" spans="1:6" s="1" customFormat="1" x14ac:dyDescent="0.35">
      <c r="A39" s="1" t="s">
        <v>519</v>
      </c>
      <c r="D39" s="251">
        <f>'Adjusted Schedule 4'!F13</f>
        <v>113.12429238803547</v>
      </c>
      <c r="E39" s="251">
        <f>'As-Filed Schedule 4'!F12</f>
        <v>113.12429238803547</v>
      </c>
      <c r="F39" s="252">
        <f>D39-E39</f>
        <v>0</v>
      </c>
    </row>
    <row r="40" spans="1:6" s="1" customFormat="1" x14ac:dyDescent="0.35">
      <c r="D40" s="251"/>
      <c r="E40" s="251"/>
      <c r="F40" s="252"/>
    </row>
    <row r="41" spans="1:6" s="1" customFormat="1" x14ac:dyDescent="0.35">
      <c r="A41" s="247" t="s">
        <v>918</v>
      </c>
      <c r="D41" s="251"/>
      <c r="E41" s="251"/>
      <c r="F41" s="252"/>
    </row>
    <row r="42" spans="1:6" x14ac:dyDescent="0.35">
      <c r="A42" t="s">
        <v>515</v>
      </c>
      <c r="D42" s="248">
        <f>'Adjusted Schedule 1'!F96</f>
        <v>44572738.6934141</v>
      </c>
      <c r="E42" s="248">
        <f>'As-Filed Schedule 1'!F95</f>
        <v>44572738.6934141</v>
      </c>
      <c r="F42" s="248">
        <f>D42-E42</f>
        <v>0</v>
      </c>
    </row>
    <row r="43" spans="1:6" x14ac:dyDescent="0.35">
      <c r="A43" s="100" t="s">
        <v>919</v>
      </c>
      <c r="D43" s="248">
        <f>'Adjusted Schedule 4'!I10</f>
        <v>307313.48905809567</v>
      </c>
      <c r="E43" s="248">
        <f>'As-Filed Schedule 4'!I9</f>
        <v>307313.48905809567</v>
      </c>
      <c r="F43" s="248">
        <f>D43-E43</f>
        <v>0</v>
      </c>
    </row>
    <row r="44" spans="1:6" x14ac:dyDescent="0.35">
      <c r="A44" t="s">
        <v>920</v>
      </c>
      <c r="D44" s="250">
        <f>'Adjusted Schedule 4'!K9</f>
        <v>114120</v>
      </c>
      <c r="E44" s="250">
        <f>'As-Filed Schedule 4'!K8</f>
        <v>114120</v>
      </c>
      <c r="F44" s="250">
        <f>D44-E44</f>
        <v>0</v>
      </c>
    </row>
    <row r="45" spans="1:6" s="1" customFormat="1" x14ac:dyDescent="0.35">
      <c r="A45" s="1" t="s">
        <v>921</v>
      </c>
      <c r="D45" s="251">
        <f>'Adjusted Schedule 4'!K13</f>
        <v>387.88490364840527</v>
      </c>
      <c r="E45" s="251">
        <f>'As-Filed Schedule 4'!K12</f>
        <v>387.88490364840527</v>
      </c>
      <c r="F45" s="252">
        <f>D45-E45</f>
        <v>0</v>
      </c>
    </row>
    <row r="46" spans="1:6" s="1" customFormat="1" x14ac:dyDescent="0.35">
      <c r="D46" s="251"/>
      <c r="E46" s="251"/>
      <c r="F46" s="252"/>
    </row>
    <row r="47" spans="1:6" x14ac:dyDescent="0.35">
      <c r="A47" s="247" t="s">
        <v>520</v>
      </c>
    </row>
    <row r="48" spans="1:6" x14ac:dyDescent="0.35">
      <c r="A48" s="247"/>
    </row>
    <row r="49" spans="1:6" x14ac:dyDescent="0.35">
      <c r="A49" s="254" t="s">
        <v>521</v>
      </c>
      <c r="B49" s="476" t="str">
        <f>'Adjusted Schedule 3'!B18:C18</f>
        <v>Acute Treatment Unit (ATU)</v>
      </c>
      <c r="C49" s="476"/>
    </row>
    <row r="50" spans="1:6" x14ac:dyDescent="0.35">
      <c r="A50" s="254"/>
      <c r="B50" t="str">
        <f>IF($B$49="N/A","","Census Days")</f>
        <v>Census Days</v>
      </c>
      <c r="D50" s="13">
        <f>'Adjusted Schedule 3'!K18</f>
        <v>1986</v>
      </c>
      <c r="E50" s="13">
        <f>'As-Filed Schedule 3'!K17</f>
        <v>1986</v>
      </c>
      <c r="F50" s="13">
        <f>D50-E50</f>
        <v>0</v>
      </c>
    </row>
    <row r="51" spans="1:6" x14ac:dyDescent="0.35">
      <c r="A51" s="254"/>
      <c r="B51" t="str">
        <f>IF($B$49="N/A","","Total Expense")</f>
        <v>Total Expense</v>
      </c>
      <c r="D51" s="248">
        <f>'Adjusted Schedule 3'!M18</f>
        <v>3659366.5359400609</v>
      </c>
      <c r="E51" s="248">
        <f>'As-Filed Schedule 3'!M17</f>
        <v>3659366.5359400609</v>
      </c>
      <c r="F51" s="248">
        <f t="shared" ref="F51:F52" si="2">D51-E51</f>
        <v>0</v>
      </c>
    </row>
    <row r="52" spans="1:6" x14ac:dyDescent="0.35">
      <c r="A52" s="254"/>
      <c r="B52" t="str">
        <f>IF($B$49="N/A","","Room and Board Expense")</f>
        <v>Room and Board Expense</v>
      </c>
      <c r="D52" s="248">
        <f>'Adjusted Schedule 3'!O18</f>
        <v>134370.53375429299</v>
      </c>
      <c r="E52" s="248">
        <f>'As-Filed Schedule 3'!O17</f>
        <v>134370.53375429299</v>
      </c>
      <c r="F52" s="248">
        <f t="shared" si="2"/>
        <v>0</v>
      </c>
    </row>
    <row r="53" spans="1:6" x14ac:dyDescent="0.35">
      <c r="A53" s="254"/>
      <c r="B53" t="str">
        <f>IF($B$49="N/A","","Services Expense")</f>
        <v>Services Expense</v>
      </c>
      <c r="D53" s="255">
        <f>'Adjusted Schedule 3'!Q18</f>
        <v>3524996.002185768</v>
      </c>
      <c r="E53" s="255">
        <f>'As-Filed Schedule 3'!Q17</f>
        <v>3524996.002185768</v>
      </c>
      <c r="F53" s="255">
        <f>IF(E53="","",D53-E53)</f>
        <v>0</v>
      </c>
    </row>
    <row r="54" spans="1:6" s="1" customFormat="1" x14ac:dyDescent="0.35">
      <c r="A54" s="254"/>
      <c r="B54" s="1" t="str">
        <f>IF($B$49="N/A","","Facility Total Cost Per Day")</f>
        <v>Facility Total Cost Per Day</v>
      </c>
      <c r="D54" s="251">
        <f>'Adjusted Schedule 3'!N18</f>
        <v>1842.5813373313499</v>
      </c>
      <c r="E54" s="251">
        <f>'As-Filed Schedule 3'!N17</f>
        <v>1842.5813373313499</v>
      </c>
      <c r="F54" s="251">
        <f>IF(E54="","",D54-E54)</f>
        <v>0</v>
      </c>
    </row>
    <row r="55" spans="1:6" x14ac:dyDescent="0.35">
      <c r="A55" s="254"/>
      <c r="B55" t="str">
        <f>IF($B$49="N/A","","Room and Board Cost Per Day")</f>
        <v>Room and Board Cost Per Day</v>
      </c>
      <c r="D55" s="253">
        <f>'Adjusted Schedule 3'!P18</f>
        <v>67.658879030359003</v>
      </c>
      <c r="E55" s="253">
        <f>'As-Filed Schedule 3'!P17</f>
        <v>67.658879030359003</v>
      </c>
      <c r="F55" s="253">
        <f>IF(E55="","",D55-E55)</f>
        <v>0</v>
      </c>
    </row>
    <row r="56" spans="1:6" x14ac:dyDescent="0.35">
      <c r="A56" s="254"/>
      <c r="B56" t="str">
        <f>IF($B$49="N/A","","Services Cost Per Day")</f>
        <v>Services Cost Per Day</v>
      </c>
      <c r="D56" s="253">
        <f>'Adjusted Schedule 3'!R18</f>
        <v>1774.9224583009909</v>
      </c>
      <c r="E56" s="253">
        <f>'As-Filed Schedule 3'!R17</f>
        <v>1774.9224583009909</v>
      </c>
      <c r="F56" s="253">
        <f>IF(E56="","",D56-E56)</f>
        <v>0</v>
      </c>
    </row>
    <row r="57" spans="1:6" x14ac:dyDescent="0.35">
      <c r="A57" s="254"/>
    </row>
    <row r="58" spans="1:6" x14ac:dyDescent="0.35">
      <c r="A58" s="254" t="s">
        <v>522</v>
      </c>
      <c r="B58" s="476">
        <f>'Adjusted Schedule 3'!B23:C23</f>
        <v>0</v>
      </c>
      <c r="C58" s="476"/>
    </row>
    <row r="59" spans="1:6" x14ac:dyDescent="0.35">
      <c r="A59" s="254"/>
      <c r="B59" t="str">
        <f>IF($B$49="N/A","","Census Days")</f>
        <v>Census Days</v>
      </c>
      <c r="D59" s="13">
        <f>'Adjusted Schedule 3'!K23</f>
        <v>0</v>
      </c>
      <c r="E59" s="13">
        <f>'As-Filed Schedule 3'!K22</f>
        <v>0</v>
      </c>
      <c r="F59" s="13">
        <f>D59-E59</f>
        <v>0</v>
      </c>
    </row>
    <row r="60" spans="1:6" x14ac:dyDescent="0.35">
      <c r="A60" s="254"/>
      <c r="B60" t="str">
        <f>IF($B$49="N/A","","Total Expense")</f>
        <v>Total Expense</v>
      </c>
      <c r="D60" s="248">
        <f>'Adjusted Schedule 3'!M23</f>
        <v>0</v>
      </c>
      <c r="E60" s="248">
        <f>'As-Filed Schedule 3'!M22</f>
        <v>0</v>
      </c>
      <c r="F60" s="248">
        <f t="shared" ref="F60:F61" si="3">D60-E60</f>
        <v>0</v>
      </c>
    </row>
    <row r="61" spans="1:6" x14ac:dyDescent="0.35">
      <c r="A61" s="254"/>
      <c r="B61" t="str">
        <f>IF($B$49="N/A","","Room and Board Expense")</f>
        <v>Room and Board Expense</v>
      </c>
      <c r="D61" s="248">
        <f>'Adjusted Schedule 3'!O23</f>
        <v>0</v>
      </c>
      <c r="E61" s="248">
        <f>'As-Filed Schedule 3'!O22</f>
        <v>0</v>
      </c>
      <c r="F61" s="248">
        <f t="shared" si="3"/>
        <v>0</v>
      </c>
    </row>
    <row r="62" spans="1:6" x14ac:dyDescent="0.35">
      <c r="A62" s="254"/>
      <c r="B62" t="str">
        <f>IF($B$49="N/A","","Services Expense")</f>
        <v>Services Expense</v>
      </c>
      <c r="D62" s="255" t="str">
        <f>'Adjusted Schedule 3'!Q23</f>
        <v/>
      </c>
      <c r="E62" s="255" t="str">
        <f>'As-Filed Schedule 3'!Q22</f>
        <v/>
      </c>
      <c r="F62" s="255" t="str">
        <f>IF(E62="","",D62-E62)</f>
        <v/>
      </c>
    </row>
    <row r="63" spans="1:6" s="1" customFormat="1" x14ac:dyDescent="0.35">
      <c r="A63" s="254"/>
      <c r="B63" s="1" t="str">
        <f>IF($B$49="N/A","","Facility Total Cost Per Day")</f>
        <v>Facility Total Cost Per Day</v>
      </c>
      <c r="D63" s="251" t="str">
        <f>'Adjusted Schedule 3'!N23</f>
        <v/>
      </c>
      <c r="E63" s="251" t="str">
        <f>'As-Filed Schedule 3'!N22</f>
        <v/>
      </c>
      <c r="F63" s="251" t="str">
        <f t="shared" ref="F63:F65" si="4">IF(E63="","",D63-E63)</f>
        <v/>
      </c>
    </row>
    <row r="64" spans="1:6" x14ac:dyDescent="0.35">
      <c r="A64" s="254"/>
      <c r="B64" t="str">
        <f>IF($B$49="N/A","","Room and Board Cost Per Day")</f>
        <v>Room and Board Cost Per Day</v>
      </c>
      <c r="D64" s="253" t="str">
        <f>'Adjusted Schedule 3'!P23</f>
        <v/>
      </c>
      <c r="E64" s="253" t="str">
        <f>'As-Filed Schedule 3'!P22</f>
        <v/>
      </c>
      <c r="F64" s="253" t="str">
        <f t="shared" si="4"/>
        <v/>
      </c>
    </row>
    <row r="65" spans="1:6" x14ac:dyDescent="0.35">
      <c r="A65" s="254"/>
      <c r="B65" t="str">
        <f>IF($B$49="N/A","","Services Cost Per Day")</f>
        <v>Services Cost Per Day</v>
      </c>
      <c r="D65" s="253" t="str">
        <f>'Adjusted Schedule 3'!R23</f>
        <v/>
      </c>
      <c r="E65" s="253" t="str">
        <f>'As-Filed Schedule 3'!R22</f>
        <v/>
      </c>
      <c r="F65" s="253" t="str">
        <f t="shared" si="4"/>
        <v/>
      </c>
    </row>
    <row r="66" spans="1:6" x14ac:dyDescent="0.35">
      <c r="A66" s="254"/>
    </row>
    <row r="67" spans="1:6" x14ac:dyDescent="0.35">
      <c r="A67" s="254" t="s">
        <v>523</v>
      </c>
      <c r="B67" s="476">
        <f>'Adjusted Schedule 3'!B28:C28</f>
        <v>0</v>
      </c>
      <c r="C67" s="476"/>
    </row>
    <row r="68" spans="1:6" x14ac:dyDescent="0.35">
      <c r="A68" s="254"/>
      <c r="B68" t="str">
        <f>IF($B$49="N/A","","Census Days")</f>
        <v>Census Days</v>
      </c>
      <c r="D68" s="13">
        <f>'Adjusted Schedule 3'!K28</f>
        <v>0</v>
      </c>
      <c r="E68" s="13">
        <f>'As-Filed Schedule 3'!K27</f>
        <v>0</v>
      </c>
      <c r="F68" s="13">
        <f>D68-E68</f>
        <v>0</v>
      </c>
    </row>
    <row r="69" spans="1:6" x14ac:dyDescent="0.35">
      <c r="A69" s="254"/>
      <c r="B69" t="str">
        <f>IF($B$49="N/A","","Total Expense")</f>
        <v>Total Expense</v>
      </c>
      <c r="D69" s="248">
        <f>'Adjusted Schedule 3'!M28</f>
        <v>0</v>
      </c>
      <c r="E69" s="248">
        <f>'As-Filed Schedule 3'!M27</f>
        <v>0</v>
      </c>
      <c r="F69" s="248">
        <f t="shared" ref="F69:F70" si="5">D69-E69</f>
        <v>0</v>
      </c>
    </row>
    <row r="70" spans="1:6" x14ac:dyDescent="0.35">
      <c r="A70" s="254"/>
      <c r="B70" t="str">
        <f>IF($B$49="N/A","","Room and Board Expense")</f>
        <v>Room and Board Expense</v>
      </c>
      <c r="D70" s="248">
        <f>'Adjusted Schedule 3'!O28</f>
        <v>0</v>
      </c>
      <c r="E70" s="248">
        <f>'As-Filed Schedule 3'!O27</f>
        <v>0</v>
      </c>
      <c r="F70" s="248">
        <f t="shared" si="5"/>
        <v>0</v>
      </c>
    </row>
    <row r="71" spans="1:6" x14ac:dyDescent="0.35">
      <c r="A71" s="254"/>
      <c r="B71" t="str">
        <f>IF($B$49="N/A","","Services Expense")</f>
        <v>Services Expense</v>
      </c>
      <c r="D71" s="255" t="str">
        <f>'Adjusted Schedule 3'!Q28</f>
        <v/>
      </c>
      <c r="E71" s="255" t="str">
        <f>'As-Filed Schedule 3'!Q27</f>
        <v/>
      </c>
      <c r="F71" s="255" t="str">
        <f>IF(E71="","",D71-E71)</f>
        <v/>
      </c>
    </row>
    <row r="72" spans="1:6" s="1" customFormat="1" x14ac:dyDescent="0.35">
      <c r="A72" s="254"/>
      <c r="B72" s="1" t="str">
        <f>IF($B$49="N/A","","Facility Total Cost Per Day")</f>
        <v>Facility Total Cost Per Day</v>
      </c>
      <c r="D72" s="251" t="str">
        <f>'Adjusted Schedule 3'!N28</f>
        <v/>
      </c>
      <c r="E72" s="251" t="str">
        <f>'As-Filed Schedule 3'!N27</f>
        <v/>
      </c>
      <c r="F72" s="251" t="str">
        <f t="shared" ref="F72:F74" si="6">IF(E72="","",D72-E72)</f>
        <v/>
      </c>
    </row>
    <row r="73" spans="1:6" x14ac:dyDescent="0.35">
      <c r="A73" s="254"/>
      <c r="B73" t="str">
        <f>IF($B$49="N/A","","Room and Board Cost Per Day")</f>
        <v>Room and Board Cost Per Day</v>
      </c>
      <c r="D73" s="253" t="str">
        <f>'Adjusted Schedule 3'!P28</f>
        <v/>
      </c>
      <c r="E73" s="253" t="str">
        <f>'As-Filed Schedule 3'!P27</f>
        <v/>
      </c>
      <c r="F73" s="253" t="str">
        <f t="shared" si="6"/>
        <v/>
      </c>
    </row>
    <row r="74" spans="1:6" x14ac:dyDescent="0.35">
      <c r="A74" s="254"/>
      <c r="B74" t="str">
        <f>IF($B$49="N/A","","Services Cost Per Day")</f>
        <v>Services Cost Per Day</v>
      </c>
      <c r="D74" s="253" t="str">
        <f>'Adjusted Schedule 3'!R28</f>
        <v/>
      </c>
      <c r="E74" s="253" t="str">
        <f>'As-Filed Schedule 3'!R27</f>
        <v/>
      </c>
      <c r="F74" s="253" t="str">
        <f t="shared" si="6"/>
        <v/>
      </c>
    </row>
    <row r="75" spans="1:6" x14ac:dyDescent="0.35">
      <c r="A75" s="254"/>
    </row>
    <row r="76" spans="1:6" x14ac:dyDescent="0.35">
      <c r="A76" s="254" t="s">
        <v>524</v>
      </c>
      <c r="B76" s="476">
        <f>'Adjusted Schedule 3'!B33:C33</f>
        <v>0</v>
      </c>
      <c r="C76" s="476"/>
    </row>
    <row r="77" spans="1:6" x14ac:dyDescent="0.35">
      <c r="A77" s="254"/>
      <c r="B77" t="str">
        <f>IF($B$49="N/A","","Census Days")</f>
        <v>Census Days</v>
      </c>
      <c r="D77" s="13">
        <f>'Adjusted Schedule 3'!K33</f>
        <v>0</v>
      </c>
      <c r="E77" s="13">
        <f>'As-Filed Schedule 3'!K32</f>
        <v>0</v>
      </c>
      <c r="F77" s="13">
        <f>D77-E77</f>
        <v>0</v>
      </c>
    </row>
    <row r="78" spans="1:6" x14ac:dyDescent="0.35">
      <c r="A78" s="254"/>
      <c r="B78" t="str">
        <f>IF($B$49="N/A","","Total Expense")</f>
        <v>Total Expense</v>
      </c>
      <c r="D78" s="248">
        <f>'Adjusted Schedule 3'!M33</f>
        <v>0</v>
      </c>
      <c r="E78" s="248">
        <f>'As-Filed Schedule 3'!M32</f>
        <v>0</v>
      </c>
      <c r="F78" s="248">
        <f t="shared" ref="F78:F79" si="7">D78-E78</f>
        <v>0</v>
      </c>
    </row>
    <row r="79" spans="1:6" x14ac:dyDescent="0.35">
      <c r="A79" s="254"/>
      <c r="B79" t="str">
        <f>IF($B$49="N/A","","Room and Board Expense")</f>
        <v>Room and Board Expense</v>
      </c>
      <c r="D79" s="248">
        <f>'Adjusted Schedule 3'!O33</f>
        <v>0</v>
      </c>
      <c r="E79" s="248">
        <f>'As-Filed Schedule 3'!O32</f>
        <v>0</v>
      </c>
      <c r="F79" s="248">
        <f t="shared" si="7"/>
        <v>0</v>
      </c>
    </row>
    <row r="80" spans="1:6" x14ac:dyDescent="0.35">
      <c r="A80" s="254"/>
      <c r="B80" t="str">
        <f>IF($B$49="N/A","","Services Expense")</f>
        <v>Services Expense</v>
      </c>
      <c r="D80" s="255" t="str">
        <f>'Adjusted Schedule 3'!Q33</f>
        <v/>
      </c>
      <c r="E80" s="255" t="str">
        <f>'As-Filed Schedule 3'!Q32</f>
        <v/>
      </c>
      <c r="F80" s="255" t="str">
        <f>IF(E80="","",D80-E80)</f>
        <v/>
      </c>
    </row>
    <row r="81" spans="1:6" s="1" customFormat="1" x14ac:dyDescent="0.35">
      <c r="A81" s="254"/>
      <c r="B81" s="1" t="str">
        <f>IF($B$49="N/A","","Facility Total Cost Per Day")</f>
        <v>Facility Total Cost Per Day</v>
      </c>
      <c r="D81" s="251" t="str">
        <f>'Adjusted Schedule 3'!N33</f>
        <v/>
      </c>
      <c r="E81" s="251" t="str">
        <f>'As-Filed Schedule 3'!N32</f>
        <v/>
      </c>
      <c r="F81" s="251" t="str">
        <f t="shared" ref="F81:F83" si="8">IF(E81="","",D81-E81)</f>
        <v/>
      </c>
    </row>
    <row r="82" spans="1:6" x14ac:dyDescent="0.35">
      <c r="A82" s="254"/>
      <c r="B82" t="str">
        <f>IF($B$49="N/A","","Room and Board Cost Per Day")</f>
        <v>Room and Board Cost Per Day</v>
      </c>
      <c r="D82" s="253" t="str">
        <f>'Adjusted Schedule 3'!P33</f>
        <v/>
      </c>
      <c r="E82" s="253" t="str">
        <f>'As-Filed Schedule 3'!P32</f>
        <v/>
      </c>
      <c r="F82" s="253" t="str">
        <f t="shared" si="8"/>
        <v/>
      </c>
    </row>
    <row r="83" spans="1:6" x14ac:dyDescent="0.35">
      <c r="A83" s="254"/>
      <c r="B83" t="str">
        <f>IF($B$49="N/A","","Services Cost Per Day")</f>
        <v>Services Cost Per Day</v>
      </c>
      <c r="D83" s="253" t="str">
        <f>'Adjusted Schedule 3'!R33</f>
        <v/>
      </c>
      <c r="E83" s="253" t="str">
        <f>'As-Filed Schedule 3'!R32</f>
        <v/>
      </c>
      <c r="F83" s="253" t="str">
        <f t="shared" si="8"/>
        <v/>
      </c>
    </row>
    <row r="84" spans="1:6" x14ac:dyDescent="0.35">
      <c r="A84" s="254"/>
      <c r="B84" s="392"/>
    </row>
    <row r="85" spans="1:6" x14ac:dyDescent="0.35">
      <c r="A85" s="254" t="s">
        <v>525</v>
      </c>
      <c r="B85" s="476">
        <f>'Adjusted Schedule 3'!B38:C38</f>
        <v>0</v>
      </c>
      <c r="C85" s="476"/>
    </row>
    <row r="86" spans="1:6" x14ac:dyDescent="0.35">
      <c r="A86" s="254"/>
      <c r="B86" t="str">
        <f>IF($B$49="N/A","","Census Days")</f>
        <v>Census Days</v>
      </c>
      <c r="D86" s="13">
        <f>'Adjusted Schedule 3'!K38</f>
        <v>0</v>
      </c>
      <c r="E86" s="13">
        <f>'As-Filed Schedule 3'!K37</f>
        <v>0</v>
      </c>
      <c r="F86" s="13">
        <f>D86-E86</f>
        <v>0</v>
      </c>
    </row>
    <row r="87" spans="1:6" x14ac:dyDescent="0.35">
      <c r="A87" s="254"/>
      <c r="B87" t="str">
        <f>IF($B$49="N/A","","Total Expense")</f>
        <v>Total Expense</v>
      </c>
      <c r="D87" s="248">
        <f>'Adjusted Schedule 3'!M38</f>
        <v>0</v>
      </c>
      <c r="E87" s="248">
        <f>'As-Filed Schedule 3'!M37</f>
        <v>0</v>
      </c>
      <c r="F87" s="248">
        <f t="shared" ref="F87:F88" si="9">D87-E87</f>
        <v>0</v>
      </c>
    </row>
    <row r="88" spans="1:6" x14ac:dyDescent="0.35">
      <c r="A88" s="254"/>
      <c r="B88" t="str">
        <f>IF($B$49="N/A","","Room and Board Expense")</f>
        <v>Room and Board Expense</v>
      </c>
      <c r="D88" s="248">
        <f>'Adjusted Schedule 3'!O38</f>
        <v>0</v>
      </c>
      <c r="E88" s="248">
        <f>'As-Filed Schedule 3'!O37</f>
        <v>0</v>
      </c>
      <c r="F88" s="248">
        <f t="shared" si="9"/>
        <v>0</v>
      </c>
    </row>
    <row r="89" spans="1:6" x14ac:dyDescent="0.35">
      <c r="A89" s="254"/>
      <c r="B89" t="str">
        <f>IF($B$49="N/A","","Services Expense")</f>
        <v>Services Expense</v>
      </c>
      <c r="D89" s="255" t="str">
        <f>'Adjusted Schedule 3'!Q38</f>
        <v/>
      </c>
      <c r="E89" s="255" t="str">
        <f>'As-Filed Schedule 3'!Q37</f>
        <v/>
      </c>
      <c r="F89" s="255" t="str">
        <f>IF(E89="","",D89-E89)</f>
        <v/>
      </c>
    </row>
    <row r="90" spans="1:6" s="1" customFormat="1" x14ac:dyDescent="0.35">
      <c r="A90" s="254"/>
      <c r="B90" s="1" t="str">
        <f>IF($B$49="N/A","","Facility Total Cost Per Day")</f>
        <v>Facility Total Cost Per Day</v>
      </c>
      <c r="D90" s="251" t="str">
        <f>'Adjusted Schedule 3'!N38</f>
        <v/>
      </c>
      <c r="E90" s="251" t="str">
        <f>'As-Filed Schedule 3'!N37</f>
        <v/>
      </c>
      <c r="F90" s="251" t="str">
        <f t="shared" ref="F90:F92" si="10">IF(E90="","",D90-E90)</f>
        <v/>
      </c>
    </row>
    <row r="91" spans="1:6" x14ac:dyDescent="0.35">
      <c r="A91" s="254"/>
      <c r="B91" t="str">
        <f>IF($B$49="N/A","","Room and Board Cost Per Day")</f>
        <v>Room and Board Cost Per Day</v>
      </c>
      <c r="D91" s="253" t="str">
        <f>'Adjusted Schedule 3'!P38</f>
        <v/>
      </c>
      <c r="E91" s="253" t="str">
        <f>'As-Filed Schedule 3'!P37</f>
        <v/>
      </c>
      <c r="F91" s="253" t="str">
        <f t="shared" si="10"/>
        <v/>
      </c>
    </row>
    <row r="92" spans="1:6" x14ac:dyDescent="0.35">
      <c r="A92" s="254"/>
      <c r="B92" t="str">
        <f>IF($B$49="N/A","","Services Cost Per Day")</f>
        <v>Services Cost Per Day</v>
      </c>
      <c r="D92" s="253" t="str">
        <f>'Adjusted Schedule 3'!R38</f>
        <v/>
      </c>
      <c r="E92" s="253" t="str">
        <f>'As-Filed Schedule 3'!R37</f>
        <v/>
      </c>
      <c r="F92" s="253" t="str">
        <f t="shared" si="10"/>
        <v/>
      </c>
    </row>
    <row r="93" spans="1:6" x14ac:dyDescent="0.35">
      <c r="A93" s="254"/>
    </row>
    <row r="94" spans="1:6" x14ac:dyDescent="0.35">
      <c r="A94" s="254" t="s">
        <v>526</v>
      </c>
      <c r="B94" s="476">
        <f>'Adjusted Schedule 3'!B43:C43</f>
        <v>0</v>
      </c>
      <c r="C94" s="476"/>
    </row>
    <row r="95" spans="1:6" x14ac:dyDescent="0.35">
      <c r="A95" s="254"/>
      <c r="B95" t="str">
        <f>IF($B$49="N/A","","Census Days")</f>
        <v>Census Days</v>
      </c>
      <c r="D95" s="13">
        <f>'Adjusted Schedule 3'!K43</f>
        <v>0</v>
      </c>
      <c r="E95" s="13">
        <f>'As-Filed Schedule 3'!K42</f>
        <v>0</v>
      </c>
      <c r="F95" s="13">
        <f>D95-E95</f>
        <v>0</v>
      </c>
    </row>
    <row r="96" spans="1:6" x14ac:dyDescent="0.35">
      <c r="A96" s="254"/>
      <c r="B96" t="str">
        <f>IF($B$49="N/A","","Total Expense")</f>
        <v>Total Expense</v>
      </c>
      <c r="D96" s="248">
        <f>'Adjusted Schedule 3'!M43</f>
        <v>0</v>
      </c>
      <c r="E96" s="248">
        <f>'As-Filed Schedule 3'!M42</f>
        <v>0</v>
      </c>
      <c r="F96" s="248">
        <f t="shared" ref="F96:F97" si="11">D96-E96</f>
        <v>0</v>
      </c>
    </row>
    <row r="97" spans="1:6" x14ac:dyDescent="0.35">
      <c r="A97" s="254"/>
      <c r="B97" t="str">
        <f>IF($B$49="N/A","","Room and Board Expense")</f>
        <v>Room and Board Expense</v>
      </c>
      <c r="D97" s="248">
        <f>'Adjusted Schedule 3'!O43</f>
        <v>0</v>
      </c>
      <c r="E97" s="248">
        <f>'As-Filed Schedule 3'!O42</f>
        <v>0</v>
      </c>
      <c r="F97" s="248">
        <f t="shared" si="11"/>
        <v>0</v>
      </c>
    </row>
    <row r="98" spans="1:6" x14ac:dyDescent="0.35">
      <c r="A98" s="254"/>
      <c r="B98" t="str">
        <f>IF($B$49="N/A","","Services Expense")</f>
        <v>Services Expense</v>
      </c>
      <c r="D98" s="255" t="str">
        <f>'Adjusted Schedule 3'!Q43</f>
        <v/>
      </c>
      <c r="E98" s="255" t="str">
        <f>'As-Filed Schedule 3'!Q42</f>
        <v/>
      </c>
      <c r="F98" s="255" t="str">
        <f>IF(E98="","",D98-E98)</f>
        <v/>
      </c>
    </row>
    <row r="99" spans="1:6" s="1" customFormat="1" x14ac:dyDescent="0.35">
      <c r="A99" s="254"/>
      <c r="B99" s="1" t="str">
        <f>IF($B$49="N/A","","Facility Total Cost Per Day")</f>
        <v>Facility Total Cost Per Day</v>
      </c>
      <c r="D99" s="251" t="str">
        <f>'Adjusted Schedule 3'!N43</f>
        <v/>
      </c>
      <c r="E99" s="251" t="str">
        <f>'As-Filed Schedule 3'!N42</f>
        <v/>
      </c>
      <c r="F99" s="251" t="str">
        <f t="shared" ref="F99:F101" si="12">IF(E99="","",D99-E99)</f>
        <v/>
      </c>
    </row>
    <row r="100" spans="1:6" x14ac:dyDescent="0.35">
      <c r="A100" s="254"/>
      <c r="B100" t="str">
        <f>IF($B$49="N/A","","Room and Board Cost Per Day")</f>
        <v>Room and Board Cost Per Day</v>
      </c>
      <c r="D100" s="253" t="str">
        <f>'Adjusted Schedule 3'!P43</f>
        <v/>
      </c>
      <c r="E100" s="253" t="str">
        <f>'As-Filed Schedule 3'!P42</f>
        <v/>
      </c>
      <c r="F100" s="253" t="str">
        <f t="shared" si="12"/>
        <v/>
      </c>
    </row>
    <row r="101" spans="1:6" x14ac:dyDescent="0.35">
      <c r="A101" s="254"/>
      <c r="B101" t="str">
        <f>IF($B$49="N/A","","Services Cost Per Day")</f>
        <v>Services Cost Per Day</v>
      </c>
      <c r="D101" s="253" t="str">
        <f>'Adjusted Schedule 3'!R43</f>
        <v/>
      </c>
      <c r="E101" s="253" t="str">
        <f>'As-Filed Schedule 3'!R42</f>
        <v/>
      </c>
      <c r="F101" s="253" t="str">
        <f t="shared" si="12"/>
        <v/>
      </c>
    </row>
    <row r="102" spans="1:6" x14ac:dyDescent="0.35">
      <c r="A102" s="254"/>
    </row>
    <row r="103" spans="1:6" x14ac:dyDescent="0.35">
      <c r="A103" s="254" t="s">
        <v>527</v>
      </c>
      <c r="B103" s="476">
        <f>'Adjusted Schedule 3'!B48:C48</f>
        <v>0</v>
      </c>
      <c r="C103" s="476"/>
    </row>
    <row r="104" spans="1:6" x14ac:dyDescent="0.35">
      <c r="A104" s="254"/>
      <c r="B104" t="str">
        <f>IF($B$49="N/A","","Census Days")</f>
        <v>Census Days</v>
      </c>
      <c r="D104" s="13">
        <f>'Adjusted Schedule 3'!K48</f>
        <v>0</v>
      </c>
      <c r="E104" s="13">
        <f>'As-Filed Schedule 3'!K47</f>
        <v>0</v>
      </c>
      <c r="F104" s="13">
        <f>D104-E104</f>
        <v>0</v>
      </c>
    </row>
    <row r="105" spans="1:6" x14ac:dyDescent="0.35">
      <c r="A105" s="254"/>
      <c r="B105" t="str">
        <f>IF($B$49="N/A","","Total Expense")</f>
        <v>Total Expense</v>
      </c>
      <c r="D105" s="248">
        <f>'Adjusted Schedule 3'!M48</f>
        <v>0</v>
      </c>
      <c r="E105" s="248">
        <f>'As-Filed Schedule 3'!M47</f>
        <v>0</v>
      </c>
      <c r="F105" s="248">
        <f t="shared" ref="F105:F106" si="13">D105-E105</f>
        <v>0</v>
      </c>
    </row>
    <row r="106" spans="1:6" x14ac:dyDescent="0.35">
      <c r="A106" s="254"/>
      <c r="B106" t="str">
        <f>IF($B$49="N/A","","Room and Board Expense")</f>
        <v>Room and Board Expense</v>
      </c>
      <c r="D106" s="248">
        <f>'Adjusted Schedule 3'!O48</f>
        <v>0</v>
      </c>
      <c r="E106" s="248">
        <f>'As-Filed Schedule 3'!O47</f>
        <v>0</v>
      </c>
      <c r="F106" s="248">
        <f t="shared" si="13"/>
        <v>0</v>
      </c>
    </row>
    <row r="107" spans="1:6" x14ac:dyDescent="0.35">
      <c r="A107" s="254"/>
      <c r="B107" t="str">
        <f>IF($B$49="N/A","","Services Expense")</f>
        <v>Services Expense</v>
      </c>
      <c r="D107" s="255" t="str">
        <f>'Adjusted Schedule 3'!Q48</f>
        <v/>
      </c>
      <c r="E107" s="255" t="str">
        <f>'As-Filed Schedule 3'!Q47</f>
        <v/>
      </c>
      <c r="F107" s="255" t="str">
        <f>IF(E107="","",D107-E107)</f>
        <v/>
      </c>
    </row>
    <row r="108" spans="1:6" s="1" customFormat="1" x14ac:dyDescent="0.35">
      <c r="A108" s="254"/>
      <c r="B108" s="1" t="str">
        <f>IF($B$49="N/A","","Facility Total Cost Per Day")</f>
        <v>Facility Total Cost Per Day</v>
      </c>
      <c r="D108" s="251" t="str">
        <f>'Adjusted Schedule 3'!N48</f>
        <v/>
      </c>
      <c r="E108" s="251" t="str">
        <f>'As-Filed Schedule 3'!N47</f>
        <v/>
      </c>
      <c r="F108" s="251" t="str">
        <f t="shared" ref="F108:F110" si="14">IF(E108="","",D108-E108)</f>
        <v/>
      </c>
    </row>
    <row r="109" spans="1:6" x14ac:dyDescent="0.35">
      <c r="A109" s="254"/>
      <c r="B109" t="str">
        <f>IF($B$49="N/A","","Room and Board Cost Per Day")</f>
        <v>Room and Board Cost Per Day</v>
      </c>
      <c r="D109" s="253" t="str">
        <f>'Adjusted Schedule 3'!P48</f>
        <v/>
      </c>
      <c r="E109" s="253" t="str">
        <f>'As-Filed Schedule 3'!P47</f>
        <v/>
      </c>
      <c r="F109" s="253" t="str">
        <f t="shared" si="14"/>
        <v/>
      </c>
    </row>
    <row r="110" spans="1:6" x14ac:dyDescent="0.35">
      <c r="A110" s="254"/>
      <c r="B110" t="str">
        <f>IF($B$49="N/A","","Services Cost Per Day")</f>
        <v>Services Cost Per Day</v>
      </c>
      <c r="D110" s="253" t="str">
        <f>'Adjusted Schedule 3'!R48</f>
        <v/>
      </c>
      <c r="E110" s="253" t="str">
        <f>'As-Filed Schedule 3'!R47</f>
        <v/>
      </c>
      <c r="F110" s="253" t="str">
        <f t="shared" si="14"/>
        <v/>
      </c>
    </row>
    <row r="111" spans="1:6" x14ac:dyDescent="0.35">
      <c r="A111" s="254"/>
      <c r="B111" s="392"/>
    </row>
    <row r="112" spans="1:6" x14ac:dyDescent="0.35">
      <c r="A112" s="254" t="s">
        <v>528</v>
      </c>
      <c r="B112" s="476">
        <f>'Adjusted Schedule 3'!B53:C53</f>
        <v>0</v>
      </c>
      <c r="C112" s="476"/>
    </row>
    <row r="113" spans="1:6" x14ac:dyDescent="0.35">
      <c r="A113" s="254"/>
      <c r="B113" t="str">
        <f>IF($B$49="N/A","","Census Days")</f>
        <v>Census Days</v>
      </c>
      <c r="D113" s="13">
        <f>'Adjusted Schedule 3'!K53</f>
        <v>0</v>
      </c>
      <c r="E113" s="13">
        <f>'As-Filed Schedule 3'!K52</f>
        <v>0</v>
      </c>
      <c r="F113" s="13">
        <f>D113-E113</f>
        <v>0</v>
      </c>
    </row>
    <row r="114" spans="1:6" x14ac:dyDescent="0.35">
      <c r="A114" s="254"/>
      <c r="B114" t="str">
        <f>IF($B$49="N/A","","Total Expense")</f>
        <v>Total Expense</v>
      </c>
      <c r="D114" s="248">
        <f>'Adjusted Schedule 3'!M53</f>
        <v>0</v>
      </c>
      <c r="E114" s="248">
        <f>'As-Filed Schedule 3'!M52</f>
        <v>0</v>
      </c>
      <c r="F114" s="248">
        <f t="shared" ref="F114:F115" si="15">D114-E114</f>
        <v>0</v>
      </c>
    </row>
    <row r="115" spans="1:6" x14ac:dyDescent="0.35">
      <c r="A115" s="254"/>
      <c r="B115" t="str">
        <f>IF($B$49="N/A","","Room and Board Expense")</f>
        <v>Room and Board Expense</v>
      </c>
      <c r="D115" s="248">
        <f>'Adjusted Schedule 3'!O53</f>
        <v>0</v>
      </c>
      <c r="E115" s="248">
        <f>'As-Filed Schedule 3'!O52</f>
        <v>0</v>
      </c>
      <c r="F115" s="248">
        <f t="shared" si="15"/>
        <v>0</v>
      </c>
    </row>
    <row r="116" spans="1:6" x14ac:dyDescent="0.35">
      <c r="A116" s="254"/>
      <c r="B116" t="str">
        <f>IF($B$49="N/A","","Services Expense")</f>
        <v>Services Expense</v>
      </c>
      <c r="D116" s="255" t="str">
        <f>'Adjusted Schedule 3'!Q53</f>
        <v/>
      </c>
      <c r="E116" s="255" t="str">
        <f>'As-Filed Schedule 3'!Q52</f>
        <v/>
      </c>
      <c r="F116" s="255" t="str">
        <f>IF(E116="","",D116-E116)</f>
        <v/>
      </c>
    </row>
    <row r="117" spans="1:6" s="1" customFormat="1" x14ac:dyDescent="0.35">
      <c r="A117" s="254"/>
      <c r="B117" s="1" t="str">
        <f>IF($B$49="N/A","","Facility Total Cost Per Day")</f>
        <v>Facility Total Cost Per Day</v>
      </c>
      <c r="D117" s="251" t="str">
        <f>'Adjusted Schedule 3'!N53</f>
        <v/>
      </c>
      <c r="E117" s="251" t="str">
        <f>'As-Filed Schedule 3'!N52</f>
        <v/>
      </c>
      <c r="F117" s="251" t="str">
        <f t="shared" ref="F117:F119" si="16">IF(E117="","",D117-E117)</f>
        <v/>
      </c>
    </row>
    <row r="118" spans="1:6" x14ac:dyDescent="0.35">
      <c r="A118" s="254"/>
      <c r="B118" t="str">
        <f>IF($B$49="N/A","","Room and Board Cost Per Day")</f>
        <v>Room and Board Cost Per Day</v>
      </c>
      <c r="D118" s="253" t="str">
        <f>'Adjusted Schedule 3'!P53</f>
        <v/>
      </c>
      <c r="E118" s="253" t="str">
        <f>'As-Filed Schedule 3'!P52</f>
        <v/>
      </c>
      <c r="F118" s="253" t="str">
        <f t="shared" si="16"/>
        <v/>
      </c>
    </row>
    <row r="119" spans="1:6" x14ac:dyDescent="0.35">
      <c r="A119" s="254"/>
      <c r="B119" t="str">
        <f>IF($B$49="N/A","","Services Cost Per Day")</f>
        <v>Services Cost Per Day</v>
      </c>
      <c r="D119" s="253" t="str">
        <f>'Adjusted Schedule 3'!R53</f>
        <v/>
      </c>
      <c r="E119" s="253" t="str">
        <f>'As-Filed Schedule 3'!R52</f>
        <v/>
      </c>
      <c r="F119" s="253" t="str">
        <f t="shared" si="16"/>
        <v/>
      </c>
    </row>
    <row r="120" spans="1:6" x14ac:dyDescent="0.35">
      <c r="A120" s="254"/>
    </row>
    <row r="121" spans="1:6" x14ac:dyDescent="0.35">
      <c r="A121" s="254" t="s">
        <v>529</v>
      </c>
      <c r="B121" s="476">
        <f>'Adjusted Schedule 3'!B58:C58</f>
        <v>0</v>
      </c>
      <c r="C121" s="476"/>
    </row>
    <row r="122" spans="1:6" x14ac:dyDescent="0.35">
      <c r="A122" s="254"/>
      <c r="B122" t="str">
        <f>IF($B$49="N/A","","Census Days")</f>
        <v>Census Days</v>
      </c>
      <c r="D122" s="13">
        <f>'Adjusted Schedule 3'!K58</f>
        <v>0</v>
      </c>
      <c r="E122" s="13">
        <f>'As-Filed Schedule 3'!K57</f>
        <v>0</v>
      </c>
      <c r="F122" s="13">
        <f>D122-E122</f>
        <v>0</v>
      </c>
    </row>
    <row r="123" spans="1:6" x14ac:dyDescent="0.35">
      <c r="A123" s="254"/>
      <c r="B123" t="str">
        <f>IF($B$49="N/A","","Total Expense")</f>
        <v>Total Expense</v>
      </c>
      <c r="D123" s="248">
        <f>'Adjusted Schedule 3'!M58</f>
        <v>0</v>
      </c>
      <c r="E123" s="248">
        <f>'As-Filed Schedule 3'!M57</f>
        <v>0</v>
      </c>
      <c r="F123" s="248">
        <f t="shared" ref="F123:F124" si="17">D123-E123</f>
        <v>0</v>
      </c>
    </row>
    <row r="124" spans="1:6" x14ac:dyDescent="0.35">
      <c r="A124" s="254"/>
      <c r="B124" t="str">
        <f>IF($B$49="N/A","","Room and Board Expense")</f>
        <v>Room and Board Expense</v>
      </c>
      <c r="D124" s="248">
        <f>'Adjusted Schedule 3'!O58</f>
        <v>0</v>
      </c>
      <c r="E124" s="248">
        <f>'As-Filed Schedule 3'!O57</f>
        <v>0</v>
      </c>
      <c r="F124" s="248">
        <f t="shared" si="17"/>
        <v>0</v>
      </c>
    </row>
    <row r="125" spans="1:6" x14ac:dyDescent="0.35">
      <c r="A125" s="254"/>
      <c r="B125" t="str">
        <f>IF($B$49="N/A","","Services Expense")</f>
        <v>Services Expense</v>
      </c>
      <c r="D125" s="255" t="str">
        <f>'Adjusted Schedule 3'!Q58</f>
        <v/>
      </c>
      <c r="E125" s="255" t="str">
        <f>'As-Filed Schedule 3'!Q57</f>
        <v/>
      </c>
      <c r="F125" s="255" t="str">
        <f>IF(E125="","",D125-E125)</f>
        <v/>
      </c>
    </row>
    <row r="126" spans="1:6" s="1" customFormat="1" x14ac:dyDescent="0.35">
      <c r="A126" s="254"/>
      <c r="B126" s="1" t="str">
        <f>IF($B$49="N/A","","Facility Total Cost Per Day")</f>
        <v>Facility Total Cost Per Day</v>
      </c>
      <c r="D126" s="251" t="str">
        <f>'Adjusted Schedule 3'!N58</f>
        <v/>
      </c>
      <c r="E126" s="251" t="str">
        <f>'As-Filed Schedule 3'!N57</f>
        <v/>
      </c>
      <c r="F126" s="251" t="str">
        <f t="shared" ref="F126:F128" si="18">IF(E126="","",D126-E126)</f>
        <v/>
      </c>
    </row>
    <row r="127" spans="1:6" x14ac:dyDescent="0.35">
      <c r="A127" s="254"/>
      <c r="B127" t="str">
        <f>IF($B$49="N/A","","Room and Board Cost Per Day")</f>
        <v>Room and Board Cost Per Day</v>
      </c>
      <c r="D127" s="253" t="str">
        <f>'Adjusted Schedule 3'!P58</f>
        <v/>
      </c>
      <c r="E127" s="253" t="str">
        <f>'As-Filed Schedule 3'!P57</f>
        <v/>
      </c>
      <c r="F127" s="253" t="str">
        <f t="shared" si="18"/>
        <v/>
      </c>
    </row>
    <row r="128" spans="1:6" x14ac:dyDescent="0.35">
      <c r="A128" s="254"/>
      <c r="B128" t="str">
        <f>IF($B$49="N/A","","Services Cost Per Day")</f>
        <v>Services Cost Per Day</v>
      </c>
      <c r="D128" s="253" t="str">
        <f>'Adjusted Schedule 3'!R58</f>
        <v/>
      </c>
      <c r="E128" s="253" t="str">
        <f>'As-Filed Schedule 3'!R57</f>
        <v/>
      </c>
      <c r="F128" s="253" t="str">
        <f t="shared" si="18"/>
        <v/>
      </c>
    </row>
    <row r="129" spans="1:6" x14ac:dyDescent="0.35">
      <c r="A129" s="254"/>
    </row>
    <row r="130" spans="1:6" x14ac:dyDescent="0.35">
      <c r="A130" s="254" t="s">
        <v>530</v>
      </c>
      <c r="B130" s="476">
        <f>'Adjusted Schedule 3'!B63:C63</f>
        <v>0</v>
      </c>
      <c r="C130" s="476"/>
    </row>
    <row r="131" spans="1:6" x14ac:dyDescent="0.35">
      <c r="A131" s="254"/>
      <c r="B131" t="str">
        <f>IF($B$49="N/A","","Census Days")</f>
        <v>Census Days</v>
      </c>
      <c r="D131" s="13">
        <f>'Adjusted Schedule 3'!K63</f>
        <v>0</v>
      </c>
      <c r="E131" s="13">
        <f>'As-Filed Schedule 3'!K62</f>
        <v>0</v>
      </c>
      <c r="F131" s="13">
        <f>D131-E131</f>
        <v>0</v>
      </c>
    </row>
    <row r="132" spans="1:6" x14ac:dyDescent="0.35">
      <c r="A132" s="254"/>
      <c r="B132" t="str">
        <f>IF($B$49="N/A","","Total Expense")</f>
        <v>Total Expense</v>
      </c>
      <c r="D132" s="248">
        <f>'Adjusted Schedule 3'!M63</f>
        <v>0</v>
      </c>
      <c r="E132" s="248">
        <f>'As-Filed Schedule 3'!M62</f>
        <v>0</v>
      </c>
      <c r="F132" s="248">
        <f t="shared" ref="F132:F133" si="19">D132-E132</f>
        <v>0</v>
      </c>
    </row>
    <row r="133" spans="1:6" x14ac:dyDescent="0.35">
      <c r="A133" s="254"/>
      <c r="B133" t="str">
        <f>IF($B$49="N/A","","Room and Board Expense")</f>
        <v>Room and Board Expense</v>
      </c>
      <c r="D133" s="248">
        <f>'Adjusted Schedule 3'!O63</f>
        <v>0</v>
      </c>
      <c r="E133" s="248">
        <f>'As-Filed Schedule 3'!O62</f>
        <v>0</v>
      </c>
      <c r="F133" s="248">
        <f t="shared" si="19"/>
        <v>0</v>
      </c>
    </row>
    <row r="134" spans="1:6" x14ac:dyDescent="0.35">
      <c r="A134" s="254"/>
      <c r="B134" t="str">
        <f>IF($B$49="N/A","","Services Expense")</f>
        <v>Services Expense</v>
      </c>
      <c r="D134" s="255" t="str">
        <f>'Adjusted Schedule 3'!Q63</f>
        <v/>
      </c>
      <c r="E134" s="255" t="str">
        <f>'As-Filed Schedule 3'!Q62</f>
        <v/>
      </c>
      <c r="F134" s="255" t="str">
        <f>IF(E134="","",D134-E134)</f>
        <v/>
      </c>
    </row>
    <row r="135" spans="1:6" s="1" customFormat="1" x14ac:dyDescent="0.35">
      <c r="A135" s="254"/>
      <c r="B135" s="1" t="str">
        <f>IF($B$49="N/A","","Facility Total Cost Per Day")</f>
        <v>Facility Total Cost Per Day</v>
      </c>
      <c r="D135" s="251" t="str">
        <f>'Adjusted Schedule 3'!N63</f>
        <v/>
      </c>
      <c r="E135" s="251" t="str">
        <f>'As-Filed Schedule 3'!N62</f>
        <v/>
      </c>
      <c r="F135" s="251" t="str">
        <f t="shared" ref="F135:F137" si="20">IF(E135="","",D135-E135)</f>
        <v/>
      </c>
    </row>
    <row r="136" spans="1:6" x14ac:dyDescent="0.35">
      <c r="A136" s="254"/>
      <c r="B136" t="str">
        <f>IF($B$49="N/A","","Room and Board Cost Per Day")</f>
        <v>Room and Board Cost Per Day</v>
      </c>
      <c r="D136" s="253" t="str">
        <f>'Adjusted Schedule 3'!P63</f>
        <v/>
      </c>
      <c r="E136" s="253" t="str">
        <f>'As-Filed Schedule 3'!P62</f>
        <v/>
      </c>
      <c r="F136" s="253" t="str">
        <f t="shared" si="20"/>
        <v/>
      </c>
    </row>
    <row r="137" spans="1:6" x14ac:dyDescent="0.35">
      <c r="A137" s="254"/>
      <c r="B137" t="str">
        <f>IF($B$49="N/A","","Services Cost Per Day")</f>
        <v>Services Cost Per Day</v>
      </c>
      <c r="D137" s="253" t="str">
        <f>'Adjusted Schedule 3'!R63</f>
        <v/>
      </c>
      <c r="E137" s="253" t="str">
        <f>'As-Filed Schedule 3'!R62</f>
        <v/>
      </c>
      <c r="F137" s="253" t="str">
        <f t="shared" si="20"/>
        <v/>
      </c>
    </row>
    <row r="138" spans="1:6" x14ac:dyDescent="0.35">
      <c r="A138" s="254"/>
    </row>
    <row r="139" spans="1:6" x14ac:dyDescent="0.35">
      <c r="A139" s="254" t="s">
        <v>531</v>
      </c>
      <c r="B139" s="476">
        <f>'Adjusted Schedule 3'!B68:C68</f>
        <v>0</v>
      </c>
      <c r="C139" s="476"/>
    </row>
    <row r="140" spans="1:6" x14ac:dyDescent="0.35">
      <c r="A140" s="254"/>
      <c r="B140" t="str">
        <f>IF($B$49="N/A","","Census Days")</f>
        <v>Census Days</v>
      </c>
      <c r="D140" s="13">
        <f>'Adjusted Schedule 3'!K68</f>
        <v>0</v>
      </c>
      <c r="E140" s="13">
        <f>'As-Filed Schedule 3'!K67</f>
        <v>0</v>
      </c>
      <c r="F140" s="13">
        <f>D140-E140</f>
        <v>0</v>
      </c>
    </row>
    <row r="141" spans="1:6" x14ac:dyDescent="0.35">
      <c r="A141" s="254"/>
      <c r="B141" t="str">
        <f>IF($B$49="N/A","","Total Expense")</f>
        <v>Total Expense</v>
      </c>
      <c r="D141" s="248">
        <f>'Adjusted Schedule 3'!M68</f>
        <v>0</v>
      </c>
      <c r="E141" s="248">
        <f>'As-Filed Schedule 3'!M67</f>
        <v>0</v>
      </c>
      <c r="F141" s="248">
        <f t="shared" ref="F141:F142" si="21">D141-E141</f>
        <v>0</v>
      </c>
    </row>
    <row r="142" spans="1:6" x14ac:dyDescent="0.35">
      <c r="A142" s="254"/>
      <c r="B142" t="str">
        <f>IF($B$49="N/A","","Room and Board Expense")</f>
        <v>Room and Board Expense</v>
      </c>
      <c r="D142" s="248">
        <f>'Adjusted Schedule 3'!O68</f>
        <v>0</v>
      </c>
      <c r="E142" s="248">
        <f>'As-Filed Schedule 3'!O67</f>
        <v>0</v>
      </c>
      <c r="F142" s="248">
        <f t="shared" si="21"/>
        <v>0</v>
      </c>
    </row>
    <row r="143" spans="1:6" x14ac:dyDescent="0.35">
      <c r="A143" s="254"/>
      <c r="B143" t="str">
        <f>IF($B$49="N/A","","Services Expense")</f>
        <v>Services Expense</v>
      </c>
      <c r="D143" s="255" t="str">
        <f>'Adjusted Schedule 3'!Q68</f>
        <v/>
      </c>
      <c r="E143" s="255" t="str">
        <f>'As-Filed Schedule 3'!Q67</f>
        <v/>
      </c>
      <c r="F143" s="255" t="str">
        <f>IF(E143="","",D143-E143)</f>
        <v/>
      </c>
    </row>
    <row r="144" spans="1:6" s="1" customFormat="1" x14ac:dyDescent="0.35">
      <c r="A144" s="254"/>
      <c r="B144" s="1" t="str">
        <f>IF($B$49="N/A","","Facility Total Cost Per Day")</f>
        <v>Facility Total Cost Per Day</v>
      </c>
      <c r="D144" s="251" t="str">
        <f>'Adjusted Schedule 3'!N68</f>
        <v/>
      </c>
      <c r="E144" s="251" t="str">
        <f>'As-Filed Schedule 3'!N67</f>
        <v/>
      </c>
      <c r="F144" s="251" t="str">
        <f t="shared" ref="F144:F146" si="22">IF(E144="","",D144-E144)</f>
        <v/>
      </c>
    </row>
    <row r="145" spans="1:6" x14ac:dyDescent="0.35">
      <c r="A145" s="254"/>
      <c r="B145" t="str">
        <f>IF($B$49="N/A","","Room and Board Cost Per Day")</f>
        <v>Room and Board Cost Per Day</v>
      </c>
      <c r="D145" s="253" t="str">
        <f>'Adjusted Schedule 3'!P68</f>
        <v/>
      </c>
      <c r="E145" s="253" t="str">
        <f>'As-Filed Schedule 3'!P67</f>
        <v/>
      </c>
      <c r="F145" s="253" t="str">
        <f t="shared" si="22"/>
        <v/>
      </c>
    </row>
    <row r="146" spans="1:6" x14ac:dyDescent="0.35">
      <c r="A146" s="254"/>
      <c r="B146" t="str">
        <f>IF($B$49="N/A","","Services Cost Per Day")</f>
        <v>Services Cost Per Day</v>
      </c>
      <c r="D146" s="253" t="str">
        <f>'Adjusted Schedule 3'!R68</f>
        <v/>
      </c>
      <c r="E146" s="253" t="str">
        <f>'As-Filed Schedule 3'!R67</f>
        <v/>
      </c>
      <c r="F146" s="253" t="str">
        <f t="shared" si="22"/>
        <v/>
      </c>
    </row>
    <row r="147" spans="1:6" x14ac:dyDescent="0.35">
      <c r="A147" s="254"/>
    </row>
    <row r="148" spans="1:6" x14ac:dyDescent="0.35">
      <c r="A148" s="254" t="s">
        <v>532</v>
      </c>
      <c r="B148" s="476">
        <f>'Adjusted Schedule 3'!B73:C73</f>
        <v>0</v>
      </c>
      <c r="C148" s="476"/>
    </row>
    <row r="149" spans="1:6" x14ac:dyDescent="0.35">
      <c r="A149" s="254"/>
      <c r="B149" t="str">
        <f>IF($B$49="N/A","","Census Days")</f>
        <v>Census Days</v>
      </c>
      <c r="D149" s="13">
        <f>'Adjusted Schedule 3'!K73</f>
        <v>0</v>
      </c>
      <c r="E149" s="13">
        <f>'As-Filed Schedule 3'!K72</f>
        <v>0</v>
      </c>
      <c r="F149" s="13">
        <f>D149-E149</f>
        <v>0</v>
      </c>
    </row>
    <row r="150" spans="1:6" x14ac:dyDescent="0.35">
      <c r="A150" s="254"/>
      <c r="B150" t="str">
        <f>IF($B$49="N/A","","Total Expense")</f>
        <v>Total Expense</v>
      </c>
      <c r="D150" s="248">
        <f>'Adjusted Schedule 3'!M73</f>
        <v>0</v>
      </c>
      <c r="E150" s="248">
        <f>'As-Filed Schedule 3'!M72</f>
        <v>0</v>
      </c>
      <c r="F150" s="248">
        <f t="shared" ref="F150:F151" si="23">D150-E150</f>
        <v>0</v>
      </c>
    </row>
    <row r="151" spans="1:6" x14ac:dyDescent="0.35">
      <c r="A151" s="254"/>
      <c r="B151" t="str">
        <f>IF($B$49="N/A","","Room and Board Expense")</f>
        <v>Room and Board Expense</v>
      </c>
      <c r="D151" s="248">
        <f>'Adjusted Schedule 3'!O73</f>
        <v>0</v>
      </c>
      <c r="E151" s="248">
        <f>'As-Filed Schedule 3'!O72</f>
        <v>0</v>
      </c>
      <c r="F151" s="248">
        <f t="shared" si="23"/>
        <v>0</v>
      </c>
    </row>
    <row r="152" spans="1:6" x14ac:dyDescent="0.35">
      <c r="A152" s="254"/>
      <c r="B152" t="str">
        <f>IF($B$49="N/A","","Services Expense")</f>
        <v>Services Expense</v>
      </c>
      <c r="D152" s="255" t="str">
        <f>'Adjusted Schedule 3'!Q73</f>
        <v/>
      </c>
      <c r="E152" s="255" t="str">
        <f>'As-Filed Schedule 3'!Q72</f>
        <v/>
      </c>
      <c r="F152" s="255" t="str">
        <f>IF(E152="","",D152-E152)</f>
        <v/>
      </c>
    </row>
    <row r="153" spans="1:6" s="1" customFormat="1" x14ac:dyDescent="0.35">
      <c r="A153" s="254"/>
      <c r="B153" s="1" t="str">
        <f>IF($B$49="N/A","","Facility Total Cost Per Day")</f>
        <v>Facility Total Cost Per Day</v>
      </c>
      <c r="D153" s="251" t="str">
        <f>'Adjusted Schedule 3'!N73</f>
        <v/>
      </c>
      <c r="E153" s="251" t="str">
        <f>'As-Filed Schedule 3'!N72</f>
        <v/>
      </c>
      <c r="F153" s="251" t="str">
        <f t="shared" ref="F153:F155" si="24">IF(E153="","",D153-E153)</f>
        <v/>
      </c>
    </row>
    <row r="154" spans="1:6" x14ac:dyDescent="0.35">
      <c r="A154" s="254"/>
      <c r="B154" t="str">
        <f>IF($B$49="N/A","","Room and Board Cost Per Day")</f>
        <v>Room and Board Cost Per Day</v>
      </c>
      <c r="D154" s="253" t="str">
        <f>'Adjusted Schedule 3'!P73</f>
        <v/>
      </c>
      <c r="E154" s="253" t="str">
        <f>'As-Filed Schedule 3'!P72</f>
        <v/>
      </c>
      <c r="F154" s="253" t="str">
        <f t="shared" si="24"/>
        <v/>
      </c>
    </row>
    <row r="155" spans="1:6" x14ac:dyDescent="0.35">
      <c r="A155" s="254"/>
      <c r="B155" t="str">
        <f>IF($B$49="N/A","","Services Cost Per Day")</f>
        <v>Services Cost Per Day</v>
      </c>
      <c r="D155" s="253" t="str">
        <f>'Adjusted Schedule 3'!R73</f>
        <v/>
      </c>
      <c r="E155" s="253" t="str">
        <f>'As-Filed Schedule 3'!R72</f>
        <v/>
      </c>
      <c r="F155" s="253" t="str">
        <f t="shared" si="24"/>
        <v/>
      </c>
    </row>
    <row r="156" spans="1:6" x14ac:dyDescent="0.35">
      <c r="A156" s="254"/>
    </row>
    <row r="157" spans="1:6" x14ac:dyDescent="0.35">
      <c r="A157" s="254" t="s">
        <v>533</v>
      </c>
      <c r="B157" s="476">
        <f>'Adjusted Schedule 3'!B78:C78</f>
        <v>0</v>
      </c>
      <c r="C157" s="476"/>
    </row>
    <row r="158" spans="1:6" x14ac:dyDescent="0.35">
      <c r="A158" s="254"/>
      <c r="B158" t="str">
        <f>IF($B$49="N/A","","Census Days")</f>
        <v>Census Days</v>
      </c>
      <c r="D158" s="13">
        <f>'Adjusted Schedule 3'!K78</f>
        <v>0</v>
      </c>
      <c r="E158" s="13">
        <f>'As-Filed Schedule 3'!K77</f>
        <v>0</v>
      </c>
      <c r="F158" s="13">
        <f>D158-E158</f>
        <v>0</v>
      </c>
    </row>
    <row r="159" spans="1:6" x14ac:dyDescent="0.35">
      <c r="A159" s="254"/>
      <c r="B159" t="str">
        <f>IF($B$49="N/A","","Total Expense")</f>
        <v>Total Expense</v>
      </c>
      <c r="D159" s="248">
        <f>'Adjusted Schedule 3'!M78</f>
        <v>0</v>
      </c>
      <c r="E159" s="248">
        <f>'As-Filed Schedule 3'!M77</f>
        <v>0</v>
      </c>
      <c r="F159" s="248">
        <f t="shared" ref="F159:F160" si="25">D159-E159</f>
        <v>0</v>
      </c>
    </row>
    <row r="160" spans="1:6" x14ac:dyDescent="0.35">
      <c r="A160" s="254"/>
      <c r="B160" t="str">
        <f>IF($B$49="N/A","","Room and Board Expense")</f>
        <v>Room and Board Expense</v>
      </c>
      <c r="D160" s="248">
        <f>'Adjusted Schedule 3'!O78</f>
        <v>0</v>
      </c>
      <c r="E160" s="248">
        <f>'As-Filed Schedule 3'!O77</f>
        <v>0</v>
      </c>
      <c r="F160" s="248">
        <f t="shared" si="25"/>
        <v>0</v>
      </c>
    </row>
    <row r="161" spans="1:6" x14ac:dyDescent="0.35">
      <c r="A161" s="254"/>
      <c r="B161" t="str">
        <f>IF($B$49="N/A","","Services Expense")</f>
        <v>Services Expense</v>
      </c>
      <c r="D161" s="255" t="str">
        <f>'Adjusted Schedule 3'!Q78</f>
        <v/>
      </c>
      <c r="E161" s="255" t="str">
        <f>'As-Filed Schedule 3'!Q77</f>
        <v/>
      </c>
      <c r="F161" s="255" t="str">
        <f>IF(E161="","",D161-E161)</f>
        <v/>
      </c>
    </row>
    <row r="162" spans="1:6" s="1" customFormat="1" x14ac:dyDescent="0.35">
      <c r="A162" s="254"/>
      <c r="B162" s="1" t="str">
        <f>IF($B$49="N/A","","Facility Total Cost Per Day")</f>
        <v>Facility Total Cost Per Day</v>
      </c>
      <c r="D162" s="251" t="str">
        <f>'Adjusted Schedule 3'!N78</f>
        <v/>
      </c>
      <c r="E162" s="251" t="str">
        <f>'As-Filed Schedule 3'!N77</f>
        <v/>
      </c>
      <c r="F162" s="251" t="str">
        <f t="shared" ref="F162:F164" si="26">IF(E162="","",D162-E162)</f>
        <v/>
      </c>
    </row>
    <row r="163" spans="1:6" x14ac:dyDescent="0.35">
      <c r="A163" s="254"/>
      <c r="B163" t="str">
        <f>IF($B$49="N/A","","Room and Board Cost Per Day")</f>
        <v>Room and Board Cost Per Day</v>
      </c>
      <c r="D163" s="253" t="str">
        <f>'Adjusted Schedule 3'!P78</f>
        <v/>
      </c>
      <c r="E163" s="253" t="str">
        <f>'As-Filed Schedule 3'!P77</f>
        <v/>
      </c>
      <c r="F163" s="253" t="str">
        <f t="shared" si="26"/>
        <v/>
      </c>
    </row>
    <row r="164" spans="1:6" x14ac:dyDescent="0.35">
      <c r="A164" s="254"/>
      <c r="B164" t="str">
        <f>IF($B$49="N/A","","Services Cost Per Day")</f>
        <v>Services Cost Per Day</v>
      </c>
      <c r="D164" s="253" t="str">
        <f>'Adjusted Schedule 3'!R78</f>
        <v/>
      </c>
      <c r="E164" s="253" t="str">
        <f>'As-Filed Schedule 3'!R77</f>
        <v/>
      </c>
      <c r="F164" s="253" t="str">
        <f t="shared" si="26"/>
        <v/>
      </c>
    </row>
    <row r="165" spans="1:6" x14ac:dyDescent="0.35">
      <c r="A165" s="254"/>
    </row>
    <row r="166" spans="1:6" x14ac:dyDescent="0.35">
      <c r="A166" s="254" t="s">
        <v>534</v>
      </c>
      <c r="B166" s="476">
        <f>'Adjusted Schedule 3'!B83:C83</f>
        <v>0</v>
      </c>
      <c r="C166" s="476"/>
    </row>
    <row r="167" spans="1:6" x14ac:dyDescent="0.35">
      <c r="A167" s="254"/>
      <c r="B167" t="str">
        <f>IF($B$49="N/A","","Census Days")</f>
        <v>Census Days</v>
      </c>
      <c r="D167" s="13">
        <f>'Adjusted Schedule 3'!K83</f>
        <v>0</v>
      </c>
      <c r="E167" s="13">
        <f>'As-Filed Schedule 3'!K82</f>
        <v>0</v>
      </c>
      <c r="F167" s="13">
        <f>D167-E167</f>
        <v>0</v>
      </c>
    </row>
    <row r="168" spans="1:6" x14ac:dyDescent="0.35">
      <c r="A168" s="254"/>
      <c r="B168" t="str">
        <f>IF($B$49="N/A","","Total Expense")</f>
        <v>Total Expense</v>
      </c>
      <c r="D168" s="248">
        <f>'Adjusted Schedule 3'!M83</f>
        <v>0</v>
      </c>
      <c r="E168" s="248">
        <f>'As-Filed Schedule 3'!M82</f>
        <v>0</v>
      </c>
      <c r="F168" s="248">
        <f t="shared" ref="F168:F169" si="27">D168-E168</f>
        <v>0</v>
      </c>
    </row>
    <row r="169" spans="1:6" x14ac:dyDescent="0.35">
      <c r="A169" s="254"/>
      <c r="B169" t="str">
        <f>IF($B$49="N/A","","Room and Board Expense")</f>
        <v>Room and Board Expense</v>
      </c>
      <c r="D169" s="248">
        <f>'Adjusted Schedule 3'!O83</f>
        <v>0</v>
      </c>
      <c r="E169" s="248">
        <f>'As-Filed Schedule 3'!O82</f>
        <v>0</v>
      </c>
      <c r="F169" s="248">
        <f t="shared" si="27"/>
        <v>0</v>
      </c>
    </row>
    <row r="170" spans="1:6" x14ac:dyDescent="0.35">
      <c r="A170" s="254"/>
      <c r="B170" t="str">
        <f>IF($B$49="N/A","","Services Expense")</f>
        <v>Services Expense</v>
      </c>
      <c r="D170" s="255" t="str">
        <f>'Adjusted Schedule 3'!Q83</f>
        <v/>
      </c>
      <c r="E170" s="255" t="str">
        <f>'As-Filed Schedule 3'!Q82</f>
        <v/>
      </c>
      <c r="F170" s="255" t="str">
        <f>IF(E170="","",D170-E170)</f>
        <v/>
      </c>
    </row>
    <row r="171" spans="1:6" s="1" customFormat="1" x14ac:dyDescent="0.35">
      <c r="A171" s="254"/>
      <c r="B171" s="1" t="str">
        <f>IF($B$49="N/A","","Facility Total Cost Per Day")</f>
        <v>Facility Total Cost Per Day</v>
      </c>
      <c r="D171" s="251" t="str">
        <f>'Adjusted Schedule 3'!N83</f>
        <v/>
      </c>
      <c r="E171" s="251" t="str">
        <f>'As-Filed Schedule 3'!N82</f>
        <v/>
      </c>
      <c r="F171" s="251" t="str">
        <f t="shared" ref="F171:F173" si="28">IF(E171="","",D171-E171)</f>
        <v/>
      </c>
    </row>
    <row r="172" spans="1:6" x14ac:dyDescent="0.35">
      <c r="A172" s="254"/>
      <c r="B172" t="str">
        <f>IF($B$49="N/A","","Room and Board Cost Per Day")</f>
        <v>Room and Board Cost Per Day</v>
      </c>
      <c r="D172" s="253" t="str">
        <f>'Adjusted Schedule 3'!P83</f>
        <v/>
      </c>
      <c r="E172" s="253" t="str">
        <f>'As-Filed Schedule 3'!P82</f>
        <v/>
      </c>
      <c r="F172" s="253" t="str">
        <f t="shared" si="28"/>
        <v/>
      </c>
    </row>
    <row r="173" spans="1:6" x14ac:dyDescent="0.35">
      <c r="A173" s="254"/>
      <c r="B173" t="str">
        <f>IF($B$49="N/A","","Services Cost Per Day")</f>
        <v>Services Cost Per Day</v>
      </c>
      <c r="D173" s="253" t="str">
        <f>'Adjusted Schedule 3'!R83</f>
        <v/>
      </c>
      <c r="E173" s="253" t="str">
        <f>'As-Filed Schedule 3'!R82</f>
        <v/>
      </c>
      <c r="F173" s="253" t="str">
        <f t="shared" si="28"/>
        <v/>
      </c>
    </row>
    <row r="174" spans="1:6" x14ac:dyDescent="0.35">
      <c r="A174" s="254"/>
    </row>
    <row r="175" spans="1:6" x14ac:dyDescent="0.35">
      <c r="A175" s="254" t="s">
        <v>535</v>
      </c>
      <c r="B175" s="476">
        <f>'Adjusted Schedule 3'!B88:C88</f>
        <v>0</v>
      </c>
      <c r="C175" s="476"/>
    </row>
    <row r="176" spans="1:6" x14ac:dyDescent="0.35">
      <c r="A176" s="254"/>
      <c r="B176" t="str">
        <f>IF($B$49="N/A","","Census Days")</f>
        <v>Census Days</v>
      </c>
      <c r="D176" s="13">
        <f>'Adjusted Schedule 3'!K88</f>
        <v>0</v>
      </c>
      <c r="E176" s="13">
        <f>'As-Filed Schedule 3'!K87</f>
        <v>0</v>
      </c>
      <c r="F176" s="13">
        <f>D176-E176</f>
        <v>0</v>
      </c>
    </row>
    <row r="177" spans="1:6" x14ac:dyDescent="0.35">
      <c r="A177" s="254"/>
      <c r="B177" t="str">
        <f>IF($B$49="N/A","","Total Expense")</f>
        <v>Total Expense</v>
      </c>
      <c r="D177" s="248">
        <f>'Adjusted Schedule 3'!M88</f>
        <v>0</v>
      </c>
      <c r="E177" s="248">
        <f>'As-Filed Schedule 3'!M87</f>
        <v>0</v>
      </c>
      <c r="F177" s="248">
        <f t="shared" ref="F177:F178" si="29">D177-E177</f>
        <v>0</v>
      </c>
    </row>
    <row r="178" spans="1:6" x14ac:dyDescent="0.35">
      <c r="A178" s="254"/>
      <c r="B178" t="str">
        <f>IF($B$49="N/A","","Room and Board Expense")</f>
        <v>Room and Board Expense</v>
      </c>
      <c r="D178" s="248">
        <f>'Adjusted Schedule 3'!O88</f>
        <v>0</v>
      </c>
      <c r="E178" s="248">
        <f>'As-Filed Schedule 3'!O87</f>
        <v>0</v>
      </c>
      <c r="F178" s="248">
        <f t="shared" si="29"/>
        <v>0</v>
      </c>
    </row>
    <row r="179" spans="1:6" x14ac:dyDescent="0.35">
      <c r="A179" s="254"/>
      <c r="B179" t="str">
        <f>IF($B$49="N/A","","Services Expense")</f>
        <v>Services Expense</v>
      </c>
      <c r="D179" s="255" t="str">
        <f>'Adjusted Schedule 3'!Q88</f>
        <v/>
      </c>
      <c r="E179" s="255" t="str">
        <f>'As-Filed Schedule 3'!Q87</f>
        <v/>
      </c>
      <c r="F179" s="255" t="str">
        <f>IF(E179="","",D179-E179)</f>
        <v/>
      </c>
    </row>
    <row r="180" spans="1:6" s="1" customFormat="1" x14ac:dyDescent="0.35">
      <c r="A180" s="254"/>
      <c r="B180" s="1" t="str">
        <f>IF($B$49="N/A","","Facility Total Cost Per Day")</f>
        <v>Facility Total Cost Per Day</v>
      </c>
      <c r="D180" s="251" t="str">
        <f>'Adjusted Schedule 3'!N88</f>
        <v/>
      </c>
      <c r="E180" s="251" t="str">
        <f>'As-Filed Schedule 3'!N87</f>
        <v/>
      </c>
      <c r="F180" s="251" t="str">
        <f t="shared" ref="F180:F182" si="30">IF(E180="","",D180-E180)</f>
        <v/>
      </c>
    </row>
    <row r="181" spans="1:6" x14ac:dyDescent="0.35">
      <c r="A181" s="254"/>
      <c r="B181" t="str">
        <f>IF($B$49="N/A","","Room and Board Cost Per Day")</f>
        <v>Room and Board Cost Per Day</v>
      </c>
      <c r="D181" s="253" t="str">
        <f>'Adjusted Schedule 3'!P88</f>
        <v/>
      </c>
      <c r="E181" s="253" t="str">
        <f>'As-Filed Schedule 3'!P87</f>
        <v/>
      </c>
      <c r="F181" s="253" t="str">
        <f t="shared" si="30"/>
        <v/>
      </c>
    </row>
    <row r="182" spans="1:6" x14ac:dyDescent="0.35">
      <c r="A182" s="254"/>
      <c r="B182" t="str">
        <f>IF($B$49="N/A","","Services Cost Per Day")</f>
        <v>Services Cost Per Day</v>
      </c>
      <c r="D182" s="253" t="str">
        <f>'Adjusted Schedule 3'!R88</f>
        <v/>
      </c>
      <c r="E182" s="253" t="str">
        <f>'As-Filed Schedule 3'!R87</f>
        <v/>
      </c>
      <c r="F182" s="253" t="str">
        <f t="shared" si="30"/>
        <v/>
      </c>
    </row>
    <row r="183" spans="1:6" x14ac:dyDescent="0.35">
      <c r="A183" s="254"/>
    </row>
    <row r="184" spans="1:6" x14ac:dyDescent="0.35">
      <c r="A184" s="254" t="s">
        <v>536</v>
      </c>
      <c r="B184" s="476">
        <f>'Adjusted Schedule 3'!B93:C93</f>
        <v>0</v>
      </c>
      <c r="C184" s="476"/>
    </row>
    <row r="185" spans="1:6" x14ac:dyDescent="0.35">
      <c r="A185" s="254"/>
      <c r="B185" t="str">
        <f>IF($B$49="N/A","","Census Days")</f>
        <v>Census Days</v>
      </c>
      <c r="D185" s="13">
        <f>'Adjusted Schedule 3'!K93</f>
        <v>0</v>
      </c>
      <c r="E185" s="13">
        <f>'As-Filed Schedule 3'!K92</f>
        <v>0</v>
      </c>
      <c r="F185" s="13">
        <f>D185-E185</f>
        <v>0</v>
      </c>
    </row>
    <row r="186" spans="1:6" x14ac:dyDescent="0.35">
      <c r="A186" s="254"/>
      <c r="B186" t="str">
        <f>IF($B$49="N/A","","Total Expense")</f>
        <v>Total Expense</v>
      </c>
      <c r="D186" s="248">
        <f>'Adjusted Schedule 3'!M93</f>
        <v>0</v>
      </c>
      <c r="E186" s="248">
        <f>'As-Filed Schedule 3'!M92</f>
        <v>0</v>
      </c>
      <c r="F186" s="248">
        <f t="shared" ref="F186:F187" si="31">D186-E186</f>
        <v>0</v>
      </c>
    </row>
    <row r="187" spans="1:6" x14ac:dyDescent="0.35">
      <c r="A187" s="254"/>
      <c r="B187" t="str">
        <f>IF($B$49="N/A","","Room and Board Expense")</f>
        <v>Room and Board Expense</v>
      </c>
      <c r="D187" s="248">
        <f>'Adjusted Schedule 3'!O93</f>
        <v>0</v>
      </c>
      <c r="E187" s="248">
        <f>'As-Filed Schedule 3'!O92</f>
        <v>0</v>
      </c>
      <c r="F187" s="248">
        <f t="shared" si="31"/>
        <v>0</v>
      </c>
    </row>
    <row r="188" spans="1:6" x14ac:dyDescent="0.35">
      <c r="A188" s="254"/>
      <c r="B188" t="str">
        <f>IF($B$49="N/A","","Services Expense")</f>
        <v>Services Expense</v>
      </c>
      <c r="D188" s="255" t="str">
        <f>'Adjusted Schedule 3'!Q93</f>
        <v/>
      </c>
      <c r="E188" s="255" t="str">
        <f>'As-Filed Schedule 3'!Q92</f>
        <v/>
      </c>
      <c r="F188" s="255" t="str">
        <f>IF(E188="","",D188-E188)</f>
        <v/>
      </c>
    </row>
    <row r="189" spans="1:6" s="1" customFormat="1" x14ac:dyDescent="0.35">
      <c r="A189" s="254"/>
      <c r="B189" s="1" t="str">
        <f>IF($B$49="N/A","","Facility Total Cost Per Day")</f>
        <v>Facility Total Cost Per Day</v>
      </c>
      <c r="D189" s="251" t="str">
        <f>'Adjusted Schedule 3'!N93</f>
        <v/>
      </c>
      <c r="E189" s="251" t="str">
        <f>'As-Filed Schedule 3'!N92</f>
        <v/>
      </c>
      <c r="F189" s="251" t="str">
        <f t="shared" ref="F189:F191" si="32">IF(E189="","",D189-E189)</f>
        <v/>
      </c>
    </row>
    <row r="190" spans="1:6" x14ac:dyDescent="0.35">
      <c r="A190" s="254"/>
      <c r="B190" t="str">
        <f>IF($B$49="N/A","","Room and Board Cost Per Day")</f>
        <v>Room and Board Cost Per Day</v>
      </c>
      <c r="D190" s="253" t="str">
        <f>'Adjusted Schedule 3'!P93</f>
        <v/>
      </c>
      <c r="E190" s="253" t="str">
        <f>'As-Filed Schedule 3'!P92</f>
        <v/>
      </c>
      <c r="F190" s="253" t="str">
        <f t="shared" si="32"/>
        <v/>
      </c>
    </row>
    <row r="191" spans="1:6" x14ac:dyDescent="0.35">
      <c r="A191" s="254"/>
      <c r="B191" t="str">
        <f>IF($B$49="N/A","","Services Cost Per Day")</f>
        <v>Services Cost Per Day</v>
      </c>
      <c r="D191" s="253" t="str">
        <f>'Adjusted Schedule 3'!R93</f>
        <v/>
      </c>
      <c r="E191" s="253" t="str">
        <f>'As-Filed Schedule 3'!R92</f>
        <v/>
      </c>
      <c r="F191" s="253" t="str">
        <f t="shared" si="32"/>
        <v/>
      </c>
    </row>
    <row r="192" spans="1:6" x14ac:dyDescent="0.35">
      <c r="A192" s="254"/>
    </row>
    <row r="193" spans="1:6" x14ac:dyDescent="0.35">
      <c r="A193" s="254" t="s">
        <v>537</v>
      </c>
      <c r="B193" s="476">
        <f>'Adjusted Schedule 3'!B98:C98</f>
        <v>0</v>
      </c>
      <c r="C193" s="476"/>
    </row>
    <row r="194" spans="1:6" x14ac:dyDescent="0.35">
      <c r="A194" s="254"/>
      <c r="B194" t="str">
        <f>IF($B$49="N/A","","Census Days")</f>
        <v>Census Days</v>
      </c>
      <c r="D194" s="13">
        <f>'Adjusted Schedule 3'!K98</f>
        <v>0</v>
      </c>
      <c r="E194" s="13">
        <f>'As-Filed Schedule 3'!K97</f>
        <v>0</v>
      </c>
      <c r="F194" s="13">
        <f>D194-E194</f>
        <v>0</v>
      </c>
    </row>
    <row r="195" spans="1:6" x14ac:dyDescent="0.35">
      <c r="A195" s="254"/>
      <c r="B195" t="str">
        <f>IF($B$49="N/A","","Total Expense")</f>
        <v>Total Expense</v>
      </c>
      <c r="D195" s="248">
        <f>'Adjusted Schedule 3'!M98</f>
        <v>0</v>
      </c>
      <c r="E195" s="248">
        <f>'As-Filed Schedule 3'!M97</f>
        <v>0</v>
      </c>
      <c r="F195" s="248">
        <f t="shared" ref="F195:F196" si="33">D195-E195</f>
        <v>0</v>
      </c>
    </row>
    <row r="196" spans="1:6" x14ac:dyDescent="0.35">
      <c r="A196" s="254"/>
      <c r="B196" t="str">
        <f>IF($B$49="N/A","","Room and Board Expense")</f>
        <v>Room and Board Expense</v>
      </c>
      <c r="D196" s="248">
        <f>'Adjusted Schedule 3'!O98</f>
        <v>0</v>
      </c>
      <c r="E196" s="248">
        <f>'As-Filed Schedule 3'!O97</f>
        <v>0</v>
      </c>
      <c r="F196" s="248">
        <f t="shared" si="33"/>
        <v>0</v>
      </c>
    </row>
    <row r="197" spans="1:6" x14ac:dyDescent="0.35">
      <c r="A197" s="254"/>
      <c r="B197" t="str">
        <f>IF($B$49="N/A","","Services Expense")</f>
        <v>Services Expense</v>
      </c>
      <c r="D197" s="255" t="str">
        <f>'Adjusted Schedule 3'!Q98</f>
        <v/>
      </c>
      <c r="E197" s="255" t="str">
        <f>'As-Filed Schedule 3'!Q97</f>
        <v/>
      </c>
      <c r="F197" s="255" t="str">
        <f>IF(E197="","",D197-E197)</f>
        <v/>
      </c>
    </row>
    <row r="198" spans="1:6" s="1" customFormat="1" x14ac:dyDescent="0.35">
      <c r="A198" s="254"/>
      <c r="B198" s="1" t="str">
        <f>IF($B$49="N/A","","Facility Total Cost Per Day")</f>
        <v>Facility Total Cost Per Day</v>
      </c>
      <c r="D198" s="251" t="str">
        <f>'Adjusted Schedule 3'!N98</f>
        <v/>
      </c>
      <c r="E198" s="251" t="str">
        <f>'As-Filed Schedule 3'!N97</f>
        <v/>
      </c>
      <c r="F198" s="251" t="str">
        <f t="shared" ref="F198:F200" si="34">IF(E198="","",D198-E198)</f>
        <v/>
      </c>
    </row>
    <row r="199" spans="1:6" x14ac:dyDescent="0.35">
      <c r="A199" s="254"/>
      <c r="B199" t="str">
        <f>IF($B$49="N/A","","Room and Board Cost Per Day")</f>
        <v>Room and Board Cost Per Day</v>
      </c>
      <c r="D199" s="253" t="str">
        <f>'Adjusted Schedule 3'!P98</f>
        <v/>
      </c>
      <c r="E199" s="253" t="str">
        <f>'As-Filed Schedule 3'!P97</f>
        <v/>
      </c>
      <c r="F199" s="253" t="str">
        <f t="shared" si="34"/>
        <v/>
      </c>
    </row>
    <row r="200" spans="1:6" x14ac:dyDescent="0.35">
      <c r="A200" s="254"/>
      <c r="B200" t="str">
        <f>IF($B$49="N/A","","Services Cost Per Day")</f>
        <v>Services Cost Per Day</v>
      </c>
      <c r="D200" s="253" t="str">
        <f>'Adjusted Schedule 3'!R98</f>
        <v/>
      </c>
      <c r="E200" s="253" t="str">
        <f>'As-Filed Schedule 3'!R97</f>
        <v/>
      </c>
      <c r="F200" s="253" t="str">
        <f t="shared" si="34"/>
        <v/>
      </c>
    </row>
    <row r="201" spans="1:6" x14ac:dyDescent="0.35">
      <c r="A201" s="254"/>
    </row>
    <row r="202" spans="1:6" x14ac:dyDescent="0.35">
      <c r="A202" s="254" t="s">
        <v>538</v>
      </c>
      <c r="B202" s="476">
        <f>'Adjusted Schedule 3'!B103:C103</f>
        <v>0</v>
      </c>
      <c r="C202" s="476"/>
    </row>
    <row r="203" spans="1:6" x14ac:dyDescent="0.35">
      <c r="A203" s="254"/>
      <c r="B203" t="str">
        <f>IF($B$49="N/A","","Census Days")</f>
        <v>Census Days</v>
      </c>
      <c r="D203" s="13">
        <f>'Adjusted Schedule 3'!K103</f>
        <v>0</v>
      </c>
      <c r="E203" s="13">
        <f>'As-Filed Schedule 3'!K102</f>
        <v>0</v>
      </c>
      <c r="F203" s="13">
        <f>D203-E203</f>
        <v>0</v>
      </c>
    </row>
    <row r="204" spans="1:6" x14ac:dyDescent="0.35">
      <c r="A204" s="254"/>
      <c r="B204" t="str">
        <f>IF($B$49="N/A","","Total Expense")</f>
        <v>Total Expense</v>
      </c>
      <c r="D204" s="248">
        <f>'Adjusted Schedule 3'!M103</f>
        <v>0</v>
      </c>
      <c r="E204" s="248">
        <f>'As-Filed Schedule 3'!M102</f>
        <v>0</v>
      </c>
      <c r="F204" s="248">
        <f t="shared" ref="F204:F205" si="35">D204-E204</f>
        <v>0</v>
      </c>
    </row>
    <row r="205" spans="1:6" x14ac:dyDescent="0.35">
      <c r="A205" s="254"/>
      <c r="B205" t="str">
        <f>IF($B$49="N/A","","Room and Board Expense")</f>
        <v>Room and Board Expense</v>
      </c>
      <c r="D205" s="248">
        <f>'Adjusted Schedule 3'!O103</f>
        <v>0</v>
      </c>
      <c r="E205" s="248">
        <f>'As-Filed Schedule 3'!O102</f>
        <v>0</v>
      </c>
      <c r="F205" s="248">
        <f t="shared" si="35"/>
        <v>0</v>
      </c>
    </row>
    <row r="206" spans="1:6" x14ac:dyDescent="0.35">
      <c r="A206" s="254"/>
      <c r="B206" t="str">
        <f>IF($B$49="N/A","","Services Expense")</f>
        <v>Services Expense</v>
      </c>
      <c r="D206" s="255" t="str">
        <f>'Adjusted Schedule 3'!Q103</f>
        <v/>
      </c>
      <c r="E206" s="255" t="str">
        <f>'As-Filed Schedule 3'!Q102</f>
        <v/>
      </c>
      <c r="F206" s="255" t="str">
        <f>IF(E206="","",D206-E206)</f>
        <v/>
      </c>
    </row>
    <row r="207" spans="1:6" s="1" customFormat="1" x14ac:dyDescent="0.35">
      <c r="A207" s="254"/>
      <c r="B207" s="1" t="str">
        <f>IF($B$49="N/A","","Facility Total Cost Per Day")</f>
        <v>Facility Total Cost Per Day</v>
      </c>
      <c r="D207" s="251" t="str">
        <f>'Adjusted Schedule 3'!N103</f>
        <v/>
      </c>
      <c r="E207" s="251" t="str">
        <f>'As-Filed Schedule 3'!N102</f>
        <v/>
      </c>
      <c r="F207" s="251" t="str">
        <f t="shared" ref="F207:F209" si="36">IF(E207="","",D207-E207)</f>
        <v/>
      </c>
    </row>
    <row r="208" spans="1:6" x14ac:dyDescent="0.35">
      <c r="A208" s="254"/>
      <c r="B208" t="str">
        <f>IF($B$49="N/A","","Room and Board Cost Per Day")</f>
        <v>Room and Board Cost Per Day</v>
      </c>
      <c r="D208" s="253" t="str">
        <f>'Adjusted Schedule 3'!P103</f>
        <v/>
      </c>
      <c r="E208" s="253" t="str">
        <f>'As-Filed Schedule 3'!P102</f>
        <v/>
      </c>
      <c r="F208" s="253" t="str">
        <f t="shared" si="36"/>
        <v/>
      </c>
    </row>
    <row r="209" spans="1:6" x14ac:dyDescent="0.35">
      <c r="A209" s="254"/>
      <c r="B209" t="str">
        <f>IF($B$49="N/A","","Services Cost Per Day")</f>
        <v>Services Cost Per Day</v>
      </c>
      <c r="D209" s="253" t="str">
        <f>'Adjusted Schedule 3'!R103</f>
        <v/>
      </c>
      <c r="E209" s="253" t="str">
        <f>'As-Filed Schedule 3'!R102</f>
        <v/>
      </c>
      <c r="F209" s="253" t="str">
        <f t="shared" si="36"/>
        <v/>
      </c>
    </row>
    <row r="210" spans="1:6" x14ac:dyDescent="0.35">
      <c r="A210" s="254"/>
    </row>
    <row r="211" spans="1:6" x14ac:dyDescent="0.35">
      <c r="A211" s="254" t="s">
        <v>539</v>
      </c>
      <c r="B211" s="476">
        <f>'Adjusted Schedule 3'!B108:C108</f>
        <v>0</v>
      </c>
      <c r="C211" s="476"/>
    </row>
    <row r="212" spans="1:6" x14ac:dyDescent="0.35">
      <c r="A212" s="254"/>
      <c r="B212" t="str">
        <f>IF($B$49="N/A","","Census Days")</f>
        <v>Census Days</v>
      </c>
      <c r="D212" s="13">
        <f>'Adjusted Schedule 3'!K108</f>
        <v>0</v>
      </c>
      <c r="E212" s="13">
        <f>'As-Filed Schedule 3'!K107</f>
        <v>0</v>
      </c>
      <c r="F212" s="13">
        <f>D212-E212</f>
        <v>0</v>
      </c>
    </row>
    <row r="213" spans="1:6" x14ac:dyDescent="0.35">
      <c r="A213" s="254"/>
      <c r="B213" t="str">
        <f>IF($B$49="N/A","","Total Expense")</f>
        <v>Total Expense</v>
      </c>
      <c r="D213" s="248">
        <f>'Adjusted Schedule 3'!M108</f>
        <v>0</v>
      </c>
      <c r="E213" s="248">
        <f>'As-Filed Schedule 3'!M107</f>
        <v>0</v>
      </c>
      <c r="F213" s="248">
        <f t="shared" ref="F213:F214" si="37">D213-E213</f>
        <v>0</v>
      </c>
    </row>
    <row r="214" spans="1:6" x14ac:dyDescent="0.35">
      <c r="A214" s="254"/>
      <c r="B214" t="str">
        <f>IF($B$49="N/A","","Room and Board Expense")</f>
        <v>Room and Board Expense</v>
      </c>
      <c r="D214" s="248">
        <f>'Adjusted Schedule 3'!O108</f>
        <v>0</v>
      </c>
      <c r="E214" s="248">
        <f>'As-Filed Schedule 3'!O107</f>
        <v>0</v>
      </c>
      <c r="F214" s="248">
        <f t="shared" si="37"/>
        <v>0</v>
      </c>
    </row>
    <row r="215" spans="1:6" x14ac:dyDescent="0.35">
      <c r="A215" s="254"/>
      <c r="B215" t="str">
        <f>IF($B$49="N/A","","Services Expense")</f>
        <v>Services Expense</v>
      </c>
      <c r="D215" s="255" t="str">
        <f>'Adjusted Schedule 3'!Q108</f>
        <v/>
      </c>
      <c r="E215" s="255" t="str">
        <f>'As-Filed Schedule 3'!Q107</f>
        <v/>
      </c>
      <c r="F215" s="255" t="str">
        <f>IF(E215="","",D215-E215)</f>
        <v/>
      </c>
    </row>
    <row r="216" spans="1:6" s="1" customFormat="1" x14ac:dyDescent="0.35">
      <c r="A216" s="254"/>
      <c r="B216" s="1" t="str">
        <f>IF($B$49="N/A","","Facility Total Cost Per Day")</f>
        <v>Facility Total Cost Per Day</v>
      </c>
      <c r="D216" s="251" t="str">
        <f>'Adjusted Schedule 3'!N108</f>
        <v/>
      </c>
      <c r="E216" s="251" t="str">
        <f>'As-Filed Schedule 3'!N107</f>
        <v/>
      </c>
      <c r="F216" s="251" t="str">
        <f t="shared" ref="F216:F218" si="38">IF(E216="","",D216-E216)</f>
        <v/>
      </c>
    </row>
    <row r="217" spans="1:6" x14ac:dyDescent="0.35">
      <c r="A217" s="254"/>
      <c r="B217" t="str">
        <f>IF($B$49="N/A","","Room and Board Cost Per Day")</f>
        <v>Room and Board Cost Per Day</v>
      </c>
      <c r="D217" s="253" t="str">
        <f>'Adjusted Schedule 3'!P108</f>
        <v/>
      </c>
      <c r="E217" s="253" t="str">
        <f>'As-Filed Schedule 3'!P107</f>
        <v/>
      </c>
      <c r="F217" s="253" t="str">
        <f t="shared" si="38"/>
        <v/>
      </c>
    </row>
    <row r="218" spans="1:6" x14ac:dyDescent="0.35">
      <c r="A218" s="254"/>
      <c r="B218" t="str">
        <f>IF($B$49="N/A","","Services Cost Per Day")</f>
        <v>Services Cost Per Day</v>
      </c>
      <c r="D218" s="253" t="str">
        <f>'Adjusted Schedule 3'!R108</f>
        <v/>
      </c>
      <c r="E218" s="253" t="str">
        <f>'As-Filed Schedule 3'!R107</f>
        <v/>
      </c>
      <c r="F218" s="253" t="str">
        <f t="shared" si="38"/>
        <v/>
      </c>
    </row>
    <row r="219" spans="1:6" x14ac:dyDescent="0.35">
      <c r="A219" s="254"/>
    </row>
    <row r="220" spans="1:6" x14ac:dyDescent="0.35">
      <c r="A220" s="254" t="s">
        <v>540</v>
      </c>
      <c r="B220" s="476">
        <f>'Adjusted Schedule 3'!B113:C113</f>
        <v>0</v>
      </c>
      <c r="C220" s="476"/>
    </row>
    <row r="221" spans="1:6" x14ac:dyDescent="0.35">
      <c r="A221" s="254"/>
      <c r="B221" t="str">
        <f>IF($B$49="N/A","","Census Days")</f>
        <v>Census Days</v>
      </c>
      <c r="D221" s="13">
        <f>'Adjusted Schedule 3'!K113</f>
        <v>0</v>
      </c>
      <c r="E221" s="13">
        <f>'As-Filed Schedule 3'!K112</f>
        <v>0</v>
      </c>
      <c r="F221" s="13">
        <f>D221-E221</f>
        <v>0</v>
      </c>
    </row>
    <row r="222" spans="1:6" x14ac:dyDescent="0.35">
      <c r="A222" s="254"/>
      <c r="B222" t="str">
        <f>IF($B$49="N/A","","Total Expense")</f>
        <v>Total Expense</v>
      </c>
      <c r="D222" s="248">
        <f>'Adjusted Schedule 3'!M113</f>
        <v>0</v>
      </c>
      <c r="E222" s="248">
        <f>'As-Filed Schedule 3'!M112</f>
        <v>0</v>
      </c>
      <c r="F222" s="248">
        <f t="shared" ref="F222:F223" si="39">D222-E222</f>
        <v>0</v>
      </c>
    </row>
    <row r="223" spans="1:6" x14ac:dyDescent="0.35">
      <c r="A223" s="254"/>
      <c r="B223" t="str">
        <f>IF($B$49="N/A","","Room and Board Expense")</f>
        <v>Room and Board Expense</v>
      </c>
      <c r="D223" s="248">
        <f>'Adjusted Schedule 3'!O113</f>
        <v>0</v>
      </c>
      <c r="E223" s="248">
        <f>'As-Filed Schedule 3'!O112</f>
        <v>0</v>
      </c>
      <c r="F223" s="248">
        <f t="shared" si="39"/>
        <v>0</v>
      </c>
    </row>
    <row r="224" spans="1:6" x14ac:dyDescent="0.35">
      <c r="A224" s="254"/>
      <c r="B224" t="str">
        <f>IF($B$49="N/A","","Services Expense")</f>
        <v>Services Expense</v>
      </c>
      <c r="D224" s="255" t="str">
        <f>'Adjusted Schedule 3'!Q113</f>
        <v/>
      </c>
      <c r="E224" s="255" t="str">
        <f>'As-Filed Schedule 3'!Q112</f>
        <v/>
      </c>
      <c r="F224" s="255" t="str">
        <f>IF(E224="","",D224-E224)</f>
        <v/>
      </c>
    </row>
    <row r="225" spans="1:6" s="1" customFormat="1" x14ac:dyDescent="0.35">
      <c r="A225" s="254"/>
      <c r="B225" s="1" t="str">
        <f>IF($B$49="N/A","","Facility Total Cost Per Day")</f>
        <v>Facility Total Cost Per Day</v>
      </c>
      <c r="D225" s="251" t="str">
        <f>'Adjusted Schedule 3'!N113</f>
        <v/>
      </c>
      <c r="E225" s="251" t="str">
        <f>'As-Filed Schedule 3'!N112</f>
        <v/>
      </c>
      <c r="F225" s="251" t="str">
        <f t="shared" ref="F225:F227" si="40">IF(E225="","",D225-E225)</f>
        <v/>
      </c>
    </row>
    <row r="226" spans="1:6" x14ac:dyDescent="0.35">
      <c r="A226" s="254"/>
      <c r="B226" t="str">
        <f>IF($B$49="N/A","","Room and Board Cost Per Day")</f>
        <v>Room and Board Cost Per Day</v>
      </c>
      <c r="D226" s="253" t="str">
        <f>'Adjusted Schedule 3'!P113</f>
        <v/>
      </c>
      <c r="E226" s="253" t="str">
        <f>'As-Filed Schedule 3'!P112</f>
        <v/>
      </c>
      <c r="F226" s="253" t="str">
        <f t="shared" si="40"/>
        <v/>
      </c>
    </row>
    <row r="227" spans="1:6" x14ac:dyDescent="0.35">
      <c r="A227" s="254"/>
      <c r="B227" t="str">
        <f>IF($B$49="N/A","","Services Cost Per Day")</f>
        <v>Services Cost Per Day</v>
      </c>
      <c r="D227" s="253" t="str">
        <f>'Adjusted Schedule 3'!R113</f>
        <v/>
      </c>
      <c r="E227" s="253" t="str">
        <f>'As-Filed Schedule 3'!R112</f>
        <v/>
      </c>
      <c r="F227" s="253" t="str">
        <f t="shared" si="40"/>
        <v/>
      </c>
    </row>
    <row r="228" spans="1:6" x14ac:dyDescent="0.35">
      <c r="A228" s="254"/>
    </row>
    <row r="229" spans="1:6" x14ac:dyDescent="0.35">
      <c r="A229" s="254" t="s">
        <v>541</v>
      </c>
      <c r="B229" s="476">
        <f>'Adjusted Schedule 3'!B118:C118</f>
        <v>0</v>
      </c>
      <c r="C229" s="476"/>
    </row>
    <row r="230" spans="1:6" x14ac:dyDescent="0.35">
      <c r="A230" s="254"/>
      <c r="B230" t="str">
        <f>IF($B$49="N/A","","Census Days")</f>
        <v>Census Days</v>
      </c>
      <c r="D230" s="13">
        <f>'Adjusted Schedule 3'!K118</f>
        <v>0</v>
      </c>
      <c r="E230" s="13">
        <f>'As-Filed Schedule 3'!K117</f>
        <v>0</v>
      </c>
      <c r="F230" s="13">
        <f>D230-E230</f>
        <v>0</v>
      </c>
    </row>
    <row r="231" spans="1:6" x14ac:dyDescent="0.35">
      <c r="A231" s="254"/>
      <c r="B231" t="str">
        <f>IF($B$49="N/A","","Total Expense")</f>
        <v>Total Expense</v>
      </c>
      <c r="D231" s="248">
        <f>'Adjusted Schedule 3'!M118</f>
        <v>0</v>
      </c>
      <c r="E231" s="248">
        <f>'As-Filed Schedule 3'!M117</f>
        <v>0</v>
      </c>
      <c r="F231" s="248">
        <f t="shared" ref="F231:F232" si="41">D231-E231</f>
        <v>0</v>
      </c>
    </row>
    <row r="232" spans="1:6" x14ac:dyDescent="0.35">
      <c r="A232" s="254"/>
      <c r="B232" t="str">
        <f>IF($B$49="N/A","","Room and Board Expense")</f>
        <v>Room and Board Expense</v>
      </c>
      <c r="D232" s="248">
        <f>'Adjusted Schedule 3'!O118</f>
        <v>0</v>
      </c>
      <c r="E232" s="248">
        <f>'As-Filed Schedule 3'!O117</f>
        <v>0</v>
      </c>
      <c r="F232" s="248">
        <f t="shared" si="41"/>
        <v>0</v>
      </c>
    </row>
    <row r="233" spans="1:6" x14ac:dyDescent="0.35">
      <c r="A233" s="254"/>
      <c r="B233" t="str">
        <f>IF($B$49="N/A","","Services Expense")</f>
        <v>Services Expense</v>
      </c>
      <c r="D233" s="255" t="str">
        <f>'Adjusted Schedule 3'!Q118</f>
        <v/>
      </c>
      <c r="E233" s="255" t="str">
        <f>'As-Filed Schedule 3'!Q117</f>
        <v/>
      </c>
      <c r="F233" s="255" t="str">
        <f>IF(E233="","",D233-E233)</f>
        <v/>
      </c>
    </row>
    <row r="234" spans="1:6" s="1" customFormat="1" x14ac:dyDescent="0.35">
      <c r="A234" s="254"/>
      <c r="B234" s="1" t="str">
        <f>IF($B$49="N/A","","Facility Total Cost Per Day")</f>
        <v>Facility Total Cost Per Day</v>
      </c>
      <c r="D234" s="251" t="str">
        <f>'Adjusted Schedule 3'!N118</f>
        <v/>
      </c>
      <c r="E234" s="251" t="str">
        <f>'As-Filed Schedule 3'!N117</f>
        <v/>
      </c>
      <c r="F234" s="251" t="str">
        <f t="shared" ref="F234:F236" si="42">IF(E234="","",D234-E234)</f>
        <v/>
      </c>
    </row>
    <row r="235" spans="1:6" x14ac:dyDescent="0.35">
      <c r="A235" s="254"/>
      <c r="B235" t="str">
        <f>IF($B$49="N/A","","Room and Board Cost Per Day")</f>
        <v>Room and Board Cost Per Day</v>
      </c>
      <c r="D235" s="253" t="str">
        <f>'Adjusted Schedule 3'!P118</f>
        <v/>
      </c>
      <c r="E235" s="253" t="str">
        <f>'As-Filed Schedule 3'!P117</f>
        <v/>
      </c>
      <c r="F235" s="253" t="str">
        <f t="shared" si="42"/>
        <v/>
      </c>
    </row>
    <row r="236" spans="1:6" x14ac:dyDescent="0.35">
      <c r="A236" s="254"/>
      <c r="B236" t="str">
        <f>IF($B$49="N/A","","Services Cost Per Day")</f>
        <v>Services Cost Per Day</v>
      </c>
      <c r="D236" s="253" t="str">
        <f>'Adjusted Schedule 3'!R118</f>
        <v/>
      </c>
      <c r="E236" s="253" t="str">
        <f>'As-Filed Schedule 3'!R117</f>
        <v/>
      </c>
      <c r="F236" s="253" t="str">
        <f t="shared" si="42"/>
        <v/>
      </c>
    </row>
    <row r="237" spans="1:6" x14ac:dyDescent="0.35">
      <c r="A237" s="254"/>
    </row>
    <row r="238" spans="1:6" x14ac:dyDescent="0.35">
      <c r="A238" s="254" t="s">
        <v>542</v>
      </c>
      <c r="B238" s="476">
        <f>'Adjusted Schedule 3'!B123:C123</f>
        <v>0</v>
      </c>
      <c r="C238" s="476"/>
    </row>
    <row r="239" spans="1:6" x14ac:dyDescent="0.35">
      <c r="A239" s="254"/>
      <c r="B239" t="str">
        <f>IF($B$49="N/A","","Census Days")</f>
        <v>Census Days</v>
      </c>
      <c r="D239" s="13">
        <f>'Adjusted Schedule 3'!K123</f>
        <v>0</v>
      </c>
      <c r="E239" s="13">
        <f>'As-Filed Schedule 3'!K122</f>
        <v>0</v>
      </c>
      <c r="F239" s="13">
        <f>D239-E239</f>
        <v>0</v>
      </c>
    </row>
    <row r="240" spans="1:6" x14ac:dyDescent="0.35">
      <c r="A240" s="254"/>
      <c r="B240" t="str">
        <f>IF($B$49="N/A","","Total Expense")</f>
        <v>Total Expense</v>
      </c>
      <c r="D240" s="248">
        <f>'Adjusted Schedule 3'!M123</f>
        <v>0</v>
      </c>
      <c r="E240" s="248">
        <f>'As-Filed Schedule 3'!M122</f>
        <v>0</v>
      </c>
      <c r="F240" s="248">
        <f t="shared" ref="F240:F241" si="43">D240-E240</f>
        <v>0</v>
      </c>
    </row>
    <row r="241" spans="1:6" x14ac:dyDescent="0.35">
      <c r="A241" s="254"/>
      <c r="B241" t="str">
        <f>IF($B$49="N/A","","Room and Board Expense")</f>
        <v>Room and Board Expense</v>
      </c>
      <c r="D241" s="248">
        <f>'Adjusted Schedule 3'!O123</f>
        <v>0</v>
      </c>
      <c r="E241" s="248">
        <f>'As-Filed Schedule 3'!O122</f>
        <v>0</v>
      </c>
      <c r="F241" s="248">
        <f t="shared" si="43"/>
        <v>0</v>
      </c>
    </row>
    <row r="242" spans="1:6" x14ac:dyDescent="0.35">
      <c r="A242" s="254"/>
      <c r="B242" t="str">
        <f>IF($B$49="N/A","","Services Expense")</f>
        <v>Services Expense</v>
      </c>
      <c r="D242" s="255" t="str">
        <f>'Adjusted Schedule 3'!Q123</f>
        <v/>
      </c>
      <c r="E242" s="255" t="str">
        <f>'As-Filed Schedule 3'!Q122</f>
        <v/>
      </c>
      <c r="F242" s="255" t="str">
        <f>IF(E242="","",D242-E242)</f>
        <v/>
      </c>
    </row>
    <row r="243" spans="1:6" s="1" customFormat="1" x14ac:dyDescent="0.35">
      <c r="A243" s="254"/>
      <c r="B243" s="1" t="str">
        <f>IF($B$49="N/A","","Facility Total Cost Per Day")</f>
        <v>Facility Total Cost Per Day</v>
      </c>
      <c r="D243" s="251" t="str">
        <f>'Adjusted Schedule 3'!N123</f>
        <v/>
      </c>
      <c r="E243" s="251" t="str">
        <f>'As-Filed Schedule 3'!N122</f>
        <v/>
      </c>
      <c r="F243" s="251" t="str">
        <f t="shared" ref="F243:F245" si="44">IF(E243="","",D243-E243)</f>
        <v/>
      </c>
    </row>
    <row r="244" spans="1:6" x14ac:dyDescent="0.35">
      <c r="A244" s="254"/>
      <c r="B244" t="str">
        <f>IF($B$49="N/A","","Room and Board Cost Per Day")</f>
        <v>Room and Board Cost Per Day</v>
      </c>
      <c r="D244" s="253" t="str">
        <f>'Adjusted Schedule 3'!P123</f>
        <v/>
      </c>
      <c r="E244" s="253" t="str">
        <f>'As-Filed Schedule 3'!P122</f>
        <v/>
      </c>
      <c r="F244" s="253" t="str">
        <f t="shared" si="44"/>
        <v/>
      </c>
    </row>
    <row r="245" spans="1:6" x14ac:dyDescent="0.35">
      <c r="A245" s="254"/>
      <c r="B245" t="str">
        <f>IF($B$49="N/A","","Services Cost Per Day")</f>
        <v>Services Cost Per Day</v>
      </c>
      <c r="D245" s="253" t="str">
        <f>'Adjusted Schedule 3'!R123</f>
        <v/>
      </c>
      <c r="E245" s="253" t="str">
        <f>'As-Filed Schedule 3'!R122</f>
        <v/>
      </c>
      <c r="F245" s="253" t="str">
        <f t="shared" si="44"/>
        <v/>
      </c>
    </row>
    <row r="246" spans="1:6" x14ac:dyDescent="0.35">
      <c r="A246" s="254"/>
    </row>
    <row r="247" spans="1:6" x14ac:dyDescent="0.35">
      <c r="A247" s="254" t="s">
        <v>543</v>
      </c>
      <c r="B247" s="476">
        <f>'Adjusted Schedule 3'!B128:C128</f>
        <v>0</v>
      </c>
      <c r="C247" s="476"/>
    </row>
    <row r="248" spans="1:6" x14ac:dyDescent="0.35">
      <c r="A248" s="254"/>
      <c r="B248" t="str">
        <f>IF($B$49="N/A","","Census Days")</f>
        <v>Census Days</v>
      </c>
      <c r="D248" s="13">
        <f>'Adjusted Schedule 3'!K128</f>
        <v>0</v>
      </c>
      <c r="E248" s="13">
        <f>'As-Filed Schedule 3'!K127</f>
        <v>0</v>
      </c>
      <c r="F248" s="13">
        <f>D248-E248</f>
        <v>0</v>
      </c>
    </row>
    <row r="249" spans="1:6" x14ac:dyDescent="0.35">
      <c r="A249" s="254"/>
      <c r="B249" t="str">
        <f>IF($B$49="N/A","","Total Expense")</f>
        <v>Total Expense</v>
      </c>
      <c r="D249" s="248">
        <f>'Adjusted Schedule 3'!M128</f>
        <v>0</v>
      </c>
      <c r="E249" s="248">
        <f>'As-Filed Schedule 3'!M127</f>
        <v>0</v>
      </c>
      <c r="F249" s="248">
        <f t="shared" ref="F249:F250" si="45">D249-E249</f>
        <v>0</v>
      </c>
    </row>
    <row r="250" spans="1:6" x14ac:dyDescent="0.35">
      <c r="A250" s="254"/>
      <c r="B250" t="str">
        <f>IF($B$49="N/A","","Room and Board Expense")</f>
        <v>Room and Board Expense</v>
      </c>
      <c r="D250" s="248">
        <f>'Adjusted Schedule 3'!O128</f>
        <v>0</v>
      </c>
      <c r="E250" s="248">
        <f>'As-Filed Schedule 3'!O127</f>
        <v>0</v>
      </c>
      <c r="F250" s="248">
        <f t="shared" si="45"/>
        <v>0</v>
      </c>
    </row>
    <row r="251" spans="1:6" x14ac:dyDescent="0.35">
      <c r="A251" s="254"/>
      <c r="B251" t="str">
        <f>IF($B$49="N/A","","Services Expense")</f>
        <v>Services Expense</v>
      </c>
      <c r="D251" s="255" t="str">
        <f>'Adjusted Schedule 3'!Q128</f>
        <v/>
      </c>
      <c r="E251" s="255" t="str">
        <f>'As-Filed Schedule 3'!Q127</f>
        <v/>
      </c>
      <c r="F251" s="255" t="str">
        <f>IF(E251="","",D251-E251)</f>
        <v/>
      </c>
    </row>
    <row r="252" spans="1:6" s="1" customFormat="1" x14ac:dyDescent="0.35">
      <c r="A252" s="254"/>
      <c r="B252" s="1" t="str">
        <f>IF($B$49="N/A","","Facility Total Cost Per Day")</f>
        <v>Facility Total Cost Per Day</v>
      </c>
      <c r="D252" s="251" t="str">
        <f>'Adjusted Schedule 3'!N128</f>
        <v/>
      </c>
      <c r="E252" s="251" t="str">
        <f>'As-Filed Schedule 3'!N127</f>
        <v/>
      </c>
      <c r="F252" s="251" t="str">
        <f t="shared" ref="F252:F254" si="46">IF(E252="","",D252-E252)</f>
        <v/>
      </c>
    </row>
    <row r="253" spans="1:6" x14ac:dyDescent="0.35">
      <c r="A253" s="254"/>
      <c r="B253" t="str">
        <f>IF($B$49="N/A","","Room and Board Cost Per Day")</f>
        <v>Room and Board Cost Per Day</v>
      </c>
      <c r="D253" s="253" t="str">
        <f>'Adjusted Schedule 3'!P128</f>
        <v/>
      </c>
      <c r="E253" s="253" t="str">
        <f>'As-Filed Schedule 3'!P127</f>
        <v/>
      </c>
      <c r="F253" s="253" t="str">
        <f t="shared" si="46"/>
        <v/>
      </c>
    </row>
    <row r="254" spans="1:6" x14ac:dyDescent="0.35">
      <c r="A254" s="254"/>
      <c r="B254" t="str">
        <f>IF($B$49="N/A","","Services Cost Per Day")</f>
        <v>Services Cost Per Day</v>
      </c>
      <c r="D254" s="253" t="str">
        <f>'Adjusted Schedule 3'!R128</f>
        <v/>
      </c>
      <c r="E254" s="253" t="str">
        <f>'As-Filed Schedule 3'!R127</f>
        <v/>
      </c>
      <c r="F254" s="253" t="str">
        <f t="shared" si="46"/>
        <v/>
      </c>
    </row>
    <row r="255" spans="1:6" x14ac:dyDescent="0.35">
      <c r="A255" s="254"/>
    </row>
    <row r="256" spans="1:6" x14ac:dyDescent="0.35">
      <c r="A256" s="254" t="s">
        <v>544</v>
      </c>
      <c r="B256" s="476">
        <f>'Adjusted Schedule 3'!B133:C133</f>
        <v>0</v>
      </c>
      <c r="C256" s="476"/>
    </row>
    <row r="257" spans="1:6" x14ac:dyDescent="0.35">
      <c r="A257" s="254"/>
      <c r="B257" t="str">
        <f>IF($B$49="N/A","","Census Days")</f>
        <v>Census Days</v>
      </c>
      <c r="D257" s="13">
        <f>'Adjusted Schedule 3'!K133</f>
        <v>0</v>
      </c>
      <c r="E257" s="13">
        <f>'As-Filed Schedule 3'!K132</f>
        <v>0</v>
      </c>
      <c r="F257" s="13">
        <f>D257-E257</f>
        <v>0</v>
      </c>
    </row>
    <row r="258" spans="1:6" x14ac:dyDescent="0.35">
      <c r="A258" s="254"/>
      <c r="B258" t="str">
        <f>IF($B$49="N/A","","Total Expense")</f>
        <v>Total Expense</v>
      </c>
      <c r="D258" s="248">
        <f>'Adjusted Schedule 3'!M133</f>
        <v>0</v>
      </c>
      <c r="E258" s="248">
        <f>'As-Filed Schedule 3'!M132</f>
        <v>0</v>
      </c>
      <c r="F258" s="248">
        <f t="shared" ref="F258:F259" si="47">D258-E258</f>
        <v>0</v>
      </c>
    </row>
    <row r="259" spans="1:6" x14ac:dyDescent="0.35">
      <c r="A259" s="254"/>
      <c r="B259" t="str">
        <f>IF($B$49="N/A","","Room and Board Expense")</f>
        <v>Room and Board Expense</v>
      </c>
      <c r="D259" s="248">
        <f>'Adjusted Schedule 3'!O133</f>
        <v>0</v>
      </c>
      <c r="E259" s="248">
        <f>'As-Filed Schedule 3'!O132</f>
        <v>0</v>
      </c>
      <c r="F259" s="248">
        <f t="shared" si="47"/>
        <v>0</v>
      </c>
    </row>
    <row r="260" spans="1:6" x14ac:dyDescent="0.35">
      <c r="A260" s="254"/>
      <c r="B260" t="str">
        <f>IF($B$49="N/A","","Services Expense")</f>
        <v>Services Expense</v>
      </c>
      <c r="D260" s="255" t="str">
        <f>'Adjusted Schedule 3'!Q133</f>
        <v/>
      </c>
      <c r="E260" s="255" t="str">
        <f>'As-Filed Schedule 3'!Q132</f>
        <v/>
      </c>
      <c r="F260" s="255" t="str">
        <f>IF(E260="","",D260-E260)</f>
        <v/>
      </c>
    </row>
    <row r="261" spans="1:6" s="1" customFormat="1" x14ac:dyDescent="0.35">
      <c r="A261" s="254"/>
      <c r="B261" s="1" t="str">
        <f>IF($B$49="N/A","","Facility Total Cost Per Day")</f>
        <v>Facility Total Cost Per Day</v>
      </c>
      <c r="D261" s="251" t="str">
        <f>'Adjusted Schedule 3'!N133</f>
        <v/>
      </c>
      <c r="E261" s="251" t="str">
        <f>'As-Filed Schedule 3'!N132</f>
        <v/>
      </c>
      <c r="F261" s="251" t="str">
        <f t="shared" ref="F261:F263" si="48">IF(E261="","",D261-E261)</f>
        <v/>
      </c>
    </row>
    <row r="262" spans="1:6" x14ac:dyDescent="0.35">
      <c r="A262" s="254"/>
      <c r="B262" t="str">
        <f>IF($B$49="N/A","","Room and Board Cost Per Day")</f>
        <v>Room and Board Cost Per Day</v>
      </c>
      <c r="D262" s="253" t="str">
        <f>'Adjusted Schedule 3'!P133</f>
        <v/>
      </c>
      <c r="E262" s="253" t="str">
        <f>'As-Filed Schedule 3'!P132</f>
        <v/>
      </c>
      <c r="F262" s="253" t="str">
        <f t="shared" si="48"/>
        <v/>
      </c>
    </row>
    <row r="263" spans="1:6" x14ac:dyDescent="0.35">
      <c r="A263" s="254"/>
      <c r="B263" t="str">
        <f>IF($B$49="N/A","","Services Cost Per Day")</f>
        <v>Services Cost Per Day</v>
      </c>
      <c r="D263" s="253" t="str">
        <f>'Adjusted Schedule 3'!R133</f>
        <v/>
      </c>
      <c r="E263" s="253" t="str">
        <f>'As-Filed Schedule 3'!R132</f>
        <v/>
      </c>
      <c r="F263" s="253" t="str">
        <f t="shared" si="48"/>
        <v/>
      </c>
    </row>
    <row r="264" spans="1:6" x14ac:dyDescent="0.35">
      <c r="A264" s="254"/>
    </row>
    <row r="265" spans="1:6" x14ac:dyDescent="0.35">
      <c r="A265" s="254" t="s">
        <v>545</v>
      </c>
      <c r="B265" s="476">
        <f>'Adjusted Schedule 3'!B138:C138</f>
        <v>0</v>
      </c>
      <c r="C265" s="476"/>
    </row>
    <row r="266" spans="1:6" x14ac:dyDescent="0.35">
      <c r="A266" s="254"/>
      <c r="B266" t="str">
        <f>IF($B$49="N/A","","Census Days")</f>
        <v>Census Days</v>
      </c>
      <c r="D266" s="13">
        <f>'Adjusted Schedule 3'!K138</f>
        <v>0</v>
      </c>
      <c r="E266" s="13">
        <f>'As-Filed Schedule 3'!K137</f>
        <v>0</v>
      </c>
      <c r="F266" s="13">
        <f>D266-E266</f>
        <v>0</v>
      </c>
    </row>
    <row r="267" spans="1:6" x14ac:dyDescent="0.35">
      <c r="A267" s="254"/>
      <c r="B267" t="str">
        <f>IF($B$49="N/A","","Total Expense")</f>
        <v>Total Expense</v>
      </c>
      <c r="D267" s="248">
        <f>'Adjusted Schedule 3'!M138</f>
        <v>0</v>
      </c>
      <c r="E267" s="248">
        <f>'As-Filed Schedule 3'!M137</f>
        <v>0</v>
      </c>
      <c r="F267" s="248">
        <f t="shared" ref="F267:F268" si="49">D267-E267</f>
        <v>0</v>
      </c>
    </row>
    <row r="268" spans="1:6" x14ac:dyDescent="0.35">
      <c r="A268" s="254"/>
      <c r="B268" t="str">
        <f>IF($B$49="N/A","","Room and Board Expense")</f>
        <v>Room and Board Expense</v>
      </c>
      <c r="D268" s="248">
        <f>'Adjusted Schedule 3'!O138</f>
        <v>0</v>
      </c>
      <c r="E268" s="248">
        <f>'As-Filed Schedule 3'!O137</f>
        <v>0</v>
      </c>
      <c r="F268" s="248">
        <f t="shared" si="49"/>
        <v>0</v>
      </c>
    </row>
    <row r="269" spans="1:6" x14ac:dyDescent="0.35">
      <c r="A269" s="254"/>
      <c r="B269" t="str">
        <f>IF($B$49="N/A","","Services Expense")</f>
        <v>Services Expense</v>
      </c>
      <c r="D269" s="255" t="str">
        <f>'Adjusted Schedule 3'!Q138</f>
        <v/>
      </c>
      <c r="E269" s="255" t="str">
        <f>'As-Filed Schedule 3'!Q137</f>
        <v/>
      </c>
      <c r="F269" s="255" t="str">
        <f>IF(E269="","",D269-E269)</f>
        <v/>
      </c>
    </row>
    <row r="270" spans="1:6" s="1" customFormat="1" x14ac:dyDescent="0.35">
      <c r="A270" s="254"/>
      <c r="B270" s="1" t="str">
        <f>IF($B$49="N/A","","Facility Total Cost Per Day")</f>
        <v>Facility Total Cost Per Day</v>
      </c>
      <c r="D270" s="251" t="str">
        <f>'Adjusted Schedule 3'!N138</f>
        <v/>
      </c>
      <c r="E270" s="251" t="str">
        <f>'As-Filed Schedule 3'!N137</f>
        <v/>
      </c>
      <c r="F270" s="251" t="str">
        <f t="shared" ref="F270:F272" si="50">IF(E270="","",D270-E270)</f>
        <v/>
      </c>
    </row>
    <row r="271" spans="1:6" x14ac:dyDescent="0.35">
      <c r="A271" s="254"/>
      <c r="B271" t="str">
        <f>IF($B$49="N/A","","Room and Board Cost Per Day")</f>
        <v>Room and Board Cost Per Day</v>
      </c>
      <c r="D271" s="253" t="str">
        <f>'Adjusted Schedule 3'!P138</f>
        <v/>
      </c>
      <c r="E271" s="253" t="str">
        <f>'As-Filed Schedule 3'!P137</f>
        <v/>
      </c>
      <c r="F271" s="253" t="str">
        <f t="shared" si="50"/>
        <v/>
      </c>
    </row>
    <row r="272" spans="1:6" x14ac:dyDescent="0.35">
      <c r="A272" s="254"/>
      <c r="B272" t="str">
        <f>IF($B$49="N/A","","Services Cost Per Day")</f>
        <v>Services Cost Per Day</v>
      </c>
      <c r="D272" s="253" t="str">
        <f>'Adjusted Schedule 3'!R138</f>
        <v/>
      </c>
      <c r="E272" s="253" t="str">
        <f>'As-Filed Schedule 3'!R137</f>
        <v/>
      </c>
      <c r="F272" s="253" t="str">
        <f t="shared" si="50"/>
        <v/>
      </c>
    </row>
    <row r="273" spans="1:6" x14ac:dyDescent="0.35">
      <c r="A273" s="254"/>
    </row>
    <row r="274" spans="1:6" x14ac:dyDescent="0.35">
      <c r="A274" s="254" t="s">
        <v>546</v>
      </c>
      <c r="B274" s="476">
        <f>'Adjusted Schedule 3'!B143:C143</f>
        <v>0</v>
      </c>
      <c r="C274" s="476"/>
    </row>
    <row r="275" spans="1:6" x14ac:dyDescent="0.35">
      <c r="A275" s="254"/>
      <c r="B275" t="str">
        <f>IF($B$49="N/A","","Census Days")</f>
        <v>Census Days</v>
      </c>
      <c r="D275" s="13">
        <f>'Adjusted Schedule 3'!K143</f>
        <v>0</v>
      </c>
      <c r="E275" s="13">
        <f>'As-Filed Schedule 3'!K142</f>
        <v>0</v>
      </c>
      <c r="F275" s="13">
        <f>D275-E275</f>
        <v>0</v>
      </c>
    </row>
    <row r="276" spans="1:6" x14ac:dyDescent="0.35">
      <c r="A276" s="254"/>
      <c r="B276" t="str">
        <f>IF($B$49="N/A","","Total Expense")</f>
        <v>Total Expense</v>
      </c>
      <c r="D276" s="248">
        <f>'Adjusted Schedule 3'!M143</f>
        <v>0</v>
      </c>
      <c r="E276" s="248">
        <f>'As-Filed Schedule 3'!M142</f>
        <v>0</v>
      </c>
      <c r="F276" s="248">
        <f t="shared" ref="F276:F277" si="51">D276-E276</f>
        <v>0</v>
      </c>
    </row>
    <row r="277" spans="1:6" x14ac:dyDescent="0.35">
      <c r="A277" s="254"/>
      <c r="B277" t="str">
        <f>IF($B$49="N/A","","Room and Board Expense")</f>
        <v>Room and Board Expense</v>
      </c>
      <c r="D277" s="248">
        <f>'Adjusted Schedule 3'!O143</f>
        <v>0</v>
      </c>
      <c r="E277" s="248">
        <f>'As-Filed Schedule 3'!O142</f>
        <v>0</v>
      </c>
      <c r="F277" s="248">
        <f t="shared" si="51"/>
        <v>0</v>
      </c>
    </row>
    <row r="278" spans="1:6" x14ac:dyDescent="0.35">
      <c r="A278" s="254"/>
      <c r="B278" t="str">
        <f>IF($B$49="N/A","","Services Expense")</f>
        <v>Services Expense</v>
      </c>
      <c r="D278" s="255" t="str">
        <f>'Adjusted Schedule 3'!Q143</f>
        <v/>
      </c>
      <c r="E278" s="255" t="str">
        <f>'As-Filed Schedule 3'!Q142</f>
        <v/>
      </c>
      <c r="F278" s="255" t="str">
        <f>IF(E278="","",D278-E278)</f>
        <v/>
      </c>
    </row>
    <row r="279" spans="1:6" s="1" customFormat="1" x14ac:dyDescent="0.35">
      <c r="A279" s="254"/>
      <c r="B279" s="1" t="str">
        <f>IF($B$49="N/A","","Facility Total Cost Per Day")</f>
        <v>Facility Total Cost Per Day</v>
      </c>
      <c r="D279" s="251" t="str">
        <f>'Adjusted Schedule 3'!N143</f>
        <v/>
      </c>
      <c r="E279" s="251" t="str">
        <f>'As-Filed Schedule 3'!N142</f>
        <v/>
      </c>
      <c r="F279" s="251" t="str">
        <f t="shared" ref="F279:F281" si="52">IF(E279="","",D279-E279)</f>
        <v/>
      </c>
    </row>
    <row r="280" spans="1:6" x14ac:dyDescent="0.35">
      <c r="A280" s="254"/>
      <c r="B280" t="str">
        <f>IF($B$49="N/A","","Room and Board Cost Per Day")</f>
        <v>Room and Board Cost Per Day</v>
      </c>
      <c r="D280" s="253" t="str">
        <f>'Adjusted Schedule 3'!P143</f>
        <v/>
      </c>
      <c r="E280" s="253" t="str">
        <f>'As-Filed Schedule 3'!P142</f>
        <v/>
      </c>
      <c r="F280" s="253" t="str">
        <f t="shared" si="52"/>
        <v/>
      </c>
    </row>
    <row r="281" spans="1:6" x14ac:dyDescent="0.35">
      <c r="A281" s="254"/>
      <c r="B281" t="str">
        <f>IF($B$49="N/A","","Services Cost Per Day")</f>
        <v>Services Cost Per Day</v>
      </c>
      <c r="D281" s="253" t="str">
        <f>'Adjusted Schedule 3'!R143</f>
        <v/>
      </c>
      <c r="E281" s="253" t="str">
        <f>'As-Filed Schedule 3'!R142</f>
        <v/>
      </c>
      <c r="F281" s="253" t="str">
        <f t="shared" si="52"/>
        <v/>
      </c>
    </row>
    <row r="282" spans="1:6" x14ac:dyDescent="0.35">
      <c r="A282" s="254"/>
    </row>
    <row r="283" spans="1:6" x14ac:dyDescent="0.35">
      <c r="A283" s="254" t="s">
        <v>547</v>
      </c>
      <c r="B283" s="476">
        <f>'Adjusted Schedule 3'!B148:C148</f>
        <v>0</v>
      </c>
      <c r="C283" s="476"/>
    </row>
    <row r="284" spans="1:6" x14ac:dyDescent="0.35">
      <c r="A284" s="254"/>
      <c r="B284" t="str">
        <f>IF($B$49="N/A","","Census Days")</f>
        <v>Census Days</v>
      </c>
      <c r="D284" s="13">
        <f>'Adjusted Schedule 3'!K148</f>
        <v>0</v>
      </c>
      <c r="E284" s="13">
        <f>'As-Filed Schedule 3'!K147</f>
        <v>0</v>
      </c>
      <c r="F284" s="13">
        <f>D284-E284</f>
        <v>0</v>
      </c>
    </row>
    <row r="285" spans="1:6" x14ac:dyDescent="0.35">
      <c r="A285" s="254"/>
      <c r="B285" t="str">
        <f>IF($B$49="N/A","","Total Expense")</f>
        <v>Total Expense</v>
      </c>
      <c r="D285" s="248">
        <f>'Adjusted Schedule 3'!M148</f>
        <v>0</v>
      </c>
      <c r="E285" s="248">
        <f>'As-Filed Schedule 3'!M147</f>
        <v>0</v>
      </c>
      <c r="F285" s="248">
        <f t="shared" ref="F285:F286" si="53">D285-E285</f>
        <v>0</v>
      </c>
    </row>
    <row r="286" spans="1:6" x14ac:dyDescent="0.35">
      <c r="A286" s="254"/>
      <c r="B286" t="str">
        <f>IF($B$49="N/A","","Room and Board Expense")</f>
        <v>Room and Board Expense</v>
      </c>
      <c r="D286" s="248">
        <f>'Adjusted Schedule 3'!O148</f>
        <v>0</v>
      </c>
      <c r="E286" s="248">
        <f>'As-Filed Schedule 3'!O147</f>
        <v>0</v>
      </c>
      <c r="F286" s="248">
        <f t="shared" si="53"/>
        <v>0</v>
      </c>
    </row>
    <row r="287" spans="1:6" x14ac:dyDescent="0.35">
      <c r="A287" s="254"/>
      <c r="B287" t="str">
        <f>IF($B$49="N/A","","Services Expense")</f>
        <v>Services Expense</v>
      </c>
      <c r="D287" s="255" t="str">
        <f>'Adjusted Schedule 3'!Q148</f>
        <v/>
      </c>
      <c r="E287" s="255" t="str">
        <f>'As-Filed Schedule 3'!Q147</f>
        <v/>
      </c>
      <c r="F287" s="255" t="str">
        <f>IF(E287="","",D287-E287)</f>
        <v/>
      </c>
    </row>
    <row r="288" spans="1:6" s="1" customFormat="1" x14ac:dyDescent="0.35">
      <c r="A288" s="254"/>
      <c r="B288" s="1" t="str">
        <f>IF($B$49="N/A","","Facility Total Cost Per Day")</f>
        <v>Facility Total Cost Per Day</v>
      </c>
      <c r="D288" s="251" t="str">
        <f>'Adjusted Schedule 3'!N148</f>
        <v/>
      </c>
      <c r="E288" s="251" t="str">
        <f>'As-Filed Schedule 3'!N147</f>
        <v/>
      </c>
      <c r="F288" s="251" t="str">
        <f t="shared" ref="F288:F290" si="54">IF(E288="","",D288-E288)</f>
        <v/>
      </c>
    </row>
    <row r="289" spans="1:6" x14ac:dyDescent="0.35">
      <c r="A289" s="254"/>
      <c r="B289" t="str">
        <f>IF($B$49="N/A","","Room and Board Cost Per Day")</f>
        <v>Room and Board Cost Per Day</v>
      </c>
      <c r="D289" s="253" t="str">
        <f>'Adjusted Schedule 3'!P148</f>
        <v/>
      </c>
      <c r="E289" s="253" t="str">
        <f>'As-Filed Schedule 3'!P147</f>
        <v/>
      </c>
      <c r="F289" s="253" t="str">
        <f t="shared" si="54"/>
        <v/>
      </c>
    </row>
    <row r="290" spans="1:6" x14ac:dyDescent="0.35">
      <c r="A290" s="254"/>
      <c r="B290" t="str">
        <f>IF($B$49="N/A","","Services Cost Per Day")</f>
        <v>Services Cost Per Day</v>
      </c>
      <c r="D290" s="253" t="str">
        <f>'Adjusted Schedule 3'!R148</f>
        <v/>
      </c>
      <c r="E290" s="253" t="str">
        <f>'As-Filed Schedule 3'!R147</f>
        <v/>
      </c>
      <c r="F290" s="253" t="str">
        <f t="shared" si="54"/>
        <v/>
      </c>
    </row>
    <row r="291" spans="1:6" x14ac:dyDescent="0.35">
      <c r="A291" s="254"/>
    </row>
    <row r="292" spans="1:6" x14ac:dyDescent="0.35">
      <c r="A292" s="254" t="s">
        <v>548</v>
      </c>
      <c r="B292" s="476">
        <f>'Adjusted Schedule 3'!B153:C153</f>
        <v>0</v>
      </c>
      <c r="C292" s="476"/>
    </row>
    <row r="293" spans="1:6" x14ac:dyDescent="0.35">
      <c r="A293" s="254"/>
      <c r="B293" t="str">
        <f>IF($B$49="N/A","","Census Days")</f>
        <v>Census Days</v>
      </c>
      <c r="D293" s="13">
        <f>'Adjusted Schedule 3'!K153</f>
        <v>0</v>
      </c>
      <c r="E293" s="13">
        <f>'As-Filed Schedule 3'!K152</f>
        <v>0</v>
      </c>
      <c r="F293" s="13">
        <f>D293-E293</f>
        <v>0</v>
      </c>
    </row>
    <row r="294" spans="1:6" x14ac:dyDescent="0.35">
      <c r="A294" s="254"/>
      <c r="B294" t="str">
        <f>IF($B$49="N/A","","Total Expense")</f>
        <v>Total Expense</v>
      </c>
      <c r="D294" s="248">
        <f>'Adjusted Schedule 3'!M153</f>
        <v>0</v>
      </c>
      <c r="E294" s="248">
        <f>'As-Filed Schedule 3'!M152</f>
        <v>0</v>
      </c>
      <c r="F294" s="248">
        <f t="shared" ref="F294:F295" si="55">D294-E294</f>
        <v>0</v>
      </c>
    </row>
    <row r="295" spans="1:6" x14ac:dyDescent="0.35">
      <c r="A295" s="254"/>
      <c r="B295" t="str">
        <f>IF($B$49="N/A","","Room and Board Expense")</f>
        <v>Room and Board Expense</v>
      </c>
      <c r="D295" s="248">
        <f>'Adjusted Schedule 3'!O153</f>
        <v>0</v>
      </c>
      <c r="E295" s="248">
        <f>'As-Filed Schedule 3'!O152</f>
        <v>0</v>
      </c>
      <c r="F295" s="248">
        <f t="shared" si="55"/>
        <v>0</v>
      </c>
    </row>
    <row r="296" spans="1:6" x14ac:dyDescent="0.35">
      <c r="A296" s="254"/>
      <c r="B296" t="str">
        <f>IF($B$49="N/A","","Services Expense")</f>
        <v>Services Expense</v>
      </c>
      <c r="D296" s="255" t="str">
        <f>'Adjusted Schedule 3'!Q153</f>
        <v/>
      </c>
      <c r="E296" s="255" t="str">
        <f>'As-Filed Schedule 3'!Q152</f>
        <v/>
      </c>
      <c r="F296" s="255" t="str">
        <f>IF(E296="","",D296-E296)</f>
        <v/>
      </c>
    </row>
    <row r="297" spans="1:6" s="1" customFormat="1" x14ac:dyDescent="0.35">
      <c r="A297" s="254"/>
      <c r="B297" s="1" t="str">
        <f>IF($B$49="N/A","","Facility Total Cost Per Day")</f>
        <v>Facility Total Cost Per Day</v>
      </c>
      <c r="D297" s="251" t="str">
        <f>'Adjusted Schedule 3'!N153</f>
        <v/>
      </c>
      <c r="E297" s="251" t="str">
        <f>'As-Filed Schedule 3'!N152</f>
        <v/>
      </c>
      <c r="F297" s="251" t="str">
        <f t="shared" ref="F297:F299" si="56">IF(E297="","",D297-E297)</f>
        <v/>
      </c>
    </row>
    <row r="298" spans="1:6" x14ac:dyDescent="0.35">
      <c r="A298" s="254"/>
      <c r="B298" t="str">
        <f>IF($B$49="N/A","","Room and Board Cost Per Day")</f>
        <v>Room and Board Cost Per Day</v>
      </c>
      <c r="D298" s="253" t="str">
        <f>'Adjusted Schedule 3'!P153</f>
        <v/>
      </c>
      <c r="E298" s="253" t="str">
        <f>'As-Filed Schedule 3'!P152</f>
        <v/>
      </c>
      <c r="F298" s="253" t="str">
        <f t="shared" si="56"/>
        <v/>
      </c>
    </row>
    <row r="299" spans="1:6" x14ac:dyDescent="0.35">
      <c r="A299" s="254"/>
      <c r="B299" t="str">
        <f>IF($B$49="N/A","","Services Cost Per Day")</f>
        <v>Services Cost Per Day</v>
      </c>
      <c r="D299" s="253" t="str">
        <f>'Adjusted Schedule 3'!R153</f>
        <v/>
      </c>
      <c r="E299" s="253" t="str">
        <f>'As-Filed Schedule 3'!R152</f>
        <v/>
      </c>
      <c r="F299" s="253" t="str">
        <f t="shared" si="56"/>
        <v/>
      </c>
    </row>
    <row r="300" spans="1:6" x14ac:dyDescent="0.35">
      <c r="A300" s="254"/>
    </row>
    <row r="301" spans="1:6" x14ac:dyDescent="0.35">
      <c r="A301" s="254" t="s">
        <v>549</v>
      </c>
      <c r="B301" s="476">
        <f>'Adjusted Schedule 3'!B158:C158</f>
        <v>0</v>
      </c>
      <c r="C301" s="476"/>
    </row>
    <row r="302" spans="1:6" x14ac:dyDescent="0.35">
      <c r="A302" s="254"/>
      <c r="B302" t="str">
        <f>IF($B$49="N/A","","Census Days")</f>
        <v>Census Days</v>
      </c>
      <c r="D302" s="13">
        <f>'Adjusted Schedule 3'!K158</f>
        <v>0</v>
      </c>
      <c r="E302" s="13">
        <f>'As-Filed Schedule 3'!K157</f>
        <v>0</v>
      </c>
      <c r="F302" s="13">
        <f>D302-E302</f>
        <v>0</v>
      </c>
    </row>
    <row r="303" spans="1:6" x14ac:dyDescent="0.35">
      <c r="A303" s="254"/>
      <c r="B303" t="str">
        <f>IF($B$49="N/A","","Total Expense")</f>
        <v>Total Expense</v>
      </c>
      <c r="D303" s="248">
        <f>'Adjusted Schedule 3'!M158</f>
        <v>0</v>
      </c>
      <c r="E303" s="248">
        <f>'As-Filed Schedule 3'!M157</f>
        <v>0</v>
      </c>
      <c r="F303" s="248">
        <f t="shared" ref="F303:F304" si="57">D303-E303</f>
        <v>0</v>
      </c>
    </row>
    <row r="304" spans="1:6" x14ac:dyDescent="0.35">
      <c r="A304" s="254"/>
      <c r="B304" t="str">
        <f>IF($B$49="N/A","","Room and Board Expense")</f>
        <v>Room and Board Expense</v>
      </c>
      <c r="D304" s="248">
        <f>'Adjusted Schedule 3'!O158</f>
        <v>0</v>
      </c>
      <c r="E304" s="248">
        <f>'As-Filed Schedule 3'!O157</f>
        <v>0</v>
      </c>
      <c r="F304" s="248">
        <f t="shared" si="57"/>
        <v>0</v>
      </c>
    </row>
    <row r="305" spans="1:6" x14ac:dyDescent="0.35">
      <c r="A305" s="254"/>
      <c r="B305" t="str">
        <f>IF($B$49="N/A","","Services Expense")</f>
        <v>Services Expense</v>
      </c>
      <c r="D305" s="255" t="str">
        <f>'Adjusted Schedule 3'!Q158</f>
        <v/>
      </c>
      <c r="E305" s="255" t="str">
        <f>'As-Filed Schedule 3'!Q157</f>
        <v/>
      </c>
      <c r="F305" s="255" t="str">
        <f>IF(E305="","",D305-E305)</f>
        <v/>
      </c>
    </row>
    <row r="306" spans="1:6" s="1" customFormat="1" x14ac:dyDescent="0.35">
      <c r="A306" s="254"/>
      <c r="B306" s="1" t="str">
        <f>IF($B$49="N/A","","Facility Total Cost Per Day")</f>
        <v>Facility Total Cost Per Day</v>
      </c>
      <c r="D306" s="251" t="str">
        <f>'Adjusted Schedule 3'!N158</f>
        <v/>
      </c>
      <c r="E306" s="251" t="str">
        <f>'As-Filed Schedule 3'!N157</f>
        <v/>
      </c>
      <c r="F306" s="251" t="str">
        <f t="shared" ref="F306:F308" si="58">IF(E306="","",D306-E306)</f>
        <v/>
      </c>
    </row>
    <row r="307" spans="1:6" x14ac:dyDescent="0.35">
      <c r="A307" s="254"/>
      <c r="B307" t="str">
        <f>IF($B$49="N/A","","Room and Board Cost Per Day")</f>
        <v>Room and Board Cost Per Day</v>
      </c>
      <c r="D307" s="253" t="str">
        <f>'Adjusted Schedule 3'!P158</f>
        <v/>
      </c>
      <c r="E307" s="253" t="str">
        <f>'As-Filed Schedule 3'!P157</f>
        <v/>
      </c>
      <c r="F307" s="253" t="str">
        <f t="shared" si="58"/>
        <v/>
      </c>
    </row>
    <row r="308" spans="1:6" x14ac:dyDescent="0.35">
      <c r="A308" s="254"/>
      <c r="B308" t="str">
        <f>IF($B$49="N/A","","Services Cost Per Day")</f>
        <v>Services Cost Per Day</v>
      </c>
      <c r="D308" s="253" t="str">
        <f>'Adjusted Schedule 3'!R158</f>
        <v/>
      </c>
      <c r="E308" s="253" t="str">
        <f>'As-Filed Schedule 3'!R157</f>
        <v/>
      </c>
      <c r="F308" s="253" t="str">
        <f t="shared" si="58"/>
        <v/>
      </c>
    </row>
    <row r="309" spans="1:6" x14ac:dyDescent="0.35">
      <c r="A309" s="254"/>
    </row>
    <row r="310" spans="1:6" x14ac:dyDescent="0.35">
      <c r="A310" s="254" t="s">
        <v>550</v>
      </c>
      <c r="B310" s="476">
        <f>'Adjusted Schedule 3'!B163:C163</f>
        <v>0</v>
      </c>
      <c r="C310" s="476"/>
    </row>
    <row r="311" spans="1:6" x14ac:dyDescent="0.35">
      <c r="A311" s="254"/>
      <c r="B311" t="str">
        <f>IF($B$49="N/A","","Census Days")</f>
        <v>Census Days</v>
      </c>
      <c r="D311" s="13">
        <f>'Adjusted Schedule 3'!K163</f>
        <v>0</v>
      </c>
      <c r="E311" s="13">
        <f>'As-Filed Schedule 3'!K162</f>
        <v>0</v>
      </c>
      <c r="F311" s="13">
        <f>D311-E311</f>
        <v>0</v>
      </c>
    </row>
    <row r="312" spans="1:6" x14ac:dyDescent="0.35">
      <c r="A312" s="254"/>
      <c r="B312" t="str">
        <f>IF($B$49="N/A","","Total Expense")</f>
        <v>Total Expense</v>
      </c>
      <c r="D312" s="248">
        <f>'Adjusted Schedule 3'!M163</f>
        <v>0</v>
      </c>
      <c r="E312" s="248">
        <f>'As-Filed Schedule 3'!M162</f>
        <v>0</v>
      </c>
      <c r="F312" s="248">
        <f t="shared" ref="F312:F313" si="59">D312-E312</f>
        <v>0</v>
      </c>
    </row>
    <row r="313" spans="1:6" x14ac:dyDescent="0.35">
      <c r="A313" s="254"/>
      <c r="B313" t="str">
        <f>IF($B$49="N/A","","Room and Board Expense")</f>
        <v>Room and Board Expense</v>
      </c>
      <c r="D313" s="248">
        <f>'Adjusted Schedule 3'!O163</f>
        <v>0</v>
      </c>
      <c r="E313" s="248">
        <f>'As-Filed Schedule 3'!O162</f>
        <v>0</v>
      </c>
      <c r="F313" s="248">
        <f t="shared" si="59"/>
        <v>0</v>
      </c>
    </row>
    <row r="314" spans="1:6" x14ac:dyDescent="0.35">
      <c r="A314" s="254"/>
      <c r="B314" t="str">
        <f>IF($B$49="N/A","","Services Expense")</f>
        <v>Services Expense</v>
      </c>
      <c r="D314" s="255" t="str">
        <f>'Adjusted Schedule 3'!Q163</f>
        <v/>
      </c>
      <c r="E314" s="255" t="str">
        <f>'As-Filed Schedule 3'!Q162</f>
        <v/>
      </c>
      <c r="F314" s="255" t="str">
        <f>IF(E314="","",D314-E314)</f>
        <v/>
      </c>
    </row>
    <row r="315" spans="1:6" s="1" customFormat="1" x14ac:dyDescent="0.35">
      <c r="A315" s="254"/>
      <c r="B315" s="1" t="str">
        <f>IF($B$49="N/A","","Facility Total Cost Per Day")</f>
        <v>Facility Total Cost Per Day</v>
      </c>
      <c r="D315" s="251" t="str">
        <f>'Adjusted Schedule 3'!N163</f>
        <v/>
      </c>
      <c r="E315" s="251" t="str">
        <f>'As-Filed Schedule 3'!N162</f>
        <v/>
      </c>
      <c r="F315" s="251" t="str">
        <f t="shared" ref="F315:F316" si="60">IF(E315="","",D315-E315)</f>
        <v/>
      </c>
    </row>
    <row r="316" spans="1:6" x14ac:dyDescent="0.35">
      <c r="A316" s="254"/>
      <c r="B316" t="str">
        <f>IF($B$49="N/A","","Room and Board Cost Per Day")</f>
        <v>Room and Board Cost Per Day</v>
      </c>
      <c r="D316" s="253" t="str">
        <f>'Adjusted Schedule 3'!P163</f>
        <v/>
      </c>
      <c r="E316" s="253" t="str">
        <f>'As-Filed Schedule 3'!P162</f>
        <v/>
      </c>
      <c r="F316" s="253" t="str">
        <f t="shared" si="60"/>
        <v/>
      </c>
    </row>
    <row r="317" spans="1:6" x14ac:dyDescent="0.35">
      <c r="A317" s="254"/>
      <c r="B317" t="str">
        <f>IF($B$49="N/A","","Services Cost Per Day")</f>
        <v>Services Cost Per Day</v>
      </c>
      <c r="D317" s="253" t="str">
        <f>'Adjusted Schedule 3'!R163</f>
        <v/>
      </c>
      <c r="E317" s="253" t="str">
        <f>'As-Filed Schedule 3'!R162</f>
        <v/>
      </c>
      <c r="F317" s="253" t="str">
        <f>IF(E317="","",D317-E317)</f>
        <v/>
      </c>
    </row>
    <row r="318" spans="1:6" x14ac:dyDescent="0.35">
      <c r="A318" s="254"/>
    </row>
    <row r="319" spans="1:6" x14ac:dyDescent="0.35">
      <c r="E319" s="253"/>
    </row>
  </sheetData>
  <customSheetViews>
    <customSheetView guid="{27BAF95E-10B4-4025-9660-F5A8EBC66DC3}" fitToPage="1" printArea="1" hiddenRows="1">
      <selection activeCell="H15" sqref="H15"/>
      <rowBreaks count="4" manualBreakCount="4">
        <brk id="79" max="5" man="1"/>
        <brk id="142" max="5" man="1"/>
        <brk id="205" max="5" man="1"/>
        <brk id="268" max="5" man="1"/>
      </rowBreaks>
      <pageMargins left="0.5" right="0.5" top="0.5" bottom="0.75" header="0.3" footer="0.3"/>
      <pageSetup scale="68" fitToHeight="0" orientation="portrait" horizontalDpi="1200" verticalDpi="1200" r:id="rId1"/>
    </customSheetView>
    <customSheetView guid="{D0F83CC0-0361-4280-BCA4-9A92C986158B}" fitToPage="1" printArea="1" hiddenRows="1">
      <selection activeCell="H15" sqref="H15"/>
      <rowBreaks count="4" manualBreakCount="4">
        <brk id="79" max="5" man="1"/>
        <brk id="142" max="5" man="1"/>
        <brk id="205" max="5" man="1"/>
        <brk id="268" max="5" man="1"/>
      </rowBreaks>
      <pageMargins left="0.5" right="0.5" top="0.5" bottom="0.75" header="0.3" footer="0.3"/>
      <pageSetup scale="68" fitToHeight="0" orientation="portrait" horizontalDpi="1200" verticalDpi="1200" r:id="rId2"/>
    </customSheetView>
  </customSheetViews>
  <mergeCells count="31">
    <mergeCell ref="A27:C27"/>
    <mergeCell ref="B49:C49"/>
    <mergeCell ref="B148:C148"/>
    <mergeCell ref="B139:C139"/>
    <mergeCell ref="B130:C130"/>
    <mergeCell ref="B121:C121"/>
    <mergeCell ref="B112:C112"/>
    <mergeCell ref="B103:C103"/>
    <mergeCell ref="B94:C94"/>
    <mergeCell ref="B85:C85"/>
    <mergeCell ref="B76:C76"/>
    <mergeCell ref="B67:C67"/>
    <mergeCell ref="B58:C58"/>
    <mergeCell ref="B157:C157"/>
    <mergeCell ref="B256:C256"/>
    <mergeCell ref="B247:C247"/>
    <mergeCell ref="B238:C238"/>
    <mergeCell ref="B229:C229"/>
    <mergeCell ref="B220:C220"/>
    <mergeCell ref="B211:C211"/>
    <mergeCell ref="B202:C202"/>
    <mergeCell ref="B193:C193"/>
    <mergeCell ref="B184:C184"/>
    <mergeCell ref="B175:C175"/>
    <mergeCell ref="B166:C166"/>
    <mergeCell ref="B265:C265"/>
    <mergeCell ref="B310:C310"/>
    <mergeCell ref="B301:C301"/>
    <mergeCell ref="B292:C292"/>
    <mergeCell ref="B283:C283"/>
    <mergeCell ref="B274:C274"/>
  </mergeCells>
  <dataValidations count="1">
    <dataValidation type="list" allowBlank="1" showInputMessage="1" showErrorMessage="1" sqref="A4" xr:uid="{00000000-0002-0000-0100-000000000000}">
      <formula1>$AA$5:$AA$6</formula1>
    </dataValidation>
  </dataValidations>
  <pageMargins left="0.5" right="0.5" top="0.5" bottom="0.75" header="0.3" footer="0.3"/>
  <pageSetup scale="68" fitToHeight="0" orientation="portrait" horizontalDpi="1200" verticalDpi="1200" r:id="rId3"/>
  <rowBreaks count="4" manualBreakCount="4">
    <brk id="79" max="5" man="1"/>
    <brk id="142" max="5" man="1"/>
    <brk id="205" max="5" man="1"/>
    <brk id="268" max="5"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autoPageBreaks="0"/>
  </sheetPr>
  <dimension ref="A1:AA420"/>
  <sheetViews>
    <sheetView workbookViewId="0"/>
  </sheetViews>
  <sheetFormatPr defaultColWidth="9.1796875" defaultRowHeight="12.5" x14ac:dyDescent="0.25"/>
  <cols>
    <col min="1" max="1" width="2.54296875" style="281" customWidth="1"/>
    <col min="2" max="2" width="13" style="281" customWidth="1"/>
    <col min="3" max="3" width="11.26953125" style="281" customWidth="1"/>
    <col min="4" max="4" width="14" style="281" customWidth="1"/>
    <col min="5" max="6" width="10.7265625" style="281" customWidth="1"/>
    <col min="7" max="7" width="12.7265625" style="398" customWidth="1"/>
    <col min="8" max="8" width="10.81640625" style="404" customWidth="1"/>
    <col min="9" max="9" width="13.1796875" style="404" customWidth="1"/>
    <col min="10" max="10" width="10.54296875" style="404" bestFit="1" customWidth="1"/>
    <col min="11" max="11" width="12.81640625" style="281" customWidth="1"/>
    <col min="12" max="12" width="9.1796875" style="282"/>
    <col min="13" max="13" width="2" style="282" customWidth="1"/>
    <col min="14" max="26" width="9.1796875" style="282"/>
    <col min="27" max="27" width="9.1796875" style="282" hidden="1" customWidth="1"/>
    <col min="28" max="16384" width="9.1796875" style="282"/>
  </cols>
  <sheetData>
    <row r="1" spans="1:27" customFormat="1" ht="26" x14ac:dyDescent="0.6">
      <c r="A1" s="3" t="s">
        <v>774</v>
      </c>
      <c r="G1" s="397"/>
      <c r="H1" s="69"/>
      <c r="I1" s="69"/>
      <c r="J1" s="69"/>
    </row>
    <row r="2" spans="1:27" customFormat="1" ht="21" x14ac:dyDescent="0.5">
      <c r="A2" s="2" t="s">
        <v>772</v>
      </c>
      <c r="G2" s="397"/>
      <c r="H2" s="69"/>
      <c r="I2" s="69"/>
      <c r="J2" s="69"/>
      <c r="AA2" s="40" t="s">
        <v>496</v>
      </c>
    </row>
    <row r="3" spans="1:27" customFormat="1" ht="25" customHeight="1" x14ac:dyDescent="0.5">
      <c r="A3" s="243" t="str">
        <f>Results!A4</f>
        <v>Final Adjustments</v>
      </c>
      <c r="G3" s="397"/>
      <c r="H3" s="69"/>
      <c r="I3" s="69"/>
      <c r="J3" s="69"/>
      <c r="AA3" s="40" t="s">
        <v>497</v>
      </c>
    </row>
    <row r="4" spans="1:27" customFormat="1" ht="14.5" x14ac:dyDescent="0.35">
      <c r="F4" s="36"/>
      <c r="G4" s="397"/>
      <c r="H4" s="69"/>
      <c r="I4" s="69"/>
      <c r="J4" s="69"/>
    </row>
    <row r="5" spans="1:27" customFormat="1" ht="14.5" x14ac:dyDescent="0.35">
      <c r="A5" s="1" t="s">
        <v>773</v>
      </c>
      <c r="D5" s="421" t="str">
        <f>Results!$C$6</f>
        <v>Health Solutions</v>
      </c>
      <c r="G5" s="397"/>
      <c r="H5" s="69"/>
      <c r="I5" s="69"/>
      <c r="J5" s="69"/>
    </row>
    <row r="6" spans="1:27" customFormat="1" ht="14.5" x14ac:dyDescent="0.35">
      <c r="A6" s="1" t="s">
        <v>0</v>
      </c>
      <c r="D6" s="35">
        <f>Results!$C$7</f>
        <v>45473</v>
      </c>
      <c r="F6" s="40"/>
      <c r="G6" s="397"/>
      <c r="H6" s="69"/>
      <c r="I6" s="69"/>
      <c r="J6" s="69"/>
    </row>
    <row r="7" spans="1:27" ht="13" thickBot="1" x14ac:dyDescent="0.3"/>
    <row r="8" spans="1:27" ht="13.5" thickBot="1" x14ac:dyDescent="0.3">
      <c r="B8" s="283" t="s">
        <v>578</v>
      </c>
      <c r="C8" s="284"/>
      <c r="D8" s="284"/>
      <c r="E8" s="284"/>
      <c r="F8" s="284"/>
      <c r="G8" s="399"/>
      <c r="H8" s="405"/>
      <c r="I8" s="405"/>
      <c r="J8" s="405"/>
      <c r="K8" s="285"/>
    </row>
    <row r="9" spans="1:27" ht="13" x14ac:dyDescent="0.25">
      <c r="B9" s="286"/>
      <c r="C9" s="286"/>
      <c r="D9" s="286"/>
      <c r="E9" s="286"/>
      <c r="F9" s="286"/>
      <c r="G9" s="400"/>
      <c r="H9" s="288"/>
      <c r="I9" s="288"/>
      <c r="J9" s="288"/>
      <c r="K9" s="286"/>
    </row>
    <row r="10" spans="1:27" ht="13" x14ac:dyDescent="0.25">
      <c r="A10" s="287"/>
      <c r="B10" s="288" t="s">
        <v>579</v>
      </c>
      <c r="C10" s="289"/>
      <c r="D10" s="289"/>
      <c r="E10" s="289"/>
      <c r="F10" s="289"/>
      <c r="G10" s="401"/>
      <c r="H10" s="289"/>
      <c r="I10" s="289"/>
      <c r="J10" s="289"/>
      <c r="K10" s="289"/>
    </row>
    <row r="11" spans="1:27" ht="13" x14ac:dyDescent="0.25">
      <c r="A11" s="287"/>
      <c r="B11" s="290" t="s">
        <v>580</v>
      </c>
      <c r="C11" s="291" t="s">
        <v>11</v>
      </c>
      <c r="D11" s="292"/>
      <c r="E11" s="290"/>
      <c r="F11" s="290"/>
      <c r="G11" s="402" t="s">
        <v>581</v>
      </c>
      <c r="H11" s="290" t="s">
        <v>582</v>
      </c>
      <c r="I11" s="290" t="s">
        <v>583</v>
      </c>
      <c r="J11" s="290" t="s">
        <v>584</v>
      </c>
      <c r="K11" s="290" t="s">
        <v>585</v>
      </c>
      <c r="M11" s="293"/>
      <c r="N11" s="294"/>
      <c r="O11" s="294"/>
      <c r="P11" s="294"/>
      <c r="Q11" s="294"/>
      <c r="R11" s="294"/>
      <c r="S11" s="294"/>
      <c r="T11" s="294"/>
      <c r="U11" s="294"/>
      <c r="V11" s="294"/>
    </row>
    <row r="12" spans="1:27" ht="13" x14ac:dyDescent="0.25">
      <c r="A12" s="295"/>
      <c r="B12" s="296" t="s">
        <v>985</v>
      </c>
      <c r="C12" s="297"/>
      <c r="D12" s="298"/>
      <c r="E12" s="298"/>
      <c r="F12" s="298"/>
      <c r="G12" s="299"/>
      <c r="H12" s="300"/>
      <c r="I12" s="300"/>
      <c r="J12" s="406"/>
      <c r="K12" s="301"/>
    </row>
    <row r="13" spans="1:27" ht="13.5" thickBot="1" x14ac:dyDescent="0.3">
      <c r="A13" s="295"/>
      <c r="B13" s="296"/>
      <c r="C13" s="297"/>
      <c r="D13" s="298"/>
      <c r="E13" s="298"/>
      <c r="F13" s="298"/>
      <c r="G13" s="299"/>
      <c r="H13" s="300"/>
      <c r="I13" s="300"/>
      <c r="J13" s="406"/>
      <c r="K13" s="301"/>
    </row>
    <row r="14" spans="1:27" ht="13.5" thickBot="1" x14ac:dyDescent="0.3">
      <c r="B14" s="283" t="s">
        <v>586</v>
      </c>
      <c r="C14" s="284"/>
      <c r="D14" s="284"/>
      <c r="E14" s="284"/>
      <c r="F14" s="284"/>
      <c r="G14" s="399"/>
      <c r="H14" s="405"/>
      <c r="I14" s="405"/>
      <c r="J14" s="405"/>
      <c r="K14" s="285"/>
    </row>
    <row r="15" spans="1:27" ht="13" x14ac:dyDescent="0.25">
      <c r="B15" s="286"/>
      <c r="C15" s="286"/>
      <c r="D15" s="286"/>
      <c r="E15" s="286"/>
      <c r="F15" s="286"/>
      <c r="G15" s="400"/>
      <c r="H15" s="288"/>
      <c r="I15" s="288"/>
      <c r="J15" s="288"/>
      <c r="K15" s="286"/>
    </row>
    <row r="16" spans="1:27" ht="13" x14ac:dyDescent="0.25">
      <c r="A16" s="287"/>
      <c r="B16" s="288" t="s">
        <v>579</v>
      </c>
      <c r="C16" s="289"/>
      <c r="D16" s="289"/>
      <c r="E16" s="289"/>
      <c r="F16" s="289"/>
      <c r="G16" s="401"/>
      <c r="H16" s="289"/>
      <c r="I16" s="289"/>
      <c r="J16" s="289"/>
      <c r="K16" s="289"/>
    </row>
    <row r="17" spans="1:22" ht="13" x14ac:dyDescent="0.25">
      <c r="A17" s="287"/>
      <c r="B17" s="290" t="s">
        <v>580</v>
      </c>
      <c r="C17" s="291" t="s">
        <v>11</v>
      </c>
      <c r="D17" s="292"/>
      <c r="E17" s="290"/>
      <c r="F17" s="290"/>
      <c r="G17" s="402" t="s">
        <v>581</v>
      </c>
      <c r="H17" s="290" t="s">
        <v>582</v>
      </c>
      <c r="I17" s="290" t="s">
        <v>583</v>
      </c>
      <c r="J17" s="290" t="s">
        <v>584</v>
      </c>
      <c r="K17" s="290" t="s">
        <v>585</v>
      </c>
      <c r="M17" s="293"/>
      <c r="N17" s="294"/>
      <c r="O17" s="294"/>
      <c r="P17" s="294"/>
      <c r="Q17" s="294"/>
      <c r="R17" s="294"/>
      <c r="S17" s="294"/>
      <c r="T17" s="294"/>
      <c r="U17" s="294"/>
      <c r="V17" s="294"/>
    </row>
    <row r="18" spans="1:22" ht="13" x14ac:dyDescent="0.25">
      <c r="A18" s="295"/>
      <c r="B18" s="296" t="s">
        <v>985</v>
      </c>
      <c r="C18" s="297"/>
      <c r="D18" s="298"/>
      <c r="E18" s="298"/>
      <c r="F18" s="298"/>
      <c r="G18" s="302"/>
      <c r="H18" s="300"/>
      <c r="I18" s="300"/>
      <c r="J18" s="300"/>
      <c r="K18" s="301"/>
    </row>
    <row r="19" spans="1:22" ht="13.5" thickBot="1" x14ac:dyDescent="0.3">
      <c r="A19" s="295"/>
      <c r="B19" s="296"/>
      <c r="C19" s="297"/>
      <c r="D19" s="298"/>
      <c r="E19" s="298"/>
      <c r="F19" s="298"/>
      <c r="G19" s="299"/>
      <c r="H19" s="300"/>
      <c r="I19" s="300"/>
      <c r="J19" s="406"/>
      <c r="K19" s="301"/>
    </row>
    <row r="20" spans="1:22" ht="13.5" thickBot="1" x14ac:dyDescent="0.3">
      <c r="B20" s="283" t="s">
        <v>587</v>
      </c>
      <c r="C20" s="284"/>
      <c r="D20" s="284"/>
      <c r="E20" s="284"/>
      <c r="F20" s="284"/>
      <c r="G20" s="399"/>
      <c r="H20" s="405"/>
      <c r="I20" s="405"/>
      <c r="J20" s="405"/>
      <c r="K20" s="285"/>
    </row>
    <row r="21" spans="1:22" ht="13" x14ac:dyDescent="0.25">
      <c r="B21" s="286"/>
      <c r="C21" s="286"/>
      <c r="D21" s="286"/>
      <c r="E21" s="286"/>
      <c r="F21" s="286"/>
      <c r="G21" s="400"/>
      <c r="H21" s="288"/>
      <c r="I21" s="288"/>
      <c r="J21" s="288"/>
      <c r="K21" s="286"/>
    </row>
    <row r="22" spans="1:22" ht="13" x14ac:dyDescent="0.25">
      <c r="A22" s="287"/>
      <c r="B22" s="288" t="s">
        <v>579</v>
      </c>
      <c r="C22" s="289"/>
      <c r="D22" s="289"/>
      <c r="E22" s="289"/>
      <c r="F22" s="289"/>
      <c r="G22" s="401"/>
      <c r="H22" s="289"/>
      <c r="I22" s="289"/>
      <c r="J22" s="289"/>
      <c r="K22" s="289"/>
    </row>
    <row r="23" spans="1:22" ht="13" x14ac:dyDescent="0.25">
      <c r="A23" s="287"/>
      <c r="B23" s="290" t="s">
        <v>580</v>
      </c>
      <c r="C23" s="291" t="s">
        <v>11</v>
      </c>
      <c r="D23" s="292"/>
      <c r="E23" s="290"/>
      <c r="F23" s="290"/>
      <c r="G23" s="402" t="s">
        <v>581</v>
      </c>
      <c r="H23" s="290" t="s">
        <v>582</v>
      </c>
      <c r="I23" s="290" t="s">
        <v>583</v>
      </c>
      <c r="J23" s="290" t="s">
        <v>584</v>
      </c>
      <c r="K23" s="290" t="s">
        <v>585</v>
      </c>
      <c r="M23" s="293"/>
      <c r="N23" s="294"/>
      <c r="O23" s="294"/>
      <c r="P23" s="294"/>
      <c r="Q23" s="294"/>
      <c r="R23" s="294"/>
      <c r="S23" s="294"/>
      <c r="T23" s="294"/>
      <c r="U23" s="294"/>
      <c r="V23" s="294"/>
    </row>
    <row r="24" spans="1:22" ht="13" x14ac:dyDescent="0.25">
      <c r="A24" s="295"/>
      <c r="B24" s="296" t="s">
        <v>985</v>
      </c>
      <c r="C24" s="297"/>
      <c r="D24" s="298"/>
      <c r="E24" s="298"/>
      <c r="F24" s="298"/>
      <c r="G24" s="302"/>
      <c r="H24" s="303"/>
      <c r="I24" s="304"/>
      <c r="J24" s="304"/>
      <c r="K24" s="301"/>
    </row>
    <row r="25" spans="1:22" ht="13.5" thickBot="1" x14ac:dyDescent="0.3">
      <c r="A25" s="295"/>
      <c r="B25" s="296"/>
      <c r="C25" s="297"/>
      <c r="D25" s="298"/>
      <c r="E25" s="298"/>
      <c r="F25" s="298"/>
      <c r="G25" s="302"/>
      <c r="H25" s="303"/>
      <c r="I25" s="304"/>
      <c r="J25" s="304"/>
      <c r="K25" s="301"/>
    </row>
    <row r="26" spans="1:22" ht="13.5" thickBot="1" x14ac:dyDescent="0.3">
      <c r="A26" s="287"/>
      <c r="B26" s="283" t="s">
        <v>588</v>
      </c>
      <c r="C26" s="284"/>
      <c r="D26" s="284"/>
      <c r="E26" s="284"/>
      <c r="F26" s="284"/>
      <c r="G26" s="399"/>
      <c r="H26" s="405"/>
      <c r="I26" s="405"/>
      <c r="J26" s="405"/>
      <c r="K26" s="285"/>
    </row>
    <row r="27" spans="1:22" x14ac:dyDescent="0.25">
      <c r="A27" s="287"/>
      <c r="B27" s="305"/>
      <c r="C27" s="306"/>
      <c r="D27" s="287"/>
      <c r="E27" s="287"/>
      <c r="F27" s="287"/>
      <c r="G27" s="403"/>
      <c r="H27" s="305"/>
      <c r="I27" s="305"/>
      <c r="J27" s="305"/>
      <c r="K27" s="287"/>
    </row>
    <row r="28" spans="1:22" ht="13" x14ac:dyDescent="0.25">
      <c r="A28" s="287"/>
      <c r="B28" s="288" t="s">
        <v>579</v>
      </c>
      <c r="C28" s="306"/>
      <c r="D28" s="287"/>
      <c r="E28" s="287"/>
      <c r="F28" s="287"/>
      <c r="G28" s="403"/>
      <c r="H28" s="305"/>
      <c r="I28" s="305"/>
      <c r="J28" s="305"/>
      <c r="K28" s="287"/>
    </row>
    <row r="29" spans="1:22" ht="13" x14ac:dyDescent="0.25">
      <c r="A29" s="287"/>
      <c r="B29" s="290" t="s">
        <v>580</v>
      </c>
      <c r="C29" s="291" t="s">
        <v>11</v>
      </c>
      <c r="D29" s="292"/>
      <c r="E29" s="290"/>
      <c r="F29" s="290"/>
      <c r="G29" s="402" t="s">
        <v>581</v>
      </c>
      <c r="H29" s="290" t="s">
        <v>582</v>
      </c>
      <c r="I29" s="290" t="s">
        <v>583</v>
      </c>
      <c r="J29" s="290" t="s">
        <v>584</v>
      </c>
      <c r="K29" s="290" t="s">
        <v>585</v>
      </c>
    </row>
    <row r="30" spans="1:22" x14ac:dyDescent="0.25">
      <c r="A30" s="287"/>
      <c r="B30" s="296" t="s">
        <v>985</v>
      </c>
      <c r="C30" s="287"/>
      <c r="D30" s="287"/>
      <c r="E30" s="287"/>
      <c r="F30" s="287"/>
      <c r="G30" s="403"/>
      <c r="H30" s="304"/>
      <c r="I30" s="304"/>
      <c r="J30" s="304"/>
      <c r="K30" s="307"/>
    </row>
    <row r="31" spans="1:22" ht="13.5" thickBot="1" x14ac:dyDescent="0.3">
      <c r="A31" s="295"/>
      <c r="B31" s="296"/>
      <c r="C31" s="297"/>
      <c r="D31" s="298"/>
      <c r="E31" s="298"/>
      <c r="F31" s="298"/>
      <c r="G31" s="299"/>
      <c r="H31" s="300"/>
      <c r="I31" s="300"/>
      <c r="J31" s="406"/>
      <c r="K31" s="301"/>
    </row>
    <row r="32" spans="1:22" ht="13.5" thickBot="1" x14ac:dyDescent="0.3">
      <c r="A32" s="287"/>
      <c r="B32" s="283" t="s">
        <v>589</v>
      </c>
      <c r="C32" s="284"/>
      <c r="D32" s="284"/>
      <c r="E32" s="284"/>
      <c r="F32" s="284"/>
      <c r="G32" s="399"/>
      <c r="H32" s="405"/>
      <c r="I32" s="405"/>
      <c r="J32" s="405"/>
      <c r="K32" s="285"/>
    </row>
    <row r="33" spans="1:11" x14ac:dyDescent="0.25">
      <c r="A33" s="287"/>
      <c r="B33" s="305"/>
      <c r="C33" s="306"/>
      <c r="D33" s="287"/>
      <c r="E33" s="287"/>
      <c r="F33" s="287"/>
      <c r="G33" s="403"/>
      <c r="H33" s="305"/>
      <c r="I33" s="305"/>
      <c r="J33" s="305"/>
      <c r="K33" s="287"/>
    </row>
    <row r="34" spans="1:11" ht="13" x14ac:dyDescent="0.25">
      <c r="A34" s="287"/>
      <c r="B34" s="288" t="s">
        <v>579</v>
      </c>
      <c r="C34" s="306"/>
      <c r="D34" s="287"/>
      <c r="E34" s="287"/>
      <c r="F34" s="287"/>
      <c r="G34" s="403"/>
      <c r="H34" s="305"/>
      <c r="I34" s="305"/>
      <c r="J34" s="305"/>
      <c r="K34" s="287"/>
    </row>
    <row r="35" spans="1:11" ht="13" x14ac:dyDescent="0.25">
      <c r="A35" s="287"/>
      <c r="B35" s="290" t="s">
        <v>580</v>
      </c>
      <c r="C35" s="291" t="s">
        <v>11</v>
      </c>
      <c r="D35" s="292"/>
      <c r="E35" s="290"/>
      <c r="F35" s="290"/>
      <c r="G35" s="402" t="s">
        <v>581</v>
      </c>
      <c r="H35" s="290" t="s">
        <v>582</v>
      </c>
      <c r="I35" s="290" t="s">
        <v>583</v>
      </c>
      <c r="J35" s="290" t="s">
        <v>584</v>
      </c>
      <c r="K35" s="290" t="s">
        <v>585</v>
      </c>
    </row>
    <row r="36" spans="1:11" x14ac:dyDescent="0.25">
      <c r="A36" s="287"/>
      <c r="B36" s="296" t="s">
        <v>985</v>
      </c>
      <c r="C36" s="287"/>
      <c r="D36" s="287"/>
      <c r="E36" s="287"/>
      <c r="F36" s="287"/>
      <c r="G36" s="403"/>
      <c r="H36" s="304"/>
      <c r="I36" s="304"/>
      <c r="J36" s="304"/>
      <c r="K36" s="287"/>
    </row>
    <row r="37" spans="1:11" ht="13.5" thickBot="1" x14ac:dyDescent="0.3">
      <c r="A37" s="295"/>
      <c r="B37" s="296"/>
      <c r="C37" s="297"/>
      <c r="D37" s="298"/>
      <c r="E37" s="298"/>
      <c r="F37" s="298"/>
      <c r="G37" s="299"/>
      <c r="H37" s="300"/>
      <c r="I37" s="300"/>
      <c r="J37" s="406"/>
      <c r="K37" s="301"/>
    </row>
    <row r="38" spans="1:11" ht="13.5" thickBot="1" x14ac:dyDescent="0.3">
      <c r="A38" s="287"/>
      <c r="B38" s="283" t="s">
        <v>590</v>
      </c>
      <c r="C38" s="284"/>
      <c r="D38" s="284"/>
      <c r="E38" s="284"/>
      <c r="F38" s="284"/>
      <c r="G38" s="399"/>
      <c r="H38" s="405"/>
      <c r="I38" s="405"/>
      <c r="J38" s="405"/>
      <c r="K38" s="285"/>
    </row>
    <row r="39" spans="1:11" x14ac:dyDescent="0.25">
      <c r="A39" s="287"/>
      <c r="B39" s="305"/>
      <c r="C39" s="306"/>
      <c r="D39" s="287"/>
      <c r="E39" s="287"/>
      <c r="F39" s="287"/>
      <c r="G39" s="403"/>
      <c r="H39" s="305"/>
      <c r="I39" s="305"/>
      <c r="J39" s="305"/>
      <c r="K39" s="287"/>
    </row>
    <row r="40" spans="1:11" ht="13" x14ac:dyDescent="0.25">
      <c r="A40" s="287"/>
      <c r="B40" s="288" t="s">
        <v>579</v>
      </c>
      <c r="C40" s="306"/>
      <c r="D40" s="287"/>
      <c r="E40" s="287"/>
      <c r="F40" s="287"/>
      <c r="G40" s="403"/>
      <c r="H40" s="305"/>
      <c r="I40" s="305"/>
      <c r="J40" s="305"/>
      <c r="K40" s="287"/>
    </row>
    <row r="41" spans="1:11" ht="13" x14ac:dyDescent="0.25">
      <c r="A41" s="287"/>
      <c r="B41" s="290" t="s">
        <v>580</v>
      </c>
      <c r="C41" s="291" t="s">
        <v>11</v>
      </c>
      <c r="D41" s="292"/>
      <c r="E41" s="290"/>
      <c r="F41" s="290"/>
      <c r="G41" s="402" t="s">
        <v>581</v>
      </c>
      <c r="H41" s="290" t="s">
        <v>582</v>
      </c>
      <c r="I41" s="290" t="s">
        <v>583</v>
      </c>
      <c r="J41" s="290" t="s">
        <v>584</v>
      </c>
      <c r="K41" s="290" t="s">
        <v>585</v>
      </c>
    </row>
    <row r="42" spans="1:11" x14ac:dyDescent="0.25">
      <c r="A42" s="287"/>
      <c r="B42" s="296" t="s">
        <v>985</v>
      </c>
      <c r="C42" s="287"/>
      <c r="D42" s="287"/>
      <c r="E42" s="287"/>
      <c r="F42" s="287"/>
      <c r="G42" s="403"/>
      <c r="H42" s="305"/>
      <c r="I42" s="305"/>
      <c r="J42" s="305"/>
      <c r="K42" s="287"/>
    </row>
    <row r="43" spans="1:11" ht="13" thickBot="1" x14ac:dyDescent="0.3">
      <c r="A43" s="287"/>
      <c r="B43" s="287"/>
      <c r="C43" s="287"/>
      <c r="D43" s="287"/>
      <c r="E43" s="287"/>
      <c r="F43" s="287"/>
      <c r="G43" s="403"/>
      <c r="H43" s="305"/>
      <c r="I43" s="305"/>
      <c r="J43" s="305"/>
      <c r="K43" s="287"/>
    </row>
    <row r="44" spans="1:11" ht="13.5" thickBot="1" x14ac:dyDescent="0.3">
      <c r="A44" s="287"/>
      <c r="B44" s="283" t="s">
        <v>926</v>
      </c>
      <c r="C44" s="284"/>
      <c r="D44" s="284"/>
      <c r="E44" s="284"/>
      <c r="F44" s="284"/>
      <c r="G44" s="284"/>
      <c r="H44" s="284"/>
      <c r="I44" s="284"/>
      <c r="J44" s="284"/>
      <c r="K44" s="285"/>
    </row>
    <row r="45" spans="1:11" x14ac:dyDescent="0.25">
      <c r="A45" s="287"/>
      <c r="B45" s="305"/>
      <c r="C45" s="306"/>
      <c r="D45" s="287"/>
      <c r="E45" s="287"/>
      <c r="F45" s="287"/>
      <c r="G45" s="287"/>
      <c r="H45" s="287"/>
      <c r="I45" s="287"/>
      <c r="J45" s="287"/>
      <c r="K45" s="287"/>
    </row>
    <row r="46" spans="1:11" ht="13" x14ac:dyDescent="0.25">
      <c r="A46" s="287"/>
      <c r="B46" s="288" t="s">
        <v>579</v>
      </c>
      <c r="C46" s="306"/>
      <c r="D46" s="287"/>
      <c r="E46" s="287"/>
      <c r="F46" s="287"/>
      <c r="G46" s="287"/>
      <c r="H46" s="287"/>
      <c r="I46" s="287"/>
      <c r="J46" s="287"/>
      <c r="K46" s="287"/>
    </row>
    <row r="47" spans="1:11" ht="13" x14ac:dyDescent="0.25">
      <c r="A47" s="287"/>
      <c r="B47" s="290" t="s">
        <v>580</v>
      </c>
      <c r="C47" s="291" t="s">
        <v>11</v>
      </c>
      <c r="D47" s="292"/>
      <c r="E47" s="290"/>
      <c r="F47" s="290"/>
      <c r="G47" s="290" t="s">
        <v>581</v>
      </c>
      <c r="H47" s="290" t="s">
        <v>582</v>
      </c>
      <c r="I47" s="290" t="s">
        <v>583</v>
      </c>
      <c r="J47" s="290" t="s">
        <v>584</v>
      </c>
      <c r="K47" s="290" t="s">
        <v>585</v>
      </c>
    </row>
    <row r="48" spans="1:11" x14ac:dyDescent="0.25">
      <c r="A48" s="287"/>
      <c r="B48" s="296" t="s">
        <v>985</v>
      </c>
      <c r="C48" s="287"/>
      <c r="D48" s="287"/>
      <c r="E48" s="287"/>
      <c r="F48" s="287"/>
      <c r="G48" s="403"/>
      <c r="H48" s="305"/>
      <c r="I48" s="305"/>
      <c r="J48" s="305"/>
      <c r="K48" s="287"/>
    </row>
    <row r="49" spans="1:11" x14ac:dyDescent="0.25">
      <c r="A49" s="287"/>
      <c r="B49" s="287"/>
      <c r="C49" s="287"/>
      <c r="D49" s="287"/>
      <c r="E49" s="287"/>
      <c r="F49" s="287"/>
      <c r="G49" s="403"/>
      <c r="H49" s="305"/>
      <c r="I49" s="305"/>
      <c r="J49" s="305"/>
      <c r="K49" s="287"/>
    </row>
    <row r="50" spans="1:11" x14ac:dyDescent="0.25">
      <c r="A50" s="287"/>
      <c r="B50" s="287"/>
      <c r="C50" s="287"/>
      <c r="D50" s="287"/>
      <c r="E50" s="287"/>
      <c r="F50" s="287"/>
      <c r="G50" s="403"/>
      <c r="H50" s="305"/>
      <c r="I50" s="305"/>
      <c r="J50" s="305"/>
      <c r="K50" s="287"/>
    </row>
    <row r="51" spans="1:11" x14ac:dyDescent="0.25">
      <c r="A51" s="287"/>
      <c r="B51" s="287"/>
      <c r="C51" s="287"/>
      <c r="D51" s="287"/>
      <c r="E51" s="287"/>
      <c r="F51" s="287"/>
      <c r="G51" s="403"/>
      <c r="H51" s="305"/>
      <c r="I51" s="305"/>
      <c r="J51" s="305"/>
      <c r="K51" s="287"/>
    </row>
    <row r="52" spans="1:11" x14ac:dyDescent="0.25">
      <c r="A52" s="287"/>
      <c r="B52" s="287"/>
      <c r="C52" s="287"/>
      <c r="D52" s="287"/>
      <c r="E52" s="287"/>
      <c r="F52" s="287"/>
      <c r="G52" s="403"/>
      <c r="H52" s="305"/>
      <c r="I52" s="305"/>
      <c r="J52" s="305"/>
      <c r="K52" s="287"/>
    </row>
    <row r="53" spans="1:11" x14ac:dyDescent="0.25">
      <c r="A53" s="287"/>
      <c r="B53" s="287"/>
      <c r="C53" s="287"/>
      <c r="D53" s="287"/>
      <c r="E53" s="287"/>
      <c r="F53" s="287"/>
      <c r="G53" s="403"/>
      <c r="H53" s="305"/>
      <c r="I53" s="305"/>
      <c r="J53" s="305"/>
      <c r="K53" s="287"/>
    </row>
    <row r="54" spans="1:11" x14ac:dyDescent="0.25">
      <c r="A54" s="287"/>
      <c r="B54" s="287"/>
      <c r="C54" s="287"/>
      <c r="D54" s="287"/>
      <c r="E54" s="287"/>
      <c r="F54" s="287"/>
      <c r="G54" s="403"/>
      <c r="H54" s="305"/>
      <c r="I54" s="305"/>
      <c r="J54" s="305"/>
      <c r="K54" s="287"/>
    </row>
    <row r="55" spans="1:11" x14ac:dyDescent="0.25">
      <c r="A55" s="287"/>
      <c r="B55" s="287"/>
      <c r="C55" s="287"/>
      <c r="D55" s="287"/>
      <c r="E55" s="287"/>
      <c r="F55" s="287"/>
      <c r="G55" s="403"/>
      <c r="H55" s="305"/>
      <c r="I55" s="305"/>
      <c r="J55" s="305"/>
      <c r="K55" s="287"/>
    </row>
    <row r="56" spans="1:11" x14ac:dyDescent="0.25">
      <c r="A56" s="287"/>
      <c r="B56" s="287"/>
      <c r="C56" s="287"/>
      <c r="D56" s="287"/>
      <c r="E56" s="287"/>
      <c r="F56" s="287"/>
      <c r="G56" s="403"/>
      <c r="H56" s="305"/>
      <c r="I56" s="305"/>
      <c r="J56" s="305"/>
      <c r="K56" s="287"/>
    </row>
    <row r="57" spans="1:11" x14ac:dyDescent="0.25">
      <c r="A57" s="287"/>
      <c r="B57" s="287"/>
      <c r="C57" s="287"/>
      <c r="D57" s="287"/>
      <c r="E57" s="287"/>
      <c r="F57" s="287"/>
      <c r="G57" s="403"/>
      <c r="H57" s="305"/>
      <c r="I57" s="305"/>
      <c r="J57" s="305"/>
      <c r="K57" s="287"/>
    </row>
    <row r="58" spans="1:11" x14ac:dyDescent="0.25">
      <c r="A58" s="287"/>
      <c r="B58" s="287"/>
      <c r="C58" s="287"/>
      <c r="D58" s="287"/>
      <c r="E58" s="287"/>
      <c r="F58" s="287"/>
      <c r="G58" s="403"/>
      <c r="H58" s="305"/>
      <c r="I58" s="305"/>
      <c r="J58" s="305"/>
      <c r="K58" s="287"/>
    </row>
    <row r="59" spans="1:11" x14ac:dyDescent="0.25">
      <c r="A59" s="287"/>
      <c r="B59" s="287"/>
      <c r="C59" s="287"/>
      <c r="D59" s="287"/>
      <c r="E59" s="287"/>
      <c r="F59" s="287"/>
      <c r="G59" s="403"/>
      <c r="H59" s="305"/>
      <c r="I59" s="305"/>
      <c r="J59" s="305"/>
      <c r="K59" s="287"/>
    </row>
    <row r="60" spans="1:11" x14ac:dyDescent="0.25">
      <c r="A60" s="287"/>
      <c r="B60" s="287"/>
      <c r="C60" s="287"/>
      <c r="D60" s="287"/>
      <c r="E60" s="287"/>
      <c r="F60" s="287"/>
      <c r="G60" s="403"/>
      <c r="H60" s="305"/>
      <c r="I60" s="305"/>
      <c r="J60" s="305"/>
      <c r="K60" s="287"/>
    </row>
    <row r="61" spans="1:11" x14ac:dyDescent="0.25">
      <c r="A61" s="287"/>
      <c r="B61" s="287"/>
      <c r="C61" s="287"/>
      <c r="D61" s="287"/>
      <c r="E61" s="287"/>
      <c r="F61" s="287"/>
      <c r="G61" s="403"/>
      <c r="H61" s="305"/>
      <c r="I61" s="305"/>
      <c r="J61" s="305"/>
      <c r="K61" s="287"/>
    </row>
    <row r="62" spans="1:11" x14ac:dyDescent="0.25">
      <c r="A62" s="287"/>
      <c r="B62" s="287"/>
      <c r="C62" s="287"/>
      <c r="D62" s="287"/>
      <c r="E62" s="287"/>
      <c r="F62" s="287"/>
      <c r="G62" s="403"/>
      <c r="H62" s="305"/>
      <c r="I62" s="305"/>
      <c r="J62" s="305"/>
      <c r="K62" s="287"/>
    </row>
    <row r="63" spans="1:11" x14ac:dyDescent="0.25">
      <c r="A63" s="287"/>
      <c r="B63" s="287"/>
      <c r="C63" s="287"/>
      <c r="D63" s="287"/>
      <c r="E63" s="287"/>
      <c r="F63" s="287"/>
      <c r="G63" s="403"/>
      <c r="H63" s="305"/>
      <c r="I63" s="305"/>
      <c r="J63" s="305"/>
      <c r="K63" s="287"/>
    </row>
    <row r="64" spans="1:11" x14ac:dyDescent="0.25">
      <c r="A64" s="287"/>
      <c r="B64" s="287"/>
      <c r="C64" s="287"/>
      <c r="D64" s="287"/>
      <c r="E64" s="287"/>
      <c r="F64" s="287"/>
      <c r="G64" s="403"/>
      <c r="H64" s="305"/>
      <c r="I64" s="305"/>
      <c r="J64" s="305"/>
      <c r="K64" s="287"/>
    </row>
    <row r="65" spans="1:11" x14ac:dyDescent="0.25">
      <c r="A65" s="287"/>
      <c r="B65" s="287"/>
      <c r="C65" s="287"/>
      <c r="D65" s="287"/>
      <c r="E65" s="287"/>
      <c r="F65" s="287"/>
      <c r="G65" s="403"/>
      <c r="H65" s="305"/>
      <c r="I65" s="305"/>
      <c r="J65" s="305"/>
      <c r="K65" s="287"/>
    </row>
    <row r="66" spans="1:11" x14ac:dyDescent="0.25">
      <c r="A66" s="287"/>
      <c r="B66" s="287"/>
      <c r="C66" s="287"/>
      <c r="D66" s="287"/>
      <c r="E66" s="287"/>
      <c r="F66" s="287"/>
      <c r="G66" s="403"/>
      <c r="H66" s="305"/>
      <c r="I66" s="305"/>
      <c r="J66" s="305"/>
      <c r="K66" s="287"/>
    </row>
    <row r="67" spans="1:11" x14ac:dyDescent="0.25">
      <c r="A67" s="287"/>
      <c r="B67" s="287"/>
      <c r="C67" s="287"/>
      <c r="D67" s="287"/>
      <c r="E67" s="287"/>
      <c r="F67" s="287"/>
      <c r="G67" s="403"/>
      <c r="H67" s="305"/>
      <c r="I67" s="305"/>
      <c r="J67" s="305"/>
      <c r="K67" s="287"/>
    </row>
    <row r="68" spans="1:11" x14ac:dyDescent="0.25">
      <c r="A68" s="287"/>
      <c r="B68" s="287"/>
      <c r="C68" s="287"/>
      <c r="D68" s="287"/>
      <c r="E68" s="287"/>
      <c r="F68" s="287"/>
      <c r="G68" s="403"/>
      <c r="H68" s="305"/>
      <c r="I68" s="305"/>
      <c r="J68" s="305"/>
      <c r="K68" s="287"/>
    </row>
    <row r="69" spans="1:11" x14ac:dyDescent="0.25">
      <c r="A69" s="287"/>
      <c r="B69" s="287"/>
      <c r="C69" s="287"/>
      <c r="D69" s="287"/>
      <c r="E69" s="287"/>
      <c r="F69" s="287"/>
      <c r="G69" s="403"/>
      <c r="H69" s="305"/>
      <c r="I69" s="305"/>
      <c r="J69" s="305"/>
      <c r="K69" s="287"/>
    </row>
    <row r="70" spans="1:11" x14ac:dyDescent="0.25">
      <c r="A70" s="287"/>
      <c r="B70" s="287"/>
      <c r="C70" s="287"/>
      <c r="D70" s="287"/>
      <c r="E70" s="287"/>
      <c r="F70" s="287"/>
      <c r="G70" s="403"/>
      <c r="H70" s="305"/>
      <c r="I70" s="305"/>
      <c r="J70" s="305"/>
      <c r="K70" s="287"/>
    </row>
    <row r="71" spans="1:11" x14ac:dyDescent="0.25">
      <c r="A71" s="287"/>
      <c r="B71" s="287"/>
      <c r="C71" s="287"/>
      <c r="D71" s="287"/>
      <c r="E71" s="287"/>
      <c r="F71" s="287"/>
      <c r="G71" s="403"/>
      <c r="H71" s="305"/>
      <c r="I71" s="305"/>
      <c r="J71" s="305"/>
      <c r="K71" s="287"/>
    </row>
    <row r="72" spans="1:11" x14ac:dyDescent="0.25">
      <c r="A72" s="287"/>
      <c r="B72" s="287"/>
      <c r="C72" s="287"/>
      <c r="D72" s="287"/>
      <c r="E72" s="287"/>
      <c r="F72" s="287"/>
      <c r="G72" s="403"/>
      <c r="H72" s="305"/>
      <c r="I72" s="305"/>
      <c r="J72" s="305"/>
      <c r="K72" s="287"/>
    </row>
    <row r="73" spans="1:11" x14ac:dyDescent="0.25">
      <c r="A73" s="287"/>
      <c r="B73" s="287"/>
      <c r="C73" s="287"/>
      <c r="D73" s="287"/>
      <c r="E73" s="287"/>
      <c r="F73" s="287"/>
      <c r="G73" s="403"/>
      <c r="H73" s="305"/>
      <c r="I73" s="305"/>
      <c r="J73" s="305"/>
      <c r="K73" s="287"/>
    </row>
    <row r="74" spans="1:11" x14ac:dyDescent="0.25">
      <c r="A74" s="287"/>
      <c r="B74" s="287"/>
      <c r="C74" s="287"/>
      <c r="D74" s="287"/>
      <c r="E74" s="287"/>
      <c r="F74" s="287"/>
      <c r="G74" s="403"/>
      <c r="H74" s="305"/>
      <c r="I74" s="305"/>
      <c r="J74" s="305"/>
      <c r="K74" s="287"/>
    </row>
    <row r="75" spans="1:11" x14ac:dyDescent="0.25">
      <c r="A75" s="287"/>
      <c r="B75" s="287"/>
      <c r="C75" s="287"/>
      <c r="D75" s="287"/>
      <c r="E75" s="287"/>
      <c r="F75" s="287"/>
      <c r="G75" s="403"/>
      <c r="H75" s="305"/>
      <c r="I75" s="305"/>
      <c r="J75" s="305"/>
      <c r="K75" s="287"/>
    </row>
    <row r="76" spans="1:11" x14ac:dyDescent="0.25">
      <c r="A76" s="287"/>
      <c r="B76" s="287"/>
      <c r="C76" s="287"/>
      <c r="D76" s="287"/>
      <c r="E76" s="287"/>
      <c r="F76" s="287"/>
      <c r="G76" s="403"/>
      <c r="H76" s="305"/>
      <c r="I76" s="305"/>
      <c r="J76" s="305"/>
      <c r="K76" s="287"/>
    </row>
    <row r="77" spans="1:11" x14ac:dyDescent="0.25">
      <c r="A77" s="287"/>
      <c r="B77" s="287"/>
      <c r="C77" s="287"/>
      <c r="D77" s="287"/>
      <c r="E77" s="287"/>
      <c r="F77" s="287"/>
      <c r="G77" s="403"/>
      <c r="H77" s="305"/>
      <c r="I77" s="305"/>
      <c r="J77" s="305"/>
      <c r="K77" s="287"/>
    </row>
    <row r="78" spans="1:11" x14ac:dyDescent="0.25">
      <c r="A78" s="287"/>
      <c r="B78" s="287"/>
      <c r="C78" s="287"/>
      <c r="D78" s="287"/>
      <c r="E78" s="287"/>
      <c r="F78" s="287"/>
      <c r="G78" s="403"/>
      <c r="H78" s="305"/>
      <c r="I78" s="305"/>
      <c r="J78" s="305"/>
      <c r="K78" s="287"/>
    </row>
    <row r="79" spans="1:11" x14ac:dyDescent="0.25">
      <c r="A79" s="287"/>
      <c r="B79" s="287"/>
      <c r="C79" s="287"/>
      <c r="D79" s="287"/>
      <c r="E79" s="287"/>
      <c r="F79" s="287"/>
      <c r="G79" s="403"/>
      <c r="H79" s="305"/>
      <c r="I79" s="305"/>
      <c r="J79" s="305"/>
      <c r="K79" s="287"/>
    </row>
    <row r="80" spans="1:11" x14ac:dyDescent="0.25">
      <c r="A80" s="287"/>
      <c r="B80" s="287"/>
      <c r="C80" s="287"/>
      <c r="D80" s="287"/>
      <c r="E80" s="287"/>
      <c r="F80" s="287"/>
      <c r="G80" s="403"/>
      <c r="H80" s="305"/>
      <c r="I80" s="305"/>
      <c r="J80" s="305"/>
      <c r="K80" s="287"/>
    </row>
    <row r="81" spans="1:11" x14ac:dyDescent="0.25">
      <c r="A81" s="287"/>
      <c r="B81" s="287"/>
      <c r="C81" s="287"/>
      <c r="D81" s="287"/>
      <c r="E81" s="287"/>
      <c r="F81" s="287"/>
      <c r="G81" s="403"/>
      <c r="H81" s="305"/>
      <c r="I81" s="305"/>
      <c r="J81" s="305"/>
      <c r="K81" s="287"/>
    </row>
    <row r="82" spans="1:11" x14ac:dyDescent="0.25">
      <c r="A82" s="287"/>
      <c r="B82" s="287"/>
      <c r="C82" s="287"/>
      <c r="D82" s="287"/>
      <c r="E82" s="287"/>
      <c r="F82" s="287"/>
      <c r="G82" s="403"/>
      <c r="H82" s="305"/>
      <c r="I82" s="305"/>
      <c r="J82" s="305"/>
      <c r="K82" s="287"/>
    </row>
    <row r="83" spans="1:11" x14ac:dyDescent="0.25">
      <c r="A83" s="287"/>
      <c r="B83" s="287"/>
      <c r="C83" s="287"/>
      <c r="D83" s="287"/>
      <c r="E83" s="287"/>
      <c r="F83" s="287"/>
      <c r="G83" s="403"/>
      <c r="H83" s="305"/>
      <c r="I83" s="305"/>
      <c r="J83" s="305"/>
      <c r="K83" s="287"/>
    </row>
    <row r="84" spans="1:11" x14ac:dyDescent="0.25">
      <c r="A84" s="287"/>
      <c r="B84" s="287"/>
      <c r="C84" s="287"/>
      <c r="D84" s="287"/>
      <c r="E84" s="287"/>
      <c r="F84" s="287"/>
      <c r="G84" s="403"/>
      <c r="H84" s="305"/>
      <c r="I84" s="305"/>
      <c r="J84" s="305"/>
      <c r="K84" s="287"/>
    </row>
    <row r="85" spans="1:11" x14ac:dyDescent="0.25">
      <c r="A85" s="287"/>
      <c r="B85" s="287"/>
      <c r="C85" s="287"/>
      <c r="D85" s="287"/>
      <c r="E85" s="287"/>
      <c r="F85" s="287"/>
      <c r="G85" s="403"/>
      <c r="H85" s="305"/>
      <c r="I85" s="305"/>
      <c r="J85" s="305"/>
      <c r="K85" s="287"/>
    </row>
    <row r="86" spans="1:11" x14ac:dyDescent="0.25">
      <c r="A86" s="287"/>
      <c r="B86" s="287"/>
      <c r="C86" s="287"/>
      <c r="D86" s="287"/>
      <c r="E86" s="287"/>
      <c r="F86" s="287"/>
      <c r="G86" s="403"/>
      <c r="H86" s="305"/>
      <c r="I86" s="305"/>
      <c r="J86" s="305"/>
      <c r="K86" s="287"/>
    </row>
    <row r="87" spans="1:11" x14ac:dyDescent="0.25">
      <c r="A87" s="287"/>
      <c r="B87" s="287"/>
      <c r="C87" s="287"/>
      <c r="D87" s="287"/>
      <c r="E87" s="287"/>
      <c r="F87" s="287"/>
      <c r="G87" s="403"/>
      <c r="H87" s="305"/>
      <c r="I87" s="305"/>
      <c r="J87" s="305"/>
      <c r="K87" s="287"/>
    </row>
    <row r="88" spans="1:11" x14ac:dyDescent="0.25">
      <c r="A88" s="287"/>
      <c r="B88" s="287"/>
      <c r="C88" s="287"/>
      <c r="D88" s="287"/>
      <c r="E88" s="287"/>
      <c r="F88" s="287"/>
      <c r="G88" s="403"/>
      <c r="H88" s="305"/>
      <c r="I88" s="305"/>
      <c r="J88" s="305"/>
      <c r="K88" s="287"/>
    </row>
    <row r="89" spans="1:11" x14ac:dyDescent="0.25">
      <c r="A89" s="287"/>
      <c r="B89" s="287"/>
      <c r="C89" s="287"/>
      <c r="D89" s="287"/>
      <c r="E89" s="287"/>
      <c r="F89" s="287"/>
      <c r="G89" s="403"/>
      <c r="H89" s="305"/>
      <c r="I89" s="305"/>
      <c r="J89" s="305"/>
      <c r="K89" s="287"/>
    </row>
    <row r="90" spans="1:11" x14ac:dyDescent="0.25">
      <c r="A90" s="287"/>
      <c r="B90" s="287"/>
      <c r="C90" s="287"/>
      <c r="D90" s="287"/>
      <c r="E90" s="287"/>
      <c r="F90" s="287"/>
      <c r="G90" s="403"/>
      <c r="H90" s="305"/>
      <c r="I90" s="305"/>
      <c r="J90" s="305"/>
      <c r="K90" s="287"/>
    </row>
    <row r="91" spans="1:11" x14ac:dyDescent="0.25">
      <c r="A91" s="287"/>
      <c r="B91" s="287"/>
      <c r="C91" s="287"/>
      <c r="D91" s="287"/>
      <c r="E91" s="287"/>
      <c r="F91" s="287"/>
      <c r="G91" s="403"/>
      <c r="H91" s="305"/>
      <c r="I91" s="305"/>
      <c r="J91" s="305"/>
      <c r="K91" s="287"/>
    </row>
    <row r="92" spans="1:11" x14ac:dyDescent="0.25">
      <c r="A92" s="287"/>
      <c r="B92" s="287"/>
      <c r="C92" s="287"/>
      <c r="D92" s="287"/>
      <c r="E92" s="287"/>
      <c r="F92" s="287"/>
      <c r="G92" s="403"/>
      <c r="H92" s="305"/>
      <c r="I92" s="305"/>
      <c r="J92" s="305"/>
      <c r="K92" s="287"/>
    </row>
    <row r="93" spans="1:11" x14ac:dyDescent="0.25">
      <c r="A93" s="287"/>
      <c r="B93" s="287"/>
      <c r="C93" s="287"/>
      <c r="D93" s="287"/>
      <c r="E93" s="287"/>
      <c r="F93" s="287"/>
      <c r="G93" s="403"/>
      <c r="H93" s="305"/>
      <c r="I93" s="305"/>
      <c r="J93" s="305"/>
      <c r="K93" s="287"/>
    </row>
    <row r="94" spans="1:11" x14ac:dyDescent="0.25">
      <c r="A94" s="287"/>
      <c r="B94" s="287"/>
      <c r="C94" s="287"/>
      <c r="D94" s="287"/>
      <c r="E94" s="287"/>
      <c r="F94" s="287"/>
      <c r="G94" s="403"/>
      <c r="H94" s="305"/>
      <c r="I94" s="305"/>
      <c r="J94" s="305"/>
      <c r="K94" s="287"/>
    </row>
    <row r="95" spans="1:11" x14ac:dyDescent="0.25">
      <c r="A95" s="287"/>
      <c r="B95" s="287"/>
      <c r="C95" s="287"/>
      <c r="D95" s="287"/>
      <c r="E95" s="287"/>
      <c r="F95" s="287"/>
      <c r="G95" s="403"/>
      <c r="H95" s="305"/>
      <c r="I95" s="305"/>
      <c r="J95" s="305"/>
      <c r="K95" s="287"/>
    </row>
    <row r="96" spans="1:11" x14ac:dyDescent="0.25">
      <c r="A96" s="287"/>
      <c r="B96" s="287"/>
      <c r="C96" s="287"/>
      <c r="D96" s="287"/>
      <c r="E96" s="287"/>
      <c r="F96" s="287"/>
      <c r="G96" s="403"/>
      <c r="H96" s="305"/>
      <c r="I96" s="305"/>
      <c r="J96" s="305"/>
      <c r="K96" s="287"/>
    </row>
    <row r="97" spans="1:11" x14ac:dyDescent="0.25">
      <c r="A97" s="287"/>
      <c r="B97" s="287"/>
      <c r="C97" s="287"/>
      <c r="D97" s="287"/>
      <c r="E97" s="287"/>
      <c r="F97" s="287"/>
      <c r="G97" s="403"/>
      <c r="H97" s="305"/>
      <c r="I97" s="305"/>
      <c r="J97" s="305"/>
      <c r="K97" s="287"/>
    </row>
    <row r="98" spans="1:11" x14ac:dyDescent="0.25">
      <c r="A98" s="287"/>
      <c r="B98" s="287"/>
      <c r="C98" s="287"/>
      <c r="D98" s="287"/>
      <c r="E98" s="287"/>
      <c r="F98" s="287"/>
      <c r="G98" s="403"/>
      <c r="H98" s="305"/>
      <c r="I98" s="305"/>
      <c r="J98" s="305"/>
      <c r="K98" s="287"/>
    </row>
    <row r="99" spans="1:11" x14ac:dyDescent="0.25">
      <c r="A99" s="287"/>
      <c r="B99" s="287"/>
      <c r="C99" s="287"/>
      <c r="D99" s="287"/>
      <c r="E99" s="287"/>
      <c r="F99" s="287"/>
      <c r="G99" s="403"/>
      <c r="H99" s="305"/>
      <c r="I99" s="305"/>
      <c r="J99" s="305"/>
      <c r="K99" s="287"/>
    </row>
    <row r="100" spans="1:11" x14ac:dyDescent="0.25">
      <c r="A100" s="287"/>
      <c r="B100" s="287"/>
      <c r="C100" s="287"/>
      <c r="D100" s="287"/>
      <c r="E100" s="287"/>
      <c r="F100" s="287"/>
      <c r="G100" s="403"/>
      <c r="H100" s="305"/>
      <c r="I100" s="305"/>
      <c r="J100" s="305"/>
      <c r="K100" s="287"/>
    </row>
    <row r="101" spans="1:11" x14ac:dyDescent="0.25">
      <c r="A101" s="287"/>
      <c r="B101" s="287"/>
      <c r="C101" s="287"/>
      <c r="D101" s="287"/>
      <c r="E101" s="287"/>
      <c r="F101" s="287"/>
      <c r="G101" s="403"/>
      <c r="H101" s="305"/>
      <c r="I101" s="305"/>
      <c r="J101" s="305"/>
      <c r="K101" s="287"/>
    </row>
    <row r="102" spans="1:11" x14ac:dyDescent="0.25">
      <c r="A102" s="287"/>
      <c r="B102" s="287"/>
      <c r="C102" s="287"/>
      <c r="D102" s="287"/>
      <c r="E102" s="287"/>
      <c r="F102" s="287"/>
      <c r="G102" s="403"/>
      <c r="H102" s="305"/>
      <c r="I102" s="305"/>
      <c r="J102" s="305"/>
      <c r="K102" s="287"/>
    </row>
    <row r="103" spans="1:11" x14ac:dyDescent="0.25">
      <c r="A103" s="287"/>
      <c r="B103" s="287"/>
      <c r="C103" s="287"/>
      <c r="D103" s="287"/>
      <c r="E103" s="287"/>
      <c r="F103" s="287"/>
      <c r="G103" s="403"/>
      <c r="H103" s="305"/>
      <c r="I103" s="305"/>
      <c r="J103" s="305"/>
      <c r="K103" s="287"/>
    </row>
    <row r="104" spans="1:11" x14ac:dyDescent="0.25">
      <c r="A104" s="287"/>
      <c r="B104" s="287"/>
      <c r="C104" s="287"/>
      <c r="D104" s="287"/>
      <c r="E104" s="287"/>
      <c r="F104" s="287"/>
      <c r="G104" s="403"/>
      <c r="H104" s="305"/>
      <c r="I104" s="305"/>
      <c r="J104" s="305"/>
      <c r="K104" s="287"/>
    </row>
    <row r="105" spans="1:11" x14ac:dyDescent="0.25">
      <c r="A105" s="287"/>
      <c r="B105" s="287"/>
      <c r="C105" s="287"/>
      <c r="D105" s="287"/>
      <c r="E105" s="287"/>
      <c r="F105" s="287"/>
      <c r="G105" s="403"/>
      <c r="H105" s="305"/>
      <c r="I105" s="305"/>
      <c r="J105" s="305"/>
      <c r="K105" s="287"/>
    </row>
    <row r="106" spans="1:11" x14ac:dyDescent="0.25">
      <c r="A106" s="287"/>
      <c r="B106" s="287"/>
      <c r="C106" s="287"/>
      <c r="D106" s="287"/>
      <c r="E106" s="287"/>
      <c r="F106" s="287"/>
      <c r="G106" s="403"/>
      <c r="H106" s="305"/>
      <c r="I106" s="305"/>
      <c r="J106" s="305"/>
      <c r="K106" s="287"/>
    </row>
    <row r="107" spans="1:11" x14ac:dyDescent="0.25">
      <c r="A107" s="287"/>
      <c r="B107" s="287"/>
      <c r="C107" s="287"/>
      <c r="D107" s="287"/>
      <c r="E107" s="287"/>
      <c r="F107" s="287"/>
      <c r="G107" s="403"/>
      <c r="H107" s="305"/>
      <c r="I107" s="305"/>
      <c r="J107" s="305"/>
      <c r="K107" s="287"/>
    </row>
    <row r="108" spans="1:11" x14ac:dyDescent="0.25">
      <c r="A108" s="287"/>
      <c r="B108" s="287"/>
      <c r="C108" s="287"/>
      <c r="D108" s="287"/>
      <c r="E108" s="287"/>
      <c r="F108" s="287"/>
      <c r="G108" s="403"/>
      <c r="H108" s="305"/>
      <c r="I108" s="305"/>
      <c r="J108" s="305"/>
      <c r="K108" s="287"/>
    </row>
    <row r="109" spans="1:11" x14ac:dyDescent="0.25">
      <c r="A109" s="287"/>
      <c r="B109" s="287"/>
      <c r="C109" s="287"/>
      <c r="D109" s="287"/>
      <c r="E109" s="287"/>
      <c r="F109" s="287"/>
      <c r="G109" s="403"/>
      <c r="H109" s="305"/>
      <c r="I109" s="305"/>
      <c r="J109" s="305"/>
      <c r="K109" s="287"/>
    </row>
    <row r="110" spans="1:11" x14ac:dyDescent="0.25">
      <c r="A110" s="287"/>
      <c r="B110" s="287"/>
      <c r="C110" s="287"/>
      <c r="D110" s="287"/>
      <c r="E110" s="287"/>
      <c r="F110" s="287"/>
      <c r="G110" s="403"/>
      <c r="H110" s="305"/>
      <c r="I110" s="305"/>
      <c r="J110" s="305"/>
      <c r="K110" s="287"/>
    </row>
    <row r="111" spans="1:11" x14ac:dyDescent="0.25">
      <c r="A111" s="287"/>
      <c r="B111" s="287"/>
      <c r="C111" s="287"/>
      <c r="D111" s="287"/>
      <c r="E111" s="287"/>
      <c r="F111" s="287"/>
      <c r="G111" s="403"/>
      <c r="H111" s="305"/>
      <c r="I111" s="305"/>
      <c r="J111" s="305"/>
      <c r="K111" s="287"/>
    </row>
    <row r="112" spans="1:11" x14ac:dyDescent="0.25">
      <c r="A112" s="287"/>
      <c r="B112" s="287"/>
      <c r="C112" s="287"/>
      <c r="D112" s="287"/>
      <c r="E112" s="287"/>
      <c r="F112" s="287"/>
      <c r="G112" s="403"/>
      <c r="H112" s="305"/>
      <c r="I112" s="305"/>
      <c r="J112" s="305"/>
      <c r="K112" s="287"/>
    </row>
    <row r="113" spans="1:11" x14ac:dyDescent="0.25">
      <c r="A113" s="287"/>
      <c r="B113" s="287"/>
      <c r="C113" s="287"/>
      <c r="D113" s="287"/>
      <c r="E113" s="287"/>
      <c r="F113" s="287"/>
      <c r="G113" s="403"/>
      <c r="H113" s="305"/>
      <c r="I113" s="305"/>
      <c r="J113" s="305"/>
      <c r="K113" s="287"/>
    </row>
    <row r="114" spans="1:11" x14ac:dyDescent="0.25">
      <c r="A114" s="287"/>
      <c r="B114" s="287"/>
      <c r="C114" s="287"/>
      <c r="D114" s="287"/>
      <c r="E114" s="287"/>
      <c r="F114" s="287"/>
      <c r="G114" s="403"/>
      <c r="H114" s="305"/>
      <c r="I114" s="305"/>
      <c r="J114" s="305"/>
      <c r="K114" s="287"/>
    </row>
    <row r="115" spans="1:11" x14ac:dyDescent="0.25">
      <c r="A115" s="287"/>
      <c r="B115" s="287"/>
      <c r="C115" s="287"/>
      <c r="D115" s="287"/>
      <c r="E115" s="287"/>
      <c r="F115" s="287"/>
      <c r="G115" s="403"/>
      <c r="H115" s="305"/>
      <c r="I115" s="305"/>
      <c r="J115" s="305"/>
      <c r="K115" s="287"/>
    </row>
    <row r="116" spans="1:11" x14ac:dyDescent="0.25">
      <c r="A116" s="287"/>
      <c r="B116" s="287"/>
      <c r="C116" s="287"/>
      <c r="D116" s="287"/>
      <c r="E116" s="287"/>
      <c r="F116" s="287"/>
      <c r="G116" s="403"/>
      <c r="H116" s="305"/>
      <c r="I116" s="305"/>
      <c r="J116" s="305"/>
      <c r="K116" s="287"/>
    </row>
    <row r="117" spans="1:11" x14ac:dyDescent="0.25">
      <c r="A117" s="287"/>
      <c r="B117" s="287"/>
      <c r="C117" s="287"/>
      <c r="D117" s="287"/>
      <c r="E117" s="287"/>
      <c r="F117" s="287"/>
      <c r="G117" s="403"/>
      <c r="H117" s="305"/>
      <c r="I117" s="305"/>
      <c r="J117" s="305"/>
      <c r="K117" s="287"/>
    </row>
    <row r="118" spans="1:11" x14ac:dyDescent="0.25">
      <c r="A118" s="287"/>
      <c r="B118" s="287"/>
      <c r="C118" s="287"/>
      <c r="D118" s="287"/>
      <c r="E118" s="287"/>
      <c r="F118" s="287"/>
      <c r="G118" s="403"/>
      <c r="H118" s="305"/>
      <c r="I118" s="305"/>
      <c r="J118" s="305"/>
      <c r="K118" s="287"/>
    </row>
    <row r="119" spans="1:11" x14ac:dyDescent="0.25">
      <c r="A119" s="287"/>
      <c r="B119" s="287"/>
      <c r="C119" s="287"/>
      <c r="D119" s="287"/>
      <c r="E119" s="287"/>
      <c r="F119" s="287"/>
      <c r="G119" s="403"/>
      <c r="H119" s="305"/>
      <c r="I119" s="305"/>
      <c r="J119" s="305"/>
      <c r="K119" s="287"/>
    </row>
    <row r="120" spans="1:11" x14ac:dyDescent="0.25">
      <c r="A120" s="287"/>
      <c r="B120" s="287"/>
      <c r="C120" s="287"/>
      <c r="D120" s="287"/>
      <c r="E120" s="287"/>
      <c r="F120" s="287"/>
      <c r="G120" s="403"/>
      <c r="H120" s="305"/>
      <c r="I120" s="305"/>
      <c r="J120" s="305"/>
      <c r="K120" s="287"/>
    </row>
    <row r="121" spans="1:11" x14ac:dyDescent="0.25">
      <c r="A121" s="287"/>
      <c r="B121" s="287"/>
      <c r="C121" s="287"/>
      <c r="D121" s="287"/>
      <c r="E121" s="287"/>
      <c r="F121" s="287"/>
      <c r="G121" s="403"/>
      <c r="H121" s="305"/>
      <c r="I121" s="305"/>
      <c r="J121" s="305"/>
      <c r="K121" s="287"/>
    </row>
    <row r="122" spans="1:11" x14ac:dyDescent="0.25">
      <c r="A122" s="287"/>
      <c r="B122" s="287"/>
      <c r="C122" s="287"/>
      <c r="D122" s="287"/>
      <c r="E122" s="287"/>
      <c r="F122" s="287"/>
      <c r="G122" s="403"/>
      <c r="H122" s="305"/>
      <c r="I122" s="305"/>
      <c r="J122" s="305"/>
      <c r="K122" s="287"/>
    </row>
    <row r="123" spans="1:11" x14ac:dyDescent="0.25">
      <c r="A123" s="287"/>
      <c r="B123" s="287"/>
      <c r="C123" s="287"/>
      <c r="D123" s="287"/>
      <c r="E123" s="287"/>
      <c r="F123" s="287"/>
      <c r="G123" s="403"/>
      <c r="H123" s="305"/>
      <c r="I123" s="305"/>
      <c r="J123" s="305"/>
      <c r="K123" s="287"/>
    </row>
    <row r="124" spans="1:11" x14ac:dyDescent="0.25">
      <c r="A124" s="287"/>
      <c r="B124" s="287"/>
      <c r="C124" s="287"/>
      <c r="D124" s="287"/>
      <c r="E124" s="287"/>
      <c r="F124" s="287"/>
      <c r="G124" s="403"/>
      <c r="H124" s="305"/>
      <c r="I124" s="305"/>
      <c r="J124" s="305"/>
      <c r="K124" s="287"/>
    </row>
    <row r="125" spans="1:11" x14ac:dyDescent="0.25">
      <c r="A125" s="287"/>
      <c r="B125" s="287"/>
      <c r="C125" s="287"/>
      <c r="D125" s="287"/>
      <c r="E125" s="287"/>
      <c r="F125" s="287"/>
      <c r="G125" s="403"/>
      <c r="H125" s="305"/>
      <c r="I125" s="305"/>
      <c r="J125" s="305"/>
      <c r="K125" s="287"/>
    </row>
    <row r="126" spans="1:11" x14ac:dyDescent="0.25">
      <c r="A126" s="287"/>
      <c r="B126" s="287"/>
      <c r="C126" s="287"/>
      <c r="D126" s="287"/>
      <c r="E126" s="287"/>
      <c r="F126" s="287"/>
      <c r="G126" s="403"/>
      <c r="H126" s="305"/>
      <c r="I126" s="305"/>
      <c r="J126" s="305"/>
      <c r="K126" s="287"/>
    </row>
    <row r="127" spans="1:11" x14ac:dyDescent="0.25">
      <c r="A127" s="287"/>
      <c r="B127" s="287"/>
      <c r="C127" s="287"/>
      <c r="D127" s="287"/>
      <c r="E127" s="287"/>
      <c r="F127" s="287"/>
      <c r="G127" s="403"/>
      <c r="H127" s="305"/>
      <c r="I127" s="305"/>
      <c r="J127" s="305"/>
      <c r="K127" s="287"/>
    </row>
    <row r="128" spans="1:11" x14ac:dyDescent="0.25">
      <c r="A128" s="287"/>
      <c r="B128" s="287"/>
      <c r="C128" s="287"/>
      <c r="D128" s="287"/>
      <c r="E128" s="287"/>
      <c r="F128" s="287"/>
      <c r="G128" s="403"/>
      <c r="H128" s="305"/>
      <c r="I128" s="305"/>
      <c r="J128" s="305"/>
      <c r="K128" s="287"/>
    </row>
    <row r="129" spans="1:11" x14ac:dyDescent="0.25">
      <c r="A129" s="287"/>
      <c r="B129" s="287"/>
      <c r="C129" s="287"/>
      <c r="D129" s="287"/>
      <c r="E129" s="287"/>
      <c r="F129" s="287"/>
      <c r="G129" s="403"/>
      <c r="H129" s="305"/>
      <c r="I129" s="305"/>
      <c r="J129" s="305"/>
      <c r="K129" s="287"/>
    </row>
    <row r="130" spans="1:11" x14ac:dyDescent="0.25">
      <c r="A130" s="287"/>
      <c r="B130" s="287"/>
      <c r="C130" s="287"/>
      <c r="D130" s="287"/>
      <c r="E130" s="287"/>
      <c r="F130" s="287"/>
      <c r="G130" s="403"/>
      <c r="H130" s="305"/>
      <c r="I130" s="305"/>
      <c r="J130" s="305"/>
      <c r="K130" s="287"/>
    </row>
    <row r="131" spans="1:11" x14ac:dyDescent="0.25">
      <c r="A131" s="287"/>
      <c r="B131" s="287"/>
      <c r="C131" s="287"/>
      <c r="D131" s="287"/>
      <c r="E131" s="287"/>
      <c r="F131" s="287"/>
      <c r="G131" s="403"/>
      <c r="H131" s="305"/>
      <c r="I131" s="305"/>
      <c r="J131" s="305"/>
      <c r="K131" s="287"/>
    </row>
    <row r="132" spans="1:11" x14ac:dyDescent="0.25">
      <c r="A132" s="287"/>
      <c r="B132" s="287"/>
      <c r="C132" s="287"/>
      <c r="D132" s="287"/>
      <c r="E132" s="287"/>
      <c r="F132" s="287"/>
      <c r="G132" s="403"/>
      <c r="H132" s="305"/>
      <c r="I132" s="305"/>
      <c r="J132" s="305"/>
      <c r="K132" s="287"/>
    </row>
    <row r="133" spans="1:11" x14ac:dyDescent="0.25">
      <c r="A133" s="287"/>
      <c r="B133" s="287"/>
      <c r="C133" s="287"/>
      <c r="D133" s="287"/>
      <c r="E133" s="287"/>
      <c r="F133" s="287"/>
      <c r="G133" s="403"/>
      <c r="H133" s="305"/>
      <c r="I133" s="305"/>
      <c r="J133" s="305"/>
      <c r="K133" s="287"/>
    </row>
    <row r="134" spans="1:11" x14ac:dyDescent="0.25">
      <c r="A134" s="287"/>
      <c r="B134" s="287"/>
      <c r="C134" s="287"/>
      <c r="D134" s="287"/>
      <c r="E134" s="287"/>
      <c r="F134" s="287"/>
      <c r="G134" s="403"/>
      <c r="H134" s="305"/>
      <c r="I134" s="305"/>
      <c r="J134" s="305"/>
      <c r="K134" s="287"/>
    </row>
    <row r="135" spans="1:11" x14ac:dyDescent="0.25">
      <c r="A135" s="287"/>
      <c r="B135" s="287"/>
      <c r="C135" s="287"/>
      <c r="D135" s="287"/>
      <c r="E135" s="287"/>
      <c r="F135" s="287"/>
      <c r="G135" s="403"/>
      <c r="H135" s="305"/>
      <c r="I135" s="305"/>
      <c r="J135" s="305"/>
      <c r="K135" s="287"/>
    </row>
    <row r="136" spans="1:11" x14ac:dyDescent="0.25">
      <c r="A136" s="287"/>
      <c r="B136" s="287"/>
      <c r="C136" s="287"/>
      <c r="D136" s="287"/>
      <c r="E136" s="287"/>
      <c r="F136" s="287"/>
      <c r="G136" s="403"/>
      <c r="H136" s="305"/>
      <c r="I136" s="305"/>
      <c r="J136" s="305"/>
      <c r="K136" s="287"/>
    </row>
    <row r="137" spans="1:11" x14ac:dyDescent="0.25">
      <c r="A137" s="287"/>
      <c r="B137" s="287"/>
      <c r="C137" s="287"/>
      <c r="D137" s="287"/>
      <c r="E137" s="287"/>
      <c r="F137" s="287"/>
      <c r="G137" s="403"/>
      <c r="H137" s="305"/>
      <c r="I137" s="305"/>
      <c r="J137" s="305"/>
      <c r="K137" s="287"/>
    </row>
    <row r="138" spans="1:11" x14ac:dyDescent="0.25">
      <c r="A138" s="287"/>
      <c r="B138" s="287"/>
      <c r="C138" s="287"/>
      <c r="D138" s="287"/>
      <c r="E138" s="287"/>
      <c r="F138" s="287"/>
      <c r="G138" s="403"/>
      <c r="H138" s="305"/>
      <c r="I138" s="305"/>
      <c r="J138" s="305"/>
      <c r="K138" s="287"/>
    </row>
    <row r="139" spans="1:11" x14ac:dyDescent="0.25">
      <c r="A139" s="287"/>
      <c r="B139" s="287"/>
      <c r="C139" s="287"/>
      <c r="D139" s="287"/>
      <c r="E139" s="287"/>
      <c r="F139" s="287"/>
      <c r="G139" s="403"/>
      <c r="H139" s="305"/>
      <c r="I139" s="305"/>
      <c r="J139" s="305"/>
      <c r="K139" s="287"/>
    </row>
    <row r="140" spans="1:11" x14ac:dyDescent="0.25">
      <c r="A140" s="287"/>
      <c r="B140" s="287"/>
      <c r="C140" s="287"/>
      <c r="D140" s="287"/>
      <c r="E140" s="287"/>
      <c r="F140" s="287"/>
      <c r="G140" s="403"/>
      <c r="H140" s="305"/>
      <c r="I140" s="305"/>
      <c r="J140" s="305"/>
      <c r="K140" s="287"/>
    </row>
    <row r="141" spans="1:11" x14ac:dyDescent="0.25">
      <c r="A141" s="287"/>
      <c r="B141" s="287"/>
      <c r="C141" s="287"/>
      <c r="D141" s="287"/>
      <c r="E141" s="287"/>
      <c r="F141" s="287"/>
      <c r="G141" s="403"/>
      <c r="H141" s="305"/>
      <c r="I141" s="305"/>
      <c r="J141" s="305"/>
      <c r="K141" s="287"/>
    </row>
    <row r="142" spans="1:11" x14ac:dyDescent="0.25">
      <c r="A142" s="287"/>
      <c r="B142" s="287"/>
      <c r="C142" s="287"/>
      <c r="D142" s="287"/>
      <c r="E142" s="287"/>
      <c r="F142" s="287"/>
      <c r="G142" s="403"/>
      <c r="H142" s="305"/>
      <c r="I142" s="305"/>
      <c r="J142" s="305"/>
      <c r="K142" s="287"/>
    </row>
    <row r="143" spans="1:11" x14ac:dyDescent="0.25">
      <c r="A143" s="287"/>
      <c r="B143" s="287"/>
      <c r="C143" s="287"/>
      <c r="D143" s="287"/>
      <c r="E143" s="287"/>
      <c r="F143" s="287"/>
      <c r="G143" s="403"/>
      <c r="H143" s="305"/>
      <c r="I143" s="305"/>
      <c r="J143" s="305"/>
      <c r="K143" s="287"/>
    </row>
    <row r="144" spans="1:11" x14ac:dyDescent="0.25">
      <c r="A144" s="287"/>
      <c r="B144" s="287"/>
      <c r="C144" s="287"/>
      <c r="D144" s="287"/>
      <c r="E144" s="287"/>
      <c r="F144" s="287"/>
      <c r="G144" s="403"/>
      <c r="H144" s="305"/>
      <c r="I144" s="305"/>
      <c r="J144" s="305"/>
      <c r="K144" s="287"/>
    </row>
    <row r="145" spans="1:11" x14ac:dyDescent="0.25">
      <c r="A145" s="287"/>
      <c r="B145" s="287"/>
      <c r="C145" s="287"/>
      <c r="D145" s="287"/>
      <c r="E145" s="287"/>
      <c r="F145" s="287"/>
      <c r="G145" s="403"/>
      <c r="H145" s="305"/>
      <c r="I145" s="305"/>
      <c r="J145" s="305"/>
      <c r="K145" s="287"/>
    </row>
    <row r="146" spans="1:11" x14ac:dyDescent="0.25">
      <c r="A146" s="287"/>
      <c r="B146" s="287"/>
      <c r="C146" s="287"/>
      <c r="D146" s="287"/>
      <c r="E146" s="287"/>
      <c r="F146" s="287"/>
      <c r="G146" s="403"/>
      <c r="H146" s="305"/>
      <c r="I146" s="305"/>
      <c r="J146" s="305"/>
      <c r="K146" s="287"/>
    </row>
    <row r="147" spans="1:11" x14ac:dyDescent="0.25">
      <c r="A147" s="287"/>
      <c r="B147" s="287"/>
      <c r="C147" s="287"/>
      <c r="D147" s="287"/>
      <c r="E147" s="287"/>
      <c r="F147" s="287"/>
      <c r="G147" s="403"/>
      <c r="H147" s="305"/>
      <c r="I147" s="305"/>
      <c r="J147" s="305"/>
      <c r="K147" s="287"/>
    </row>
    <row r="148" spans="1:11" x14ac:dyDescent="0.25">
      <c r="A148" s="287"/>
      <c r="B148" s="287"/>
      <c r="C148" s="287"/>
      <c r="D148" s="287"/>
      <c r="E148" s="287"/>
      <c r="F148" s="287"/>
      <c r="G148" s="403"/>
      <c r="H148" s="305"/>
      <c r="I148" s="305"/>
      <c r="J148" s="305"/>
      <c r="K148" s="287"/>
    </row>
    <row r="149" spans="1:11" x14ac:dyDescent="0.25">
      <c r="A149" s="287"/>
      <c r="B149" s="287"/>
      <c r="C149" s="287"/>
      <c r="D149" s="287"/>
      <c r="E149" s="287"/>
      <c r="F149" s="287"/>
      <c r="G149" s="403"/>
      <c r="H149" s="305"/>
      <c r="I149" s="305"/>
      <c r="J149" s="305"/>
      <c r="K149" s="287"/>
    </row>
    <row r="150" spans="1:11" x14ac:dyDescent="0.25">
      <c r="A150" s="287"/>
      <c r="B150" s="287"/>
      <c r="C150" s="287"/>
      <c r="D150" s="287"/>
      <c r="E150" s="287"/>
      <c r="F150" s="287"/>
      <c r="G150" s="403"/>
      <c r="H150" s="305"/>
      <c r="I150" s="305"/>
      <c r="J150" s="305"/>
      <c r="K150" s="287"/>
    </row>
    <row r="151" spans="1:11" x14ac:dyDescent="0.25">
      <c r="A151" s="287"/>
      <c r="B151" s="287"/>
      <c r="C151" s="287"/>
      <c r="D151" s="287"/>
      <c r="E151" s="287"/>
      <c r="F151" s="287"/>
      <c r="G151" s="403"/>
      <c r="H151" s="305"/>
      <c r="I151" s="305"/>
      <c r="J151" s="305"/>
      <c r="K151" s="287"/>
    </row>
    <row r="152" spans="1:11" x14ac:dyDescent="0.25">
      <c r="A152" s="287"/>
      <c r="B152" s="287"/>
      <c r="C152" s="287"/>
      <c r="D152" s="287"/>
      <c r="E152" s="287"/>
      <c r="F152" s="287"/>
      <c r="G152" s="403"/>
      <c r="H152" s="305"/>
      <c r="I152" s="305"/>
      <c r="J152" s="305"/>
      <c r="K152" s="287"/>
    </row>
    <row r="153" spans="1:11" x14ac:dyDescent="0.25">
      <c r="A153" s="287"/>
      <c r="B153" s="287"/>
      <c r="C153" s="287"/>
      <c r="D153" s="287"/>
      <c r="E153" s="287"/>
      <c r="F153" s="287"/>
      <c r="G153" s="403"/>
      <c r="H153" s="305"/>
      <c r="I153" s="305"/>
      <c r="J153" s="305"/>
      <c r="K153" s="287"/>
    </row>
    <row r="154" spans="1:11" x14ac:dyDescent="0.25">
      <c r="A154" s="287"/>
      <c r="B154" s="287"/>
      <c r="C154" s="287"/>
      <c r="D154" s="287"/>
      <c r="E154" s="287"/>
      <c r="F154" s="287"/>
      <c r="G154" s="403"/>
      <c r="H154" s="305"/>
      <c r="I154" s="305"/>
      <c r="J154" s="305"/>
      <c r="K154" s="287"/>
    </row>
    <row r="155" spans="1:11" x14ac:dyDescent="0.25">
      <c r="A155" s="287"/>
      <c r="B155" s="287"/>
      <c r="C155" s="287"/>
      <c r="D155" s="287"/>
      <c r="E155" s="287"/>
      <c r="F155" s="287"/>
      <c r="G155" s="403"/>
      <c r="H155" s="305"/>
      <c r="I155" s="305"/>
      <c r="J155" s="305"/>
      <c r="K155" s="287"/>
    </row>
    <row r="156" spans="1:11" x14ac:dyDescent="0.25">
      <c r="A156" s="287"/>
      <c r="B156" s="287"/>
      <c r="C156" s="287"/>
      <c r="D156" s="287"/>
      <c r="E156" s="287"/>
      <c r="F156" s="287"/>
      <c r="G156" s="403"/>
      <c r="H156" s="305"/>
      <c r="I156" s="305"/>
      <c r="J156" s="305"/>
      <c r="K156" s="287"/>
    </row>
    <row r="157" spans="1:11" x14ac:dyDescent="0.25">
      <c r="A157" s="287"/>
      <c r="B157" s="287"/>
      <c r="C157" s="287"/>
      <c r="D157" s="287"/>
      <c r="E157" s="287"/>
      <c r="F157" s="287"/>
      <c r="G157" s="403"/>
      <c r="H157" s="305"/>
      <c r="I157" s="305"/>
      <c r="J157" s="305"/>
      <c r="K157" s="287"/>
    </row>
    <row r="158" spans="1:11" x14ac:dyDescent="0.25">
      <c r="A158" s="287"/>
      <c r="B158" s="287"/>
      <c r="C158" s="287"/>
      <c r="D158" s="287"/>
      <c r="E158" s="287"/>
      <c r="F158" s="287"/>
      <c r="G158" s="403"/>
      <c r="H158" s="305"/>
      <c r="I158" s="305"/>
      <c r="J158" s="305"/>
      <c r="K158" s="287"/>
    </row>
    <row r="159" spans="1:11" x14ac:dyDescent="0.25">
      <c r="A159" s="287"/>
      <c r="B159" s="287"/>
      <c r="C159" s="287"/>
      <c r="D159" s="287"/>
      <c r="E159" s="287"/>
      <c r="F159" s="287"/>
      <c r="G159" s="403"/>
      <c r="H159" s="305"/>
      <c r="I159" s="305"/>
      <c r="J159" s="305"/>
      <c r="K159" s="287"/>
    </row>
    <row r="160" spans="1:11" x14ac:dyDescent="0.25">
      <c r="A160" s="287"/>
      <c r="B160" s="287"/>
      <c r="C160" s="287"/>
      <c r="D160" s="287"/>
      <c r="E160" s="287"/>
      <c r="F160" s="287"/>
      <c r="G160" s="403"/>
      <c r="H160" s="305"/>
      <c r="I160" s="305"/>
      <c r="J160" s="305"/>
      <c r="K160" s="287"/>
    </row>
    <row r="161" spans="1:11" x14ac:dyDescent="0.25">
      <c r="A161" s="287"/>
      <c r="B161" s="287"/>
      <c r="C161" s="287"/>
      <c r="D161" s="287"/>
      <c r="E161" s="287"/>
      <c r="F161" s="287"/>
      <c r="G161" s="403"/>
      <c r="H161" s="305"/>
      <c r="I161" s="305"/>
      <c r="J161" s="305"/>
      <c r="K161" s="287"/>
    </row>
    <row r="162" spans="1:11" x14ac:dyDescent="0.25">
      <c r="A162" s="287"/>
      <c r="B162" s="287"/>
      <c r="C162" s="287"/>
      <c r="D162" s="287"/>
      <c r="E162" s="287"/>
      <c r="F162" s="287"/>
      <c r="G162" s="403"/>
      <c r="H162" s="305"/>
      <c r="I162" s="305"/>
      <c r="J162" s="305"/>
      <c r="K162" s="287"/>
    </row>
    <row r="163" spans="1:11" x14ac:dyDescent="0.25">
      <c r="A163" s="287"/>
      <c r="B163" s="287"/>
      <c r="C163" s="287"/>
      <c r="D163" s="287"/>
      <c r="E163" s="287"/>
      <c r="F163" s="287"/>
      <c r="G163" s="403"/>
      <c r="H163" s="305"/>
      <c r="I163" s="305"/>
      <c r="J163" s="305"/>
      <c r="K163" s="287"/>
    </row>
    <row r="164" spans="1:11" x14ac:dyDescent="0.25">
      <c r="A164" s="287"/>
      <c r="B164" s="287"/>
      <c r="C164" s="287"/>
      <c r="D164" s="287"/>
      <c r="E164" s="287"/>
      <c r="F164" s="287"/>
      <c r="G164" s="403"/>
      <c r="H164" s="305"/>
      <c r="I164" s="305"/>
      <c r="J164" s="305"/>
      <c r="K164" s="287"/>
    </row>
    <row r="165" spans="1:11" x14ac:dyDescent="0.25">
      <c r="A165" s="287"/>
      <c r="B165" s="287"/>
      <c r="C165" s="287"/>
      <c r="D165" s="287"/>
      <c r="E165" s="287"/>
      <c r="F165" s="287"/>
      <c r="G165" s="403"/>
      <c r="H165" s="305"/>
      <c r="I165" s="305"/>
      <c r="J165" s="305"/>
      <c r="K165" s="287"/>
    </row>
    <row r="166" spans="1:11" x14ac:dyDescent="0.25">
      <c r="A166" s="287"/>
      <c r="B166" s="287"/>
      <c r="C166" s="287"/>
      <c r="D166" s="287"/>
      <c r="E166" s="287"/>
      <c r="F166" s="287"/>
      <c r="G166" s="403"/>
      <c r="H166" s="305"/>
      <c r="I166" s="305"/>
      <c r="J166" s="305"/>
      <c r="K166" s="287"/>
    </row>
    <row r="167" spans="1:11" x14ac:dyDescent="0.25">
      <c r="A167" s="287"/>
      <c r="B167" s="287"/>
      <c r="C167" s="287"/>
      <c r="D167" s="287"/>
      <c r="E167" s="287"/>
      <c r="F167" s="287"/>
      <c r="G167" s="403"/>
      <c r="H167" s="305"/>
      <c r="I167" s="305"/>
      <c r="J167" s="305"/>
      <c r="K167" s="287"/>
    </row>
    <row r="168" spans="1:11" x14ac:dyDescent="0.25">
      <c r="A168" s="287"/>
      <c r="B168" s="287"/>
      <c r="C168" s="287"/>
      <c r="D168" s="287"/>
      <c r="E168" s="287"/>
      <c r="F168" s="287"/>
      <c r="G168" s="403"/>
      <c r="H168" s="305"/>
      <c r="I168" s="305"/>
      <c r="J168" s="305"/>
      <c r="K168" s="287"/>
    </row>
    <row r="169" spans="1:11" x14ac:dyDescent="0.25">
      <c r="A169" s="287"/>
      <c r="B169" s="287"/>
      <c r="C169" s="287"/>
      <c r="D169" s="287"/>
      <c r="E169" s="287"/>
      <c r="F169" s="287"/>
      <c r="G169" s="403"/>
      <c r="H169" s="305"/>
      <c r="I169" s="305"/>
      <c r="J169" s="305"/>
      <c r="K169" s="287"/>
    </row>
    <row r="170" spans="1:11" x14ac:dyDescent="0.25">
      <c r="A170" s="287"/>
      <c r="B170" s="287"/>
      <c r="C170" s="287"/>
      <c r="D170" s="287"/>
      <c r="E170" s="287"/>
      <c r="F170" s="287"/>
      <c r="G170" s="403"/>
      <c r="H170" s="305"/>
      <c r="I170" s="305"/>
      <c r="J170" s="305"/>
      <c r="K170" s="287"/>
    </row>
    <row r="171" spans="1:11" x14ac:dyDescent="0.25">
      <c r="A171" s="287"/>
      <c r="B171" s="287"/>
      <c r="C171" s="287"/>
      <c r="D171" s="287"/>
      <c r="E171" s="287"/>
      <c r="F171" s="287"/>
      <c r="G171" s="403"/>
      <c r="H171" s="305"/>
      <c r="I171" s="305"/>
      <c r="J171" s="305"/>
      <c r="K171" s="287"/>
    </row>
    <row r="172" spans="1:11" x14ac:dyDescent="0.25">
      <c r="A172" s="287"/>
      <c r="B172" s="287"/>
      <c r="C172" s="287"/>
      <c r="D172" s="287"/>
      <c r="E172" s="287"/>
      <c r="F172" s="287"/>
      <c r="G172" s="403"/>
      <c r="H172" s="305"/>
      <c r="I172" s="305"/>
      <c r="J172" s="305"/>
      <c r="K172" s="287"/>
    </row>
    <row r="173" spans="1:11" x14ac:dyDescent="0.25">
      <c r="A173" s="287"/>
      <c r="B173" s="287"/>
      <c r="C173" s="287"/>
      <c r="D173" s="287"/>
      <c r="E173" s="287"/>
      <c r="F173" s="287"/>
      <c r="G173" s="403"/>
      <c r="H173" s="305"/>
      <c r="I173" s="305"/>
      <c r="J173" s="305"/>
      <c r="K173" s="287"/>
    </row>
    <row r="174" spans="1:11" x14ac:dyDescent="0.25">
      <c r="A174" s="287"/>
      <c r="B174" s="287"/>
      <c r="C174" s="287"/>
      <c r="D174" s="287"/>
      <c r="E174" s="287"/>
      <c r="F174" s="287"/>
      <c r="G174" s="403"/>
      <c r="H174" s="305"/>
      <c r="I174" s="305"/>
      <c r="J174" s="305"/>
      <c r="K174" s="287"/>
    </row>
    <row r="175" spans="1:11" x14ac:dyDescent="0.25">
      <c r="A175" s="287"/>
      <c r="B175" s="287"/>
      <c r="C175" s="287"/>
      <c r="D175" s="287"/>
      <c r="E175" s="287"/>
      <c r="F175" s="287"/>
      <c r="G175" s="403"/>
      <c r="H175" s="305"/>
      <c r="I175" s="305"/>
      <c r="J175" s="305"/>
      <c r="K175" s="287"/>
    </row>
    <row r="176" spans="1:11" x14ac:dyDescent="0.25">
      <c r="A176" s="287"/>
      <c r="B176" s="287"/>
      <c r="C176" s="287"/>
      <c r="D176" s="287"/>
      <c r="E176" s="287"/>
      <c r="F176" s="287"/>
      <c r="G176" s="403"/>
      <c r="H176" s="305"/>
      <c r="I176" s="305"/>
      <c r="J176" s="305"/>
      <c r="K176" s="287"/>
    </row>
    <row r="177" spans="1:11" x14ac:dyDescent="0.25">
      <c r="A177" s="287"/>
      <c r="B177" s="287"/>
      <c r="C177" s="287"/>
      <c r="D177" s="287"/>
      <c r="E177" s="287"/>
      <c r="F177" s="287"/>
      <c r="G177" s="403"/>
      <c r="H177" s="305"/>
      <c r="I177" s="305"/>
      <c r="J177" s="305"/>
      <c r="K177" s="287"/>
    </row>
    <row r="178" spans="1:11" x14ac:dyDescent="0.25">
      <c r="A178" s="287"/>
      <c r="B178" s="287"/>
      <c r="C178" s="287"/>
      <c r="D178" s="287"/>
      <c r="E178" s="287"/>
      <c r="F178" s="287"/>
      <c r="G178" s="403"/>
      <c r="H178" s="305"/>
      <c r="I178" s="305"/>
      <c r="J178" s="305"/>
      <c r="K178" s="287"/>
    </row>
    <row r="179" spans="1:11" x14ac:dyDescent="0.25">
      <c r="A179" s="287"/>
      <c r="B179" s="287"/>
      <c r="C179" s="287"/>
      <c r="D179" s="287"/>
      <c r="E179" s="287"/>
      <c r="F179" s="287"/>
      <c r="G179" s="403"/>
      <c r="H179" s="305"/>
      <c r="I179" s="305"/>
      <c r="J179" s="305"/>
      <c r="K179" s="287"/>
    </row>
    <row r="180" spans="1:11" x14ac:dyDescent="0.25">
      <c r="A180" s="287"/>
      <c r="B180" s="287"/>
      <c r="C180" s="287"/>
      <c r="D180" s="287"/>
      <c r="E180" s="287"/>
      <c r="F180" s="287"/>
      <c r="G180" s="403"/>
      <c r="H180" s="305"/>
      <c r="I180" s="305"/>
      <c r="J180" s="305"/>
      <c r="K180" s="287"/>
    </row>
    <row r="181" spans="1:11" x14ac:dyDescent="0.25">
      <c r="A181" s="287"/>
      <c r="B181" s="287"/>
      <c r="C181" s="287"/>
      <c r="D181" s="287"/>
      <c r="E181" s="287"/>
      <c r="F181" s="287"/>
      <c r="G181" s="403"/>
      <c r="H181" s="305"/>
      <c r="I181" s="305"/>
      <c r="J181" s="305"/>
      <c r="K181" s="287"/>
    </row>
    <row r="182" spans="1:11" x14ac:dyDescent="0.25">
      <c r="A182" s="287"/>
      <c r="B182" s="287"/>
      <c r="C182" s="287"/>
      <c r="D182" s="287"/>
      <c r="E182" s="287"/>
      <c r="F182" s="287"/>
      <c r="G182" s="403"/>
      <c r="H182" s="305"/>
      <c r="I182" s="305"/>
      <c r="J182" s="305"/>
      <c r="K182" s="287"/>
    </row>
    <row r="183" spans="1:11" x14ac:dyDescent="0.25">
      <c r="A183" s="287"/>
      <c r="B183" s="287"/>
      <c r="C183" s="287"/>
      <c r="D183" s="287"/>
      <c r="E183" s="287"/>
      <c r="F183" s="287"/>
      <c r="G183" s="403"/>
      <c r="H183" s="305"/>
      <c r="I183" s="305"/>
      <c r="J183" s="305"/>
      <c r="K183" s="287"/>
    </row>
    <row r="184" spans="1:11" x14ac:dyDescent="0.25">
      <c r="A184" s="287"/>
      <c r="B184" s="287"/>
      <c r="C184" s="287"/>
      <c r="D184" s="287"/>
      <c r="E184" s="287"/>
      <c r="F184" s="287"/>
      <c r="G184" s="403"/>
      <c r="H184" s="305"/>
      <c r="I184" s="305"/>
      <c r="J184" s="305"/>
      <c r="K184" s="287"/>
    </row>
    <row r="185" spans="1:11" x14ac:dyDescent="0.25">
      <c r="A185" s="287"/>
      <c r="B185" s="287"/>
      <c r="C185" s="287"/>
      <c r="D185" s="287"/>
      <c r="E185" s="287"/>
      <c r="F185" s="287"/>
      <c r="G185" s="403"/>
      <c r="H185" s="305"/>
      <c r="I185" s="305"/>
      <c r="J185" s="305"/>
      <c r="K185" s="287"/>
    </row>
    <row r="186" spans="1:11" x14ac:dyDescent="0.25">
      <c r="A186" s="287"/>
      <c r="B186" s="287"/>
      <c r="C186" s="287"/>
      <c r="D186" s="287"/>
      <c r="E186" s="287"/>
      <c r="F186" s="287"/>
      <c r="G186" s="403"/>
      <c r="H186" s="305"/>
      <c r="I186" s="305"/>
      <c r="J186" s="305"/>
      <c r="K186" s="287"/>
    </row>
    <row r="187" spans="1:11" x14ac:dyDescent="0.25">
      <c r="A187" s="287"/>
      <c r="B187" s="287"/>
      <c r="C187" s="287"/>
      <c r="D187" s="287"/>
      <c r="E187" s="287"/>
      <c r="F187" s="287"/>
      <c r="G187" s="403"/>
      <c r="H187" s="305"/>
      <c r="I187" s="305"/>
      <c r="J187" s="305"/>
      <c r="K187" s="287"/>
    </row>
    <row r="188" spans="1:11" x14ac:dyDescent="0.25">
      <c r="A188" s="287"/>
      <c r="B188" s="287"/>
      <c r="C188" s="287"/>
      <c r="D188" s="287"/>
      <c r="E188" s="287"/>
      <c r="F188" s="287"/>
      <c r="G188" s="403"/>
      <c r="H188" s="305"/>
      <c r="I188" s="305"/>
      <c r="J188" s="305"/>
      <c r="K188" s="287"/>
    </row>
    <row r="189" spans="1:11" x14ac:dyDescent="0.25">
      <c r="A189" s="287"/>
      <c r="B189" s="287"/>
      <c r="C189" s="287"/>
      <c r="D189" s="287"/>
      <c r="E189" s="287"/>
      <c r="F189" s="287"/>
      <c r="G189" s="403"/>
      <c r="H189" s="305"/>
      <c r="I189" s="305"/>
      <c r="J189" s="305"/>
      <c r="K189" s="287"/>
    </row>
    <row r="190" spans="1:11" x14ac:dyDescent="0.25">
      <c r="A190" s="287"/>
      <c r="B190" s="287"/>
      <c r="C190" s="287"/>
      <c r="D190" s="287"/>
      <c r="E190" s="287"/>
      <c r="F190" s="287"/>
      <c r="G190" s="403"/>
      <c r="H190" s="305"/>
      <c r="I190" s="305"/>
      <c r="J190" s="305"/>
      <c r="K190" s="287"/>
    </row>
    <row r="191" spans="1:11" x14ac:dyDescent="0.25">
      <c r="A191" s="287"/>
      <c r="B191" s="287"/>
      <c r="C191" s="287"/>
      <c r="D191" s="287"/>
      <c r="E191" s="287"/>
      <c r="F191" s="287"/>
      <c r="G191" s="403"/>
      <c r="H191" s="305"/>
      <c r="I191" s="305"/>
      <c r="J191" s="305"/>
      <c r="K191" s="287"/>
    </row>
    <row r="192" spans="1:11" x14ac:dyDescent="0.25">
      <c r="A192" s="287"/>
      <c r="B192" s="287"/>
      <c r="C192" s="287"/>
      <c r="D192" s="287"/>
      <c r="E192" s="287"/>
      <c r="F192" s="287"/>
      <c r="G192" s="403"/>
      <c r="H192" s="305"/>
      <c r="I192" s="305"/>
      <c r="J192" s="305"/>
      <c r="K192" s="287"/>
    </row>
    <row r="193" spans="1:11" x14ac:dyDescent="0.25">
      <c r="A193" s="287"/>
      <c r="B193" s="287"/>
      <c r="C193" s="287"/>
      <c r="D193" s="287"/>
      <c r="E193" s="287"/>
      <c r="F193" s="287"/>
      <c r="G193" s="403"/>
      <c r="H193" s="305"/>
      <c r="I193" s="305"/>
      <c r="J193" s="305"/>
      <c r="K193" s="287"/>
    </row>
    <row r="194" spans="1:11" x14ac:dyDescent="0.25">
      <c r="A194" s="287"/>
      <c r="B194" s="287"/>
      <c r="C194" s="287"/>
      <c r="D194" s="287"/>
      <c r="E194" s="287"/>
      <c r="F194" s="287"/>
      <c r="G194" s="403"/>
      <c r="H194" s="305"/>
      <c r="I194" s="305"/>
      <c r="J194" s="305"/>
      <c r="K194" s="287"/>
    </row>
    <row r="195" spans="1:11" x14ac:dyDescent="0.25">
      <c r="A195" s="287"/>
      <c r="B195" s="287"/>
      <c r="C195" s="287"/>
      <c r="D195" s="287"/>
      <c r="E195" s="287"/>
      <c r="F195" s="287"/>
      <c r="G195" s="403"/>
      <c r="H195" s="305"/>
      <c r="I195" s="305"/>
      <c r="J195" s="305"/>
      <c r="K195" s="287"/>
    </row>
    <row r="196" spans="1:11" x14ac:dyDescent="0.25">
      <c r="A196" s="287"/>
      <c r="B196" s="287"/>
      <c r="C196" s="287"/>
      <c r="D196" s="287"/>
      <c r="E196" s="287"/>
      <c r="F196" s="287"/>
      <c r="G196" s="403"/>
      <c r="H196" s="305"/>
      <c r="I196" s="305"/>
      <c r="J196" s="305"/>
      <c r="K196" s="287"/>
    </row>
    <row r="197" spans="1:11" x14ac:dyDescent="0.25">
      <c r="A197" s="287"/>
      <c r="B197" s="287"/>
      <c r="C197" s="287"/>
      <c r="D197" s="287"/>
      <c r="E197" s="287"/>
      <c r="F197" s="287"/>
      <c r="G197" s="403"/>
      <c r="H197" s="305"/>
      <c r="I197" s="305"/>
      <c r="J197" s="305"/>
      <c r="K197" s="287"/>
    </row>
    <row r="198" spans="1:11" x14ac:dyDescent="0.25">
      <c r="A198" s="287"/>
      <c r="B198" s="287"/>
      <c r="C198" s="287"/>
      <c r="D198" s="287"/>
      <c r="E198" s="287"/>
      <c r="F198" s="287"/>
      <c r="G198" s="403"/>
      <c r="H198" s="305"/>
      <c r="I198" s="305"/>
      <c r="J198" s="305"/>
      <c r="K198" s="287"/>
    </row>
    <row r="199" spans="1:11" x14ac:dyDescent="0.25">
      <c r="A199" s="287"/>
      <c r="B199" s="287"/>
      <c r="C199" s="287"/>
      <c r="D199" s="287"/>
      <c r="E199" s="287"/>
      <c r="F199" s="287"/>
      <c r="G199" s="403"/>
      <c r="H199" s="305"/>
      <c r="I199" s="305"/>
      <c r="J199" s="305"/>
      <c r="K199" s="287"/>
    </row>
    <row r="200" spans="1:11" x14ac:dyDescent="0.25">
      <c r="A200" s="287"/>
      <c r="B200" s="287"/>
      <c r="C200" s="287"/>
      <c r="D200" s="287"/>
      <c r="E200" s="287"/>
      <c r="F200" s="287"/>
      <c r="G200" s="403"/>
      <c r="H200" s="305"/>
      <c r="I200" s="305"/>
      <c r="J200" s="305"/>
      <c r="K200" s="287"/>
    </row>
    <row r="201" spans="1:11" x14ac:dyDescent="0.25">
      <c r="A201" s="287"/>
      <c r="B201" s="287"/>
      <c r="C201" s="287"/>
      <c r="D201" s="287"/>
      <c r="E201" s="287"/>
      <c r="F201" s="287"/>
      <c r="G201" s="403"/>
      <c r="H201" s="305"/>
      <c r="I201" s="305"/>
      <c r="J201" s="305"/>
      <c r="K201" s="287"/>
    </row>
    <row r="202" spans="1:11" x14ac:dyDescent="0.25">
      <c r="A202" s="287"/>
      <c r="B202" s="287"/>
      <c r="C202" s="287"/>
      <c r="D202" s="287"/>
      <c r="E202" s="287"/>
      <c r="F202" s="287"/>
      <c r="G202" s="403"/>
      <c r="H202" s="305"/>
      <c r="I202" s="305"/>
      <c r="J202" s="305"/>
      <c r="K202" s="287"/>
    </row>
    <row r="203" spans="1:11" x14ac:dyDescent="0.25">
      <c r="A203" s="287"/>
      <c r="B203" s="287"/>
      <c r="C203" s="287"/>
      <c r="D203" s="287"/>
      <c r="E203" s="287"/>
      <c r="F203" s="287"/>
      <c r="G203" s="403"/>
      <c r="H203" s="305"/>
      <c r="I203" s="305"/>
      <c r="J203" s="305"/>
      <c r="K203" s="287"/>
    </row>
    <row r="204" spans="1:11" x14ac:dyDescent="0.25">
      <c r="A204" s="287"/>
      <c r="B204" s="287"/>
      <c r="C204" s="287"/>
      <c r="D204" s="287"/>
      <c r="E204" s="287"/>
      <c r="F204" s="287"/>
      <c r="G204" s="403"/>
      <c r="H204" s="305"/>
      <c r="I204" s="305"/>
      <c r="J204" s="305"/>
      <c r="K204" s="287"/>
    </row>
    <row r="205" spans="1:11" x14ac:dyDescent="0.25">
      <c r="A205" s="287"/>
      <c r="B205" s="287"/>
      <c r="C205" s="287"/>
      <c r="D205" s="287"/>
      <c r="E205" s="287"/>
      <c r="F205" s="287"/>
      <c r="G205" s="403"/>
      <c r="H205" s="305"/>
      <c r="I205" s="305"/>
      <c r="J205" s="305"/>
      <c r="K205" s="287"/>
    </row>
    <row r="206" spans="1:11" x14ac:dyDescent="0.25">
      <c r="A206" s="287"/>
      <c r="B206" s="287"/>
      <c r="C206" s="287"/>
      <c r="D206" s="287"/>
      <c r="E206" s="287"/>
      <c r="F206" s="287"/>
      <c r="G206" s="403"/>
      <c r="H206" s="305"/>
      <c r="I206" s="305"/>
      <c r="J206" s="305"/>
      <c r="K206" s="287"/>
    </row>
    <row r="207" spans="1:11" x14ac:dyDescent="0.25">
      <c r="A207" s="287"/>
      <c r="B207" s="287"/>
      <c r="C207" s="287"/>
      <c r="D207" s="287"/>
      <c r="E207" s="287"/>
      <c r="F207" s="287"/>
      <c r="G207" s="403"/>
      <c r="H207" s="305"/>
      <c r="I207" s="305"/>
      <c r="J207" s="305"/>
      <c r="K207" s="287"/>
    </row>
    <row r="208" spans="1:11" x14ac:dyDescent="0.25">
      <c r="A208" s="287"/>
      <c r="B208" s="287"/>
      <c r="C208" s="287"/>
      <c r="D208" s="287"/>
      <c r="E208" s="287"/>
      <c r="F208" s="287"/>
      <c r="G208" s="403"/>
      <c r="H208" s="305"/>
      <c r="I208" s="305"/>
      <c r="J208" s="305"/>
      <c r="K208" s="287"/>
    </row>
    <row r="209" spans="1:11" x14ac:dyDescent="0.25">
      <c r="A209" s="287"/>
      <c r="B209" s="287"/>
      <c r="C209" s="287"/>
      <c r="D209" s="287"/>
      <c r="E209" s="287"/>
      <c r="F209" s="287"/>
      <c r="G209" s="403"/>
      <c r="H209" s="305"/>
      <c r="I209" s="305"/>
      <c r="J209" s="305"/>
      <c r="K209" s="287"/>
    </row>
    <row r="210" spans="1:11" x14ac:dyDescent="0.25">
      <c r="A210" s="287"/>
      <c r="B210" s="287"/>
      <c r="C210" s="287"/>
      <c r="D210" s="287"/>
      <c r="E210" s="287"/>
      <c r="F210" s="287"/>
      <c r="G210" s="403"/>
      <c r="H210" s="305"/>
      <c r="I210" s="305"/>
      <c r="J210" s="305"/>
      <c r="K210" s="287"/>
    </row>
    <row r="211" spans="1:11" x14ac:dyDescent="0.25">
      <c r="A211" s="287"/>
      <c r="B211" s="287"/>
      <c r="C211" s="287"/>
      <c r="D211" s="287"/>
      <c r="E211" s="287"/>
      <c r="F211" s="287"/>
      <c r="G211" s="403"/>
      <c r="H211" s="305"/>
      <c r="I211" s="305"/>
      <c r="J211" s="305"/>
      <c r="K211" s="287"/>
    </row>
    <row r="212" spans="1:11" x14ac:dyDescent="0.25">
      <c r="A212" s="287"/>
      <c r="B212" s="287"/>
      <c r="C212" s="287"/>
      <c r="D212" s="287"/>
      <c r="E212" s="287"/>
      <c r="F212" s="287"/>
      <c r="G212" s="403"/>
      <c r="H212" s="305"/>
      <c r="I212" s="305"/>
      <c r="J212" s="305"/>
      <c r="K212" s="287"/>
    </row>
    <row r="213" spans="1:11" x14ac:dyDescent="0.25">
      <c r="A213" s="287"/>
      <c r="B213" s="287"/>
      <c r="C213" s="287"/>
      <c r="D213" s="287"/>
      <c r="E213" s="287"/>
      <c r="F213" s="287"/>
      <c r="G213" s="403"/>
      <c r="H213" s="305"/>
      <c r="I213" s="305"/>
      <c r="J213" s="305"/>
      <c r="K213" s="287"/>
    </row>
    <row r="214" spans="1:11" x14ac:dyDescent="0.25">
      <c r="A214" s="287"/>
      <c r="B214" s="287"/>
      <c r="C214" s="287"/>
      <c r="D214" s="287"/>
      <c r="E214" s="287"/>
      <c r="F214" s="287"/>
      <c r="G214" s="403"/>
      <c r="H214" s="305"/>
      <c r="I214" s="305"/>
      <c r="J214" s="305"/>
      <c r="K214" s="287"/>
    </row>
    <row r="215" spans="1:11" x14ac:dyDescent="0.25">
      <c r="A215" s="287"/>
      <c r="B215" s="287"/>
      <c r="C215" s="287"/>
      <c r="D215" s="287"/>
      <c r="E215" s="287"/>
      <c r="F215" s="287"/>
      <c r="G215" s="403"/>
      <c r="H215" s="305"/>
      <c r="I215" s="305"/>
      <c r="J215" s="305"/>
      <c r="K215" s="287"/>
    </row>
    <row r="216" spans="1:11" x14ac:dyDescent="0.25">
      <c r="A216" s="287"/>
      <c r="B216" s="287"/>
      <c r="C216" s="287"/>
      <c r="D216" s="287"/>
      <c r="E216" s="287"/>
      <c r="F216" s="287"/>
      <c r="G216" s="403"/>
      <c r="H216" s="305"/>
      <c r="I216" s="305"/>
      <c r="J216" s="305"/>
      <c r="K216" s="287"/>
    </row>
    <row r="217" spans="1:11" x14ac:dyDescent="0.25">
      <c r="A217" s="287"/>
      <c r="B217" s="287"/>
      <c r="C217" s="287"/>
      <c r="D217" s="287"/>
      <c r="E217" s="287"/>
      <c r="F217" s="287"/>
      <c r="G217" s="403"/>
      <c r="H217" s="305"/>
      <c r="I217" s="305"/>
      <c r="J217" s="305"/>
      <c r="K217" s="287"/>
    </row>
    <row r="218" spans="1:11" x14ac:dyDescent="0.25">
      <c r="A218" s="287"/>
      <c r="B218" s="287"/>
      <c r="C218" s="287"/>
      <c r="D218" s="287"/>
      <c r="E218" s="287"/>
      <c r="F218" s="287"/>
      <c r="G218" s="403"/>
      <c r="H218" s="305"/>
      <c r="I218" s="305"/>
      <c r="J218" s="305"/>
      <c r="K218" s="287"/>
    </row>
    <row r="219" spans="1:11" x14ac:dyDescent="0.25">
      <c r="A219" s="287"/>
      <c r="B219" s="287"/>
      <c r="C219" s="287"/>
      <c r="D219" s="287"/>
      <c r="E219" s="287"/>
      <c r="F219" s="287"/>
      <c r="G219" s="403"/>
      <c r="H219" s="305"/>
      <c r="I219" s="305"/>
      <c r="J219" s="305"/>
      <c r="K219" s="287"/>
    </row>
    <row r="220" spans="1:11" x14ac:dyDescent="0.25">
      <c r="A220" s="287"/>
      <c r="B220" s="287"/>
      <c r="C220" s="287"/>
      <c r="D220" s="287"/>
      <c r="E220" s="287"/>
      <c r="F220" s="287"/>
      <c r="G220" s="403"/>
      <c r="H220" s="305"/>
      <c r="I220" s="305"/>
      <c r="J220" s="305"/>
      <c r="K220" s="287"/>
    </row>
    <row r="221" spans="1:11" x14ac:dyDescent="0.25">
      <c r="A221" s="287"/>
      <c r="B221" s="287"/>
      <c r="C221" s="287"/>
      <c r="D221" s="287"/>
      <c r="E221" s="287"/>
      <c r="F221" s="287"/>
      <c r="G221" s="403"/>
      <c r="H221" s="305"/>
      <c r="I221" s="305"/>
      <c r="J221" s="305"/>
      <c r="K221" s="287"/>
    </row>
    <row r="222" spans="1:11" x14ac:dyDescent="0.25">
      <c r="A222" s="287"/>
      <c r="B222" s="287"/>
      <c r="C222" s="287"/>
      <c r="D222" s="287"/>
      <c r="E222" s="287"/>
      <c r="F222" s="287"/>
      <c r="G222" s="403"/>
      <c r="H222" s="305"/>
      <c r="I222" s="305"/>
      <c r="J222" s="305"/>
      <c r="K222" s="287"/>
    </row>
    <row r="223" spans="1:11" x14ac:dyDescent="0.25">
      <c r="A223" s="287"/>
      <c r="B223" s="287"/>
      <c r="C223" s="287"/>
      <c r="D223" s="287"/>
      <c r="E223" s="287"/>
      <c r="F223" s="287"/>
      <c r="G223" s="403"/>
      <c r="H223" s="305"/>
      <c r="I223" s="305"/>
      <c r="J223" s="305"/>
      <c r="K223" s="287"/>
    </row>
    <row r="224" spans="1:11" x14ac:dyDescent="0.25">
      <c r="A224" s="287"/>
      <c r="B224" s="287"/>
      <c r="C224" s="287"/>
      <c r="D224" s="287"/>
      <c r="E224" s="287"/>
      <c r="F224" s="287"/>
      <c r="G224" s="403"/>
      <c r="H224" s="305"/>
      <c r="I224" s="305"/>
      <c r="J224" s="305"/>
      <c r="K224" s="287"/>
    </row>
    <row r="225" spans="1:11" x14ac:dyDescent="0.25">
      <c r="A225" s="287"/>
      <c r="B225" s="287"/>
      <c r="C225" s="287"/>
      <c r="D225" s="287"/>
      <c r="E225" s="287"/>
      <c r="F225" s="287"/>
      <c r="G225" s="403"/>
      <c r="H225" s="305"/>
      <c r="I225" s="305"/>
      <c r="J225" s="305"/>
      <c r="K225" s="287"/>
    </row>
    <row r="226" spans="1:11" x14ac:dyDescent="0.25">
      <c r="A226" s="287"/>
      <c r="B226" s="287"/>
      <c r="C226" s="287"/>
      <c r="D226" s="287"/>
      <c r="E226" s="287"/>
      <c r="F226" s="287"/>
      <c r="G226" s="403"/>
      <c r="H226" s="305"/>
      <c r="I226" s="305"/>
      <c r="J226" s="305"/>
      <c r="K226" s="287"/>
    </row>
    <row r="227" spans="1:11" x14ac:dyDescent="0.25">
      <c r="A227" s="287"/>
      <c r="B227" s="287"/>
      <c r="C227" s="287"/>
      <c r="D227" s="287"/>
      <c r="E227" s="287"/>
      <c r="F227" s="287"/>
      <c r="G227" s="403"/>
      <c r="H227" s="305"/>
      <c r="I227" s="305"/>
      <c r="J227" s="305"/>
      <c r="K227" s="287"/>
    </row>
    <row r="228" spans="1:11" x14ac:dyDescent="0.25">
      <c r="A228" s="287"/>
      <c r="B228" s="287"/>
      <c r="C228" s="287"/>
      <c r="D228" s="287"/>
      <c r="E228" s="287"/>
      <c r="F228" s="287"/>
      <c r="G228" s="403"/>
      <c r="H228" s="305"/>
      <c r="I228" s="305"/>
      <c r="J228" s="305"/>
      <c r="K228" s="287"/>
    </row>
    <row r="229" spans="1:11" x14ac:dyDescent="0.25">
      <c r="A229" s="287"/>
      <c r="B229" s="287"/>
      <c r="C229" s="287"/>
      <c r="D229" s="287"/>
      <c r="E229" s="287"/>
      <c r="F229" s="287"/>
      <c r="G229" s="403"/>
      <c r="H229" s="305"/>
      <c r="I229" s="305"/>
      <c r="J229" s="305"/>
      <c r="K229" s="287"/>
    </row>
    <row r="230" spans="1:11" x14ac:dyDescent="0.25">
      <c r="A230" s="287"/>
      <c r="B230" s="287"/>
      <c r="C230" s="287"/>
      <c r="D230" s="287"/>
      <c r="E230" s="287"/>
      <c r="F230" s="287"/>
      <c r="G230" s="403"/>
      <c r="H230" s="305"/>
      <c r="I230" s="305"/>
      <c r="J230" s="305"/>
      <c r="K230" s="287"/>
    </row>
    <row r="231" spans="1:11" x14ac:dyDescent="0.25">
      <c r="A231" s="287"/>
      <c r="B231" s="287"/>
      <c r="C231" s="287"/>
      <c r="D231" s="287"/>
      <c r="E231" s="287"/>
      <c r="F231" s="287"/>
      <c r="G231" s="403"/>
      <c r="H231" s="305"/>
      <c r="I231" s="305"/>
      <c r="J231" s="305"/>
      <c r="K231" s="287"/>
    </row>
    <row r="232" spans="1:11" x14ac:dyDescent="0.25">
      <c r="A232" s="287"/>
      <c r="B232" s="287"/>
      <c r="C232" s="287"/>
      <c r="D232" s="287"/>
      <c r="E232" s="287"/>
      <c r="F232" s="287"/>
      <c r="G232" s="403"/>
      <c r="H232" s="305"/>
      <c r="I232" s="305"/>
      <c r="J232" s="305"/>
      <c r="K232" s="287"/>
    </row>
    <row r="233" spans="1:11" x14ac:dyDescent="0.25">
      <c r="A233" s="287"/>
      <c r="B233" s="287"/>
      <c r="C233" s="287"/>
      <c r="D233" s="287"/>
      <c r="E233" s="287"/>
      <c r="F233" s="287"/>
      <c r="G233" s="403"/>
      <c r="H233" s="305"/>
      <c r="I233" s="305"/>
      <c r="J233" s="305"/>
      <c r="K233" s="287"/>
    </row>
    <row r="234" spans="1:11" x14ac:dyDescent="0.25">
      <c r="A234" s="287"/>
      <c r="B234" s="287"/>
      <c r="C234" s="287"/>
      <c r="D234" s="287"/>
      <c r="E234" s="287"/>
      <c r="F234" s="287"/>
      <c r="G234" s="403"/>
      <c r="H234" s="305"/>
      <c r="I234" s="305"/>
      <c r="J234" s="305"/>
      <c r="K234" s="287"/>
    </row>
    <row r="235" spans="1:11" x14ac:dyDescent="0.25">
      <c r="A235" s="287"/>
      <c r="B235" s="287"/>
      <c r="C235" s="287"/>
      <c r="D235" s="287"/>
      <c r="E235" s="287"/>
      <c r="F235" s="287"/>
      <c r="G235" s="403"/>
      <c r="H235" s="305"/>
      <c r="I235" s="305"/>
      <c r="J235" s="305"/>
      <c r="K235" s="287"/>
    </row>
    <row r="236" spans="1:11" x14ac:dyDescent="0.25">
      <c r="A236" s="287"/>
      <c r="B236" s="287"/>
      <c r="C236" s="287"/>
      <c r="D236" s="287"/>
      <c r="E236" s="287"/>
      <c r="F236" s="287"/>
      <c r="G236" s="403"/>
      <c r="H236" s="305"/>
      <c r="I236" s="305"/>
      <c r="J236" s="305"/>
      <c r="K236" s="287"/>
    </row>
    <row r="237" spans="1:11" x14ac:dyDescent="0.25">
      <c r="A237" s="287"/>
      <c r="B237" s="287"/>
      <c r="C237" s="287"/>
      <c r="D237" s="287"/>
      <c r="E237" s="287"/>
      <c r="F237" s="287"/>
      <c r="G237" s="403"/>
      <c r="H237" s="305"/>
      <c r="I237" s="305"/>
      <c r="J237" s="305"/>
      <c r="K237" s="287"/>
    </row>
    <row r="238" spans="1:11" x14ac:dyDescent="0.25">
      <c r="A238" s="287"/>
      <c r="B238" s="287"/>
      <c r="C238" s="287"/>
      <c r="D238" s="287"/>
      <c r="E238" s="287"/>
      <c r="F238" s="287"/>
      <c r="G238" s="403"/>
      <c r="H238" s="305"/>
      <c r="I238" s="305"/>
      <c r="J238" s="305"/>
      <c r="K238" s="287"/>
    </row>
    <row r="239" spans="1:11" x14ac:dyDescent="0.25">
      <c r="A239" s="287"/>
      <c r="B239" s="287"/>
      <c r="C239" s="287"/>
      <c r="D239" s="287"/>
      <c r="E239" s="287"/>
      <c r="F239" s="287"/>
      <c r="G239" s="403"/>
      <c r="H239" s="305"/>
      <c r="I239" s="305"/>
      <c r="J239" s="305"/>
      <c r="K239" s="287"/>
    </row>
    <row r="240" spans="1:11" x14ac:dyDescent="0.25">
      <c r="A240" s="287"/>
      <c r="B240" s="287"/>
      <c r="C240" s="287"/>
      <c r="D240" s="287"/>
      <c r="E240" s="287"/>
      <c r="F240" s="287"/>
      <c r="G240" s="403"/>
      <c r="H240" s="305"/>
      <c r="I240" s="305"/>
      <c r="J240" s="305"/>
      <c r="K240" s="287"/>
    </row>
    <row r="241" spans="1:11" x14ac:dyDescent="0.25">
      <c r="A241" s="287"/>
      <c r="B241" s="287"/>
      <c r="C241" s="287"/>
      <c r="D241" s="287"/>
      <c r="E241" s="287"/>
      <c r="F241" s="287"/>
      <c r="G241" s="403"/>
      <c r="H241" s="305"/>
      <c r="I241" s="305"/>
      <c r="J241" s="305"/>
      <c r="K241" s="287"/>
    </row>
    <row r="242" spans="1:11" x14ac:dyDescent="0.25">
      <c r="A242" s="287"/>
      <c r="B242" s="287"/>
      <c r="C242" s="287"/>
      <c r="D242" s="287"/>
      <c r="E242" s="287"/>
      <c r="F242" s="287"/>
      <c r="G242" s="403"/>
      <c r="H242" s="305"/>
      <c r="I242" s="305"/>
      <c r="J242" s="305"/>
      <c r="K242" s="287"/>
    </row>
    <row r="243" spans="1:11" x14ac:dyDescent="0.25">
      <c r="A243" s="287"/>
      <c r="B243" s="287"/>
      <c r="C243" s="287"/>
      <c r="D243" s="287"/>
      <c r="E243" s="287"/>
      <c r="F243" s="287"/>
      <c r="G243" s="403"/>
      <c r="H243" s="305"/>
      <c r="I243" s="305"/>
      <c r="J243" s="305"/>
      <c r="K243" s="287"/>
    </row>
    <row r="244" spans="1:11" x14ac:dyDescent="0.25">
      <c r="A244" s="287"/>
      <c r="B244" s="287"/>
      <c r="C244" s="287"/>
      <c r="D244" s="287"/>
      <c r="E244" s="287"/>
      <c r="F244" s="287"/>
      <c r="G244" s="403"/>
      <c r="H244" s="305"/>
      <c r="I244" s="305"/>
      <c r="J244" s="305"/>
      <c r="K244" s="287"/>
    </row>
    <row r="245" spans="1:11" x14ac:dyDescent="0.25">
      <c r="A245" s="287"/>
      <c r="B245" s="287"/>
      <c r="C245" s="287"/>
      <c r="D245" s="287"/>
      <c r="E245" s="287"/>
      <c r="F245" s="287"/>
      <c r="G245" s="403"/>
      <c r="H245" s="305"/>
      <c r="I245" s="305"/>
      <c r="J245" s="305"/>
      <c r="K245" s="287"/>
    </row>
    <row r="246" spans="1:11" x14ac:dyDescent="0.25">
      <c r="A246" s="287"/>
      <c r="B246" s="287"/>
      <c r="C246" s="287"/>
      <c r="D246" s="287"/>
      <c r="E246" s="287"/>
      <c r="F246" s="287"/>
      <c r="G246" s="403"/>
      <c r="H246" s="305"/>
      <c r="I246" s="305"/>
      <c r="J246" s="305"/>
      <c r="K246" s="287"/>
    </row>
    <row r="247" spans="1:11" x14ac:dyDescent="0.25">
      <c r="A247" s="287"/>
      <c r="B247" s="287"/>
      <c r="C247" s="287"/>
      <c r="D247" s="287"/>
      <c r="E247" s="287"/>
      <c r="F247" s="287"/>
      <c r="G247" s="403"/>
      <c r="H247" s="305"/>
      <c r="I247" s="305"/>
      <c r="J247" s="305"/>
      <c r="K247" s="287"/>
    </row>
    <row r="248" spans="1:11" x14ac:dyDescent="0.25">
      <c r="A248" s="287"/>
      <c r="B248" s="287"/>
      <c r="C248" s="287"/>
      <c r="D248" s="287"/>
      <c r="E248" s="287"/>
      <c r="F248" s="287"/>
      <c r="G248" s="403"/>
      <c r="H248" s="305"/>
      <c r="I248" s="305"/>
      <c r="J248" s="305"/>
      <c r="K248" s="287"/>
    </row>
    <row r="249" spans="1:11" x14ac:dyDescent="0.25">
      <c r="A249" s="287"/>
      <c r="B249" s="287"/>
      <c r="C249" s="287"/>
      <c r="D249" s="287"/>
      <c r="E249" s="287"/>
      <c r="F249" s="287"/>
      <c r="G249" s="403"/>
      <c r="H249" s="305"/>
      <c r="I249" s="305"/>
      <c r="J249" s="305"/>
      <c r="K249" s="287"/>
    </row>
    <row r="250" spans="1:11" x14ac:dyDescent="0.25">
      <c r="A250" s="287"/>
      <c r="B250" s="287"/>
      <c r="C250" s="287"/>
      <c r="D250" s="287"/>
      <c r="E250" s="287"/>
      <c r="F250" s="287"/>
      <c r="G250" s="403"/>
      <c r="H250" s="305"/>
      <c r="I250" s="305"/>
      <c r="J250" s="305"/>
      <c r="K250" s="287"/>
    </row>
    <row r="251" spans="1:11" x14ac:dyDescent="0.25">
      <c r="A251" s="287"/>
      <c r="B251" s="287"/>
      <c r="C251" s="287"/>
      <c r="D251" s="287"/>
      <c r="E251" s="287"/>
      <c r="F251" s="287"/>
      <c r="G251" s="403"/>
      <c r="H251" s="305"/>
      <c r="I251" s="305"/>
      <c r="J251" s="305"/>
      <c r="K251" s="287"/>
    </row>
    <row r="252" spans="1:11" x14ac:dyDescent="0.25">
      <c r="A252" s="287"/>
      <c r="B252" s="287"/>
      <c r="C252" s="287"/>
      <c r="D252" s="287"/>
      <c r="E252" s="287"/>
      <c r="F252" s="287"/>
      <c r="G252" s="403"/>
      <c r="H252" s="305"/>
      <c r="I252" s="305"/>
      <c r="J252" s="305"/>
      <c r="K252" s="287"/>
    </row>
    <row r="253" spans="1:11" x14ac:dyDescent="0.25">
      <c r="A253" s="287"/>
      <c r="B253" s="287"/>
      <c r="C253" s="287"/>
      <c r="D253" s="287"/>
      <c r="E253" s="287"/>
      <c r="F253" s="287"/>
      <c r="G253" s="403"/>
      <c r="H253" s="305"/>
      <c r="I253" s="305"/>
      <c r="J253" s="305"/>
      <c r="K253" s="287"/>
    </row>
    <row r="254" spans="1:11" x14ac:dyDescent="0.25">
      <c r="A254" s="287"/>
      <c r="B254" s="287"/>
      <c r="C254" s="287"/>
      <c r="D254" s="287"/>
      <c r="E254" s="287"/>
      <c r="F254" s="287"/>
      <c r="G254" s="403"/>
      <c r="H254" s="305"/>
      <c r="I254" s="305"/>
      <c r="J254" s="305"/>
      <c r="K254" s="287"/>
    </row>
    <row r="255" spans="1:11" x14ac:dyDescent="0.25">
      <c r="A255" s="287"/>
      <c r="B255" s="287"/>
      <c r="C255" s="287"/>
      <c r="D255" s="287"/>
      <c r="E255" s="287"/>
      <c r="F255" s="287"/>
      <c r="G255" s="403"/>
      <c r="H255" s="305"/>
      <c r="I255" s="305"/>
      <c r="J255" s="305"/>
      <c r="K255" s="287"/>
    </row>
    <row r="256" spans="1:11" x14ac:dyDescent="0.25">
      <c r="A256" s="287"/>
      <c r="B256" s="287"/>
      <c r="C256" s="287"/>
      <c r="D256" s="287"/>
      <c r="E256" s="287"/>
      <c r="F256" s="287"/>
      <c r="G256" s="403"/>
      <c r="H256" s="305"/>
      <c r="I256" s="305"/>
      <c r="J256" s="305"/>
      <c r="K256" s="287"/>
    </row>
    <row r="257" spans="1:11" x14ac:dyDescent="0.25">
      <c r="A257" s="287"/>
      <c r="B257" s="287"/>
      <c r="C257" s="287"/>
      <c r="D257" s="287"/>
      <c r="E257" s="287"/>
      <c r="F257" s="287"/>
      <c r="G257" s="403"/>
      <c r="H257" s="305"/>
      <c r="I257" s="305"/>
      <c r="J257" s="305"/>
      <c r="K257" s="287"/>
    </row>
    <row r="258" spans="1:11" x14ac:dyDescent="0.25">
      <c r="A258" s="287"/>
      <c r="B258" s="287"/>
      <c r="C258" s="287"/>
      <c r="D258" s="287"/>
      <c r="E258" s="287"/>
      <c r="F258" s="287"/>
      <c r="G258" s="403"/>
      <c r="H258" s="305"/>
      <c r="I258" s="305"/>
      <c r="J258" s="305"/>
      <c r="K258" s="287"/>
    </row>
    <row r="259" spans="1:11" x14ac:dyDescent="0.25">
      <c r="A259" s="287"/>
      <c r="B259" s="287"/>
      <c r="C259" s="287"/>
      <c r="D259" s="287"/>
      <c r="E259" s="287"/>
      <c r="F259" s="287"/>
      <c r="G259" s="403"/>
      <c r="H259" s="305"/>
      <c r="I259" s="305"/>
      <c r="J259" s="305"/>
      <c r="K259" s="287"/>
    </row>
    <row r="260" spans="1:11" x14ac:dyDescent="0.25">
      <c r="A260" s="287"/>
      <c r="B260" s="287"/>
      <c r="C260" s="287"/>
      <c r="D260" s="287"/>
      <c r="E260" s="287"/>
      <c r="F260" s="287"/>
      <c r="G260" s="403"/>
      <c r="H260" s="305"/>
      <c r="I260" s="305"/>
      <c r="J260" s="305"/>
      <c r="K260" s="287"/>
    </row>
    <row r="261" spans="1:11" x14ac:dyDescent="0.25">
      <c r="A261" s="287"/>
      <c r="B261" s="287"/>
      <c r="C261" s="287"/>
      <c r="D261" s="287"/>
      <c r="E261" s="287"/>
      <c r="F261" s="287"/>
      <c r="G261" s="403"/>
      <c r="H261" s="305"/>
      <c r="I261" s="305"/>
      <c r="J261" s="305"/>
      <c r="K261" s="287"/>
    </row>
    <row r="262" spans="1:11" x14ac:dyDescent="0.25">
      <c r="A262" s="287"/>
      <c r="B262" s="287"/>
      <c r="C262" s="287"/>
      <c r="D262" s="287"/>
      <c r="E262" s="287"/>
      <c r="F262" s="287"/>
      <c r="G262" s="403"/>
      <c r="H262" s="305"/>
      <c r="I262" s="305"/>
      <c r="J262" s="305"/>
      <c r="K262" s="287"/>
    </row>
    <row r="263" spans="1:11" x14ac:dyDescent="0.25">
      <c r="A263" s="287"/>
      <c r="B263" s="287"/>
      <c r="C263" s="287"/>
      <c r="D263" s="287"/>
      <c r="E263" s="287"/>
      <c r="F263" s="287"/>
      <c r="G263" s="403"/>
      <c r="H263" s="305"/>
      <c r="I263" s="305"/>
      <c r="J263" s="305"/>
      <c r="K263" s="287"/>
    </row>
    <row r="264" spans="1:11" x14ac:dyDescent="0.25">
      <c r="A264" s="287"/>
      <c r="B264" s="287"/>
      <c r="C264" s="287"/>
      <c r="D264" s="287"/>
      <c r="E264" s="287"/>
      <c r="F264" s="287"/>
      <c r="G264" s="403"/>
      <c r="H264" s="305"/>
      <c r="I264" s="305"/>
      <c r="J264" s="305"/>
      <c r="K264" s="287"/>
    </row>
    <row r="265" spans="1:11" x14ac:dyDescent="0.25">
      <c r="A265" s="287"/>
      <c r="B265" s="287"/>
      <c r="C265" s="287"/>
      <c r="D265" s="287"/>
      <c r="E265" s="287"/>
      <c r="F265" s="287"/>
      <c r="G265" s="403"/>
      <c r="H265" s="305"/>
      <c r="I265" s="305"/>
      <c r="J265" s="305"/>
      <c r="K265" s="287"/>
    </row>
    <row r="266" spans="1:11" x14ac:dyDescent="0.25">
      <c r="A266" s="287"/>
      <c r="B266" s="287"/>
      <c r="C266" s="287"/>
      <c r="D266" s="287"/>
      <c r="E266" s="287"/>
      <c r="F266" s="287"/>
      <c r="G266" s="403"/>
      <c r="H266" s="305"/>
      <c r="I266" s="305"/>
      <c r="J266" s="305"/>
      <c r="K266" s="287"/>
    </row>
    <row r="267" spans="1:11" x14ac:dyDescent="0.25">
      <c r="A267" s="287"/>
      <c r="B267" s="287"/>
      <c r="C267" s="287"/>
      <c r="D267" s="287"/>
      <c r="E267" s="287"/>
      <c r="F267" s="287"/>
      <c r="G267" s="403"/>
      <c r="H267" s="305"/>
      <c r="I267" s="305"/>
      <c r="J267" s="305"/>
      <c r="K267" s="287"/>
    </row>
    <row r="268" spans="1:11" x14ac:dyDescent="0.25">
      <c r="A268" s="287"/>
      <c r="B268" s="287"/>
      <c r="C268" s="287"/>
      <c r="D268" s="287"/>
      <c r="E268" s="287"/>
      <c r="F268" s="287"/>
      <c r="G268" s="403"/>
      <c r="H268" s="305"/>
      <c r="I268" s="305"/>
      <c r="J268" s="305"/>
      <c r="K268" s="287"/>
    </row>
    <row r="269" spans="1:11" x14ac:dyDescent="0.25">
      <c r="A269" s="287"/>
      <c r="B269" s="287"/>
      <c r="C269" s="287"/>
      <c r="D269" s="287"/>
      <c r="E269" s="287"/>
      <c r="F269" s="287"/>
      <c r="G269" s="403"/>
      <c r="H269" s="305"/>
      <c r="I269" s="305"/>
      <c r="J269" s="305"/>
      <c r="K269" s="287"/>
    </row>
    <row r="270" spans="1:11" x14ac:dyDescent="0.25">
      <c r="A270" s="287"/>
      <c r="B270" s="287"/>
      <c r="C270" s="287"/>
      <c r="D270" s="287"/>
      <c r="E270" s="287"/>
      <c r="F270" s="287"/>
      <c r="G270" s="403"/>
      <c r="H270" s="305"/>
      <c r="I270" s="305"/>
      <c r="J270" s="305"/>
      <c r="K270" s="287"/>
    </row>
    <row r="271" spans="1:11" x14ac:dyDescent="0.25">
      <c r="A271" s="287"/>
      <c r="B271" s="287"/>
      <c r="C271" s="287"/>
      <c r="D271" s="287"/>
      <c r="E271" s="287"/>
      <c r="F271" s="287"/>
      <c r="G271" s="403"/>
      <c r="H271" s="305"/>
      <c r="I271" s="305"/>
      <c r="J271" s="305"/>
      <c r="K271" s="287"/>
    </row>
    <row r="272" spans="1:11" x14ac:dyDescent="0.25">
      <c r="A272" s="287"/>
      <c r="B272" s="287"/>
      <c r="C272" s="287"/>
      <c r="D272" s="287"/>
      <c r="E272" s="287"/>
      <c r="F272" s="287"/>
      <c r="G272" s="403"/>
      <c r="H272" s="305"/>
      <c r="I272" s="305"/>
      <c r="J272" s="305"/>
      <c r="K272" s="287"/>
    </row>
    <row r="273" spans="1:11" x14ac:dyDescent="0.25">
      <c r="A273" s="287"/>
      <c r="B273" s="287"/>
      <c r="C273" s="287"/>
      <c r="D273" s="287"/>
      <c r="E273" s="287"/>
      <c r="F273" s="287"/>
      <c r="G273" s="403"/>
      <c r="H273" s="305"/>
      <c r="I273" s="305"/>
      <c r="J273" s="305"/>
      <c r="K273" s="287"/>
    </row>
    <row r="274" spans="1:11" x14ac:dyDescent="0.25">
      <c r="A274" s="287"/>
      <c r="B274" s="287"/>
      <c r="C274" s="287"/>
      <c r="D274" s="287"/>
      <c r="E274" s="287"/>
      <c r="F274" s="287"/>
      <c r="G274" s="403"/>
      <c r="H274" s="305"/>
      <c r="I274" s="305"/>
      <c r="J274" s="305"/>
      <c r="K274" s="287"/>
    </row>
    <row r="275" spans="1:11" x14ac:dyDescent="0.25">
      <c r="A275" s="287"/>
      <c r="B275" s="287"/>
      <c r="C275" s="287"/>
      <c r="D275" s="287"/>
      <c r="E275" s="287"/>
      <c r="F275" s="287"/>
      <c r="G275" s="403"/>
      <c r="H275" s="305"/>
      <c r="I275" s="305"/>
      <c r="J275" s="305"/>
      <c r="K275" s="287"/>
    </row>
    <row r="276" spans="1:11" x14ac:dyDescent="0.25">
      <c r="A276" s="287"/>
      <c r="B276" s="287"/>
      <c r="C276" s="287"/>
      <c r="D276" s="287"/>
      <c r="E276" s="287"/>
      <c r="F276" s="287"/>
      <c r="G276" s="403"/>
      <c r="H276" s="305"/>
      <c r="I276" s="305"/>
      <c r="J276" s="305"/>
      <c r="K276" s="287"/>
    </row>
    <row r="277" spans="1:11" x14ac:dyDescent="0.25">
      <c r="A277" s="287"/>
      <c r="B277" s="287"/>
      <c r="C277" s="287"/>
      <c r="D277" s="287"/>
      <c r="E277" s="287"/>
      <c r="F277" s="287"/>
      <c r="G277" s="403"/>
      <c r="H277" s="305"/>
      <c r="I277" s="305"/>
      <c r="J277" s="305"/>
      <c r="K277" s="287"/>
    </row>
    <row r="278" spans="1:11" x14ac:dyDescent="0.25">
      <c r="A278" s="287"/>
      <c r="B278" s="287"/>
      <c r="C278" s="287"/>
      <c r="D278" s="287"/>
      <c r="E278" s="287"/>
      <c r="F278" s="287"/>
      <c r="G278" s="403"/>
      <c r="H278" s="305"/>
      <c r="I278" s="305"/>
      <c r="J278" s="305"/>
      <c r="K278" s="287"/>
    </row>
    <row r="279" spans="1:11" x14ac:dyDescent="0.25">
      <c r="A279" s="287"/>
      <c r="B279" s="287"/>
      <c r="C279" s="287"/>
      <c r="D279" s="287"/>
      <c r="E279" s="287"/>
      <c r="F279" s="287"/>
      <c r="G279" s="403"/>
      <c r="H279" s="305"/>
      <c r="I279" s="305"/>
      <c r="J279" s="305"/>
      <c r="K279" s="287"/>
    </row>
    <row r="280" spans="1:11" x14ac:dyDescent="0.25">
      <c r="A280" s="287"/>
      <c r="B280" s="287"/>
      <c r="C280" s="287"/>
      <c r="D280" s="287"/>
      <c r="E280" s="287"/>
      <c r="F280" s="287"/>
      <c r="G280" s="403"/>
      <c r="H280" s="305"/>
      <c r="I280" s="305"/>
      <c r="J280" s="305"/>
      <c r="K280" s="287"/>
    </row>
    <row r="281" spans="1:11" x14ac:dyDescent="0.25">
      <c r="A281" s="287"/>
      <c r="B281" s="287"/>
      <c r="C281" s="287"/>
      <c r="D281" s="287"/>
      <c r="E281" s="287"/>
      <c r="F281" s="287"/>
      <c r="G281" s="403"/>
      <c r="H281" s="305"/>
      <c r="I281" s="305"/>
      <c r="J281" s="305"/>
      <c r="K281" s="287"/>
    </row>
    <row r="282" spans="1:11" x14ac:dyDescent="0.25">
      <c r="A282" s="287"/>
      <c r="B282" s="287"/>
      <c r="C282" s="287"/>
      <c r="D282" s="287"/>
      <c r="E282" s="287"/>
      <c r="F282" s="287"/>
      <c r="G282" s="403"/>
      <c r="H282" s="305"/>
      <c r="I282" s="305"/>
      <c r="J282" s="305"/>
      <c r="K282" s="287"/>
    </row>
    <row r="283" spans="1:11" x14ac:dyDescent="0.25">
      <c r="A283" s="287"/>
      <c r="B283" s="287"/>
      <c r="C283" s="287"/>
      <c r="D283" s="287"/>
      <c r="E283" s="287"/>
      <c r="F283" s="287"/>
      <c r="G283" s="403"/>
      <c r="H283" s="305"/>
      <c r="I283" s="305"/>
      <c r="J283" s="305"/>
      <c r="K283" s="287"/>
    </row>
    <row r="284" spans="1:11" x14ac:dyDescent="0.25">
      <c r="A284" s="287"/>
      <c r="B284" s="287"/>
      <c r="C284" s="287"/>
      <c r="D284" s="287"/>
      <c r="E284" s="287"/>
      <c r="F284" s="287"/>
      <c r="G284" s="403"/>
      <c r="H284" s="305"/>
      <c r="I284" s="305"/>
      <c r="J284" s="305"/>
      <c r="K284" s="287"/>
    </row>
    <row r="285" spans="1:11" x14ac:dyDescent="0.25">
      <c r="A285" s="287"/>
      <c r="B285" s="287"/>
      <c r="C285" s="287"/>
      <c r="D285" s="287"/>
      <c r="E285" s="287"/>
      <c r="F285" s="287"/>
      <c r="G285" s="403"/>
      <c r="H285" s="305"/>
      <c r="I285" s="305"/>
      <c r="J285" s="305"/>
      <c r="K285" s="287"/>
    </row>
    <row r="286" spans="1:11" x14ac:dyDescent="0.25">
      <c r="A286" s="287"/>
      <c r="B286" s="287"/>
      <c r="C286" s="287"/>
      <c r="D286" s="287"/>
      <c r="E286" s="287"/>
      <c r="F286" s="287"/>
      <c r="G286" s="403"/>
      <c r="H286" s="305"/>
      <c r="I286" s="305"/>
      <c r="J286" s="305"/>
      <c r="K286" s="287"/>
    </row>
    <row r="287" spans="1:11" x14ac:dyDescent="0.25">
      <c r="A287" s="287"/>
      <c r="B287" s="287"/>
      <c r="C287" s="287"/>
      <c r="D287" s="287"/>
      <c r="E287" s="287"/>
      <c r="F287" s="287"/>
      <c r="G287" s="403"/>
      <c r="H287" s="305"/>
      <c r="I287" s="305"/>
      <c r="J287" s="305"/>
      <c r="K287" s="287"/>
    </row>
    <row r="288" spans="1:11" x14ac:dyDescent="0.25">
      <c r="A288" s="287"/>
      <c r="B288" s="287"/>
      <c r="C288" s="287"/>
      <c r="D288" s="287"/>
      <c r="E288" s="287"/>
      <c r="F288" s="287"/>
      <c r="G288" s="403"/>
      <c r="H288" s="305"/>
      <c r="I288" s="305"/>
      <c r="J288" s="305"/>
      <c r="K288" s="287"/>
    </row>
    <row r="289" spans="1:11" x14ac:dyDescent="0.25">
      <c r="A289" s="287"/>
      <c r="B289" s="287"/>
      <c r="C289" s="287"/>
      <c r="D289" s="287"/>
      <c r="E289" s="287"/>
      <c r="F289" s="287"/>
      <c r="G289" s="403"/>
      <c r="H289" s="305"/>
      <c r="I289" s="305"/>
      <c r="J289" s="305"/>
      <c r="K289" s="287"/>
    </row>
    <row r="290" spans="1:11" x14ac:dyDescent="0.25">
      <c r="A290" s="287"/>
      <c r="B290" s="287"/>
      <c r="C290" s="287"/>
      <c r="D290" s="287"/>
      <c r="E290" s="287"/>
      <c r="F290" s="287"/>
      <c r="G290" s="403"/>
      <c r="H290" s="305"/>
      <c r="I290" s="305"/>
      <c r="J290" s="305"/>
      <c r="K290" s="287"/>
    </row>
    <row r="291" spans="1:11" x14ac:dyDescent="0.25">
      <c r="A291" s="287"/>
      <c r="B291" s="287"/>
      <c r="C291" s="287"/>
      <c r="D291" s="287"/>
      <c r="E291" s="287"/>
      <c r="F291" s="287"/>
      <c r="G291" s="403"/>
      <c r="H291" s="305"/>
      <c r="I291" s="305"/>
      <c r="J291" s="305"/>
      <c r="K291" s="287"/>
    </row>
    <row r="292" spans="1:11" x14ac:dyDescent="0.25">
      <c r="A292" s="287"/>
      <c r="B292" s="287"/>
      <c r="C292" s="287"/>
      <c r="D292" s="287"/>
      <c r="E292" s="287"/>
      <c r="F292" s="287"/>
      <c r="G292" s="403"/>
      <c r="H292" s="305"/>
      <c r="I292" s="305"/>
      <c r="J292" s="305"/>
      <c r="K292" s="287"/>
    </row>
    <row r="293" spans="1:11" x14ac:dyDescent="0.25">
      <c r="A293" s="287"/>
      <c r="B293" s="287"/>
      <c r="C293" s="287"/>
      <c r="D293" s="287"/>
      <c r="E293" s="287"/>
      <c r="F293" s="287"/>
      <c r="G293" s="403"/>
      <c r="H293" s="305"/>
      <c r="I293" s="305"/>
      <c r="J293" s="305"/>
      <c r="K293" s="287"/>
    </row>
    <row r="294" spans="1:11" x14ac:dyDescent="0.25">
      <c r="A294" s="287"/>
      <c r="B294" s="287"/>
      <c r="C294" s="287"/>
      <c r="D294" s="287"/>
      <c r="E294" s="287"/>
      <c r="F294" s="287"/>
      <c r="G294" s="403"/>
      <c r="H294" s="305"/>
      <c r="I294" s="305"/>
      <c r="J294" s="305"/>
      <c r="K294" s="287"/>
    </row>
    <row r="295" spans="1:11" x14ac:dyDescent="0.25">
      <c r="A295" s="287"/>
      <c r="B295" s="287"/>
      <c r="C295" s="287"/>
      <c r="D295" s="287"/>
      <c r="E295" s="287"/>
      <c r="F295" s="287"/>
      <c r="G295" s="403"/>
      <c r="H295" s="305"/>
      <c r="I295" s="305"/>
      <c r="J295" s="305"/>
      <c r="K295" s="287"/>
    </row>
    <row r="296" spans="1:11" x14ac:dyDescent="0.25">
      <c r="A296" s="287"/>
      <c r="B296" s="287"/>
      <c r="C296" s="287"/>
      <c r="D296" s="287"/>
      <c r="E296" s="287"/>
      <c r="F296" s="287"/>
      <c r="G296" s="403"/>
      <c r="H296" s="305"/>
      <c r="I296" s="305"/>
      <c r="J296" s="305"/>
      <c r="K296" s="287"/>
    </row>
    <row r="297" spans="1:11" x14ac:dyDescent="0.25">
      <c r="A297" s="287"/>
      <c r="B297" s="287"/>
      <c r="C297" s="287"/>
      <c r="D297" s="287"/>
      <c r="E297" s="287"/>
      <c r="F297" s="287"/>
      <c r="G297" s="403"/>
      <c r="H297" s="305"/>
      <c r="I297" s="305"/>
      <c r="J297" s="305"/>
      <c r="K297" s="287"/>
    </row>
    <row r="298" spans="1:11" x14ac:dyDescent="0.25">
      <c r="A298" s="287"/>
      <c r="B298" s="287"/>
      <c r="C298" s="287"/>
      <c r="D298" s="287"/>
      <c r="E298" s="287"/>
      <c r="F298" s="287"/>
      <c r="G298" s="403"/>
      <c r="H298" s="305"/>
      <c r="I298" s="305"/>
      <c r="J298" s="305"/>
      <c r="K298" s="287"/>
    </row>
    <row r="299" spans="1:11" x14ac:dyDescent="0.25">
      <c r="A299" s="287"/>
      <c r="B299" s="287"/>
      <c r="C299" s="287"/>
      <c r="D299" s="287"/>
      <c r="E299" s="287"/>
      <c r="F299" s="287"/>
      <c r="G299" s="403"/>
      <c r="H299" s="305"/>
      <c r="I299" s="305"/>
      <c r="J299" s="305"/>
      <c r="K299" s="287"/>
    </row>
    <row r="300" spans="1:11" x14ac:dyDescent="0.25">
      <c r="A300" s="287"/>
      <c r="B300" s="287"/>
      <c r="C300" s="287"/>
      <c r="D300" s="287"/>
      <c r="E300" s="287"/>
      <c r="F300" s="287"/>
      <c r="G300" s="403"/>
      <c r="H300" s="305"/>
      <c r="I300" s="305"/>
      <c r="J300" s="305"/>
      <c r="K300" s="287"/>
    </row>
    <row r="301" spans="1:11" x14ac:dyDescent="0.25">
      <c r="A301" s="287"/>
      <c r="B301" s="287"/>
      <c r="C301" s="287"/>
      <c r="D301" s="287"/>
      <c r="E301" s="287"/>
      <c r="F301" s="287"/>
      <c r="G301" s="403"/>
      <c r="H301" s="305"/>
      <c r="I301" s="305"/>
      <c r="J301" s="305"/>
      <c r="K301" s="287"/>
    </row>
    <row r="302" spans="1:11" x14ac:dyDescent="0.25">
      <c r="A302" s="287"/>
      <c r="B302" s="287"/>
      <c r="C302" s="287"/>
      <c r="D302" s="287"/>
      <c r="E302" s="287"/>
      <c r="F302" s="287"/>
      <c r="G302" s="403"/>
      <c r="H302" s="305"/>
      <c r="I302" s="305"/>
      <c r="J302" s="305"/>
      <c r="K302" s="287"/>
    </row>
    <row r="303" spans="1:11" x14ac:dyDescent="0.25">
      <c r="A303" s="287"/>
      <c r="B303" s="287"/>
      <c r="C303" s="287"/>
      <c r="D303" s="287"/>
      <c r="E303" s="287"/>
      <c r="F303" s="287"/>
      <c r="G303" s="403"/>
      <c r="H303" s="305"/>
      <c r="I303" s="305"/>
      <c r="J303" s="305"/>
      <c r="K303" s="287"/>
    </row>
    <row r="304" spans="1:11" x14ac:dyDescent="0.25">
      <c r="A304" s="287"/>
      <c r="B304" s="287"/>
      <c r="C304" s="287"/>
      <c r="D304" s="287"/>
      <c r="E304" s="287"/>
      <c r="F304" s="287"/>
      <c r="G304" s="403"/>
      <c r="H304" s="305"/>
      <c r="I304" s="305"/>
      <c r="J304" s="305"/>
      <c r="K304" s="287"/>
    </row>
    <row r="305" spans="1:11" x14ac:dyDescent="0.25">
      <c r="A305" s="287"/>
      <c r="B305" s="287"/>
      <c r="C305" s="287"/>
      <c r="D305" s="287"/>
      <c r="E305" s="287"/>
      <c r="F305" s="287"/>
      <c r="G305" s="403"/>
      <c r="H305" s="305"/>
      <c r="I305" s="305"/>
      <c r="J305" s="305"/>
      <c r="K305" s="287"/>
    </row>
    <row r="306" spans="1:11" x14ac:dyDescent="0.25">
      <c r="A306" s="287"/>
      <c r="B306" s="287"/>
      <c r="C306" s="287"/>
      <c r="D306" s="287"/>
      <c r="E306" s="287"/>
      <c r="F306" s="287"/>
      <c r="G306" s="403"/>
      <c r="H306" s="305"/>
      <c r="I306" s="305"/>
      <c r="J306" s="305"/>
      <c r="K306" s="287"/>
    </row>
    <row r="307" spans="1:11" x14ac:dyDescent="0.25">
      <c r="A307" s="287"/>
      <c r="B307" s="287"/>
      <c r="C307" s="287"/>
      <c r="D307" s="287"/>
      <c r="E307" s="287"/>
      <c r="F307" s="287"/>
      <c r="G307" s="403"/>
      <c r="H307" s="305"/>
      <c r="I307" s="305"/>
      <c r="J307" s="305"/>
      <c r="K307" s="287"/>
    </row>
    <row r="308" spans="1:11" x14ac:dyDescent="0.25">
      <c r="A308" s="287"/>
      <c r="B308" s="287"/>
      <c r="C308" s="287"/>
      <c r="D308" s="287"/>
      <c r="E308" s="287"/>
      <c r="F308" s="287"/>
      <c r="G308" s="403"/>
      <c r="H308" s="305"/>
      <c r="I308" s="305"/>
      <c r="J308" s="305"/>
      <c r="K308" s="287"/>
    </row>
    <row r="309" spans="1:11" x14ac:dyDescent="0.25">
      <c r="A309" s="287"/>
      <c r="B309" s="287"/>
      <c r="C309" s="287"/>
      <c r="D309" s="287"/>
      <c r="E309" s="287"/>
      <c r="F309" s="287"/>
      <c r="G309" s="403"/>
      <c r="H309" s="305"/>
      <c r="I309" s="305"/>
      <c r="J309" s="305"/>
      <c r="K309" s="287"/>
    </row>
    <row r="310" spans="1:11" x14ac:dyDescent="0.25">
      <c r="A310" s="287"/>
      <c r="B310" s="287"/>
      <c r="C310" s="287"/>
      <c r="D310" s="287"/>
      <c r="E310" s="287"/>
      <c r="F310" s="287"/>
      <c r="G310" s="403"/>
      <c r="H310" s="305"/>
      <c r="I310" s="305"/>
      <c r="J310" s="305"/>
      <c r="K310" s="287"/>
    </row>
    <row r="311" spans="1:11" x14ac:dyDescent="0.25">
      <c r="A311" s="287"/>
      <c r="B311" s="287"/>
      <c r="C311" s="287"/>
      <c r="D311" s="287"/>
      <c r="E311" s="287"/>
      <c r="F311" s="287"/>
      <c r="G311" s="403"/>
      <c r="H311" s="305"/>
      <c r="I311" s="305"/>
      <c r="J311" s="305"/>
      <c r="K311" s="287"/>
    </row>
    <row r="312" spans="1:11" x14ac:dyDescent="0.25">
      <c r="A312" s="287"/>
      <c r="B312" s="287"/>
      <c r="C312" s="287"/>
      <c r="D312" s="287"/>
      <c r="E312" s="287"/>
      <c r="F312" s="287"/>
      <c r="G312" s="403"/>
      <c r="H312" s="305"/>
      <c r="I312" s="305"/>
      <c r="J312" s="305"/>
      <c r="K312" s="287"/>
    </row>
    <row r="313" spans="1:11" x14ac:dyDescent="0.25">
      <c r="A313" s="287"/>
      <c r="B313" s="287"/>
      <c r="C313" s="287"/>
      <c r="D313" s="287"/>
      <c r="E313" s="287"/>
      <c r="F313" s="287"/>
      <c r="G313" s="403"/>
      <c r="H313" s="305"/>
      <c r="I313" s="305"/>
      <c r="J313" s="305"/>
      <c r="K313" s="287"/>
    </row>
    <row r="314" spans="1:11" x14ac:dyDescent="0.25">
      <c r="A314" s="287"/>
      <c r="B314" s="287"/>
      <c r="C314" s="287"/>
      <c r="D314" s="287"/>
      <c r="E314" s="287"/>
      <c r="F314" s="287"/>
      <c r="G314" s="403"/>
      <c r="H314" s="305"/>
      <c r="I314" s="305"/>
      <c r="J314" s="305"/>
      <c r="K314" s="287"/>
    </row>
    <row r="315" spans="1:11" x14ac:dyDescent="0.25">
      <c r="A315" s="287"/>
      <c r="B315" s="287"/>
      <c r="C315" s="287"/>
      <c r="D315" s="287"/>
      <c r="E315" s="287"/>
      <c r="F315" s="287"/>
      <c r="G315" s="403"/>
      <c r="H315" s="305"/>
      <c r="I315" s="305"/>
      <c r="J315" s="305"/>
      <c r="K315" s="287"/>
    </row>
    <row r="316" spans="1:11" x14ac:dyDescent="0.25">
      <c r="A316" s="287"/>
      <c r="B316" s="287"/>
      <c r="C316" s="287"/>
      <c r="D316" s="287"/>
      <c r="E316" s="287"/>
      <c r="F316" s="287"/>
      <c r="G316" s="403"/>
      <c r="H316" s="305"/>
      <c r="I316" s="305"/>
      <c r="J316" s="305"/>
      <c r="K316" s="287"/>
    </row>
    <row r="317" spans="1:11" x14ac:dyDescent="0.25">
      <c r="A317" s="287"/>
      <c r="B317" s="287"/>
      <c r="C317" s="287"/>
      <c r="D317" s="287"/>
      <c r="E317" s="287"/>
      <c r="F317" s="287"/>
      <c r="G317" s="403"/>
      <c r="H317" s="305"/>
      <c r="I317" s="305"/>
      <c r="J317" s="305"/>
      <c r="K317" s="287"/>
    </row>
    <row r="318" spans="1:11" x14ac:dyDescent="0.25">
      <c r="A318" s="287"/>
      <c r="B318" s="287"/>
      <c r="C318" s="287"/>
      <c r="D318" s="287"/>
      <c r="E318" s="287"/>
      <c r="F318" s="287"/>
      <c r="G318" s="403"/>
      <c r="H318" s="305"/>
      <c r="I318" s="305"/>
      <c r="J318" s="305"/>
      <c r="K318" s="287"/>
    </row>
    <row r="319" spans="1:11" x14ac:dyDescent="0.25">
      <c r="A319" s="287"/>
      <c r="B319" s="287"/>
      <c r="C319" s="287"/>
      <c r="D319" s="287"/>
      <c r="E319" s="287"/>
      <c r="F319" s="287"/>
      <c r="G319" s="403"/>
      <c r="H319" s="305"/>
      <c r="I319" s="305"/>
      <c r="J319" s="305"/>
      <c r="K319" s="287"/>
    </row>
    <row r="320" spans="1:11" x14ac:dyDescent="0.25">
      <c r="A320" s="287"/>
      <c r="B320" s="287"/>
      <c r="C320" s="287"/>
      <c r="D320" s="287"/>
      <c r="E320" s="287"/>
      <c r="F320" s="287"/>
      <c r="G320" s="403"/>
      <c r="H320" s="305"/>
      <c r="I320" s="305"/>
      <c r="J320" s="305"/>
      <c r="K320" s="287"/>
    </row>
    <row r="321" spans="1:11" x14ac:dyDescent="0.25">
      <c r="A321" s="287"/>
      <c r="B321" s="287"/>
      <c r="C321" s="287"/>
      <c r="D321" s="287"/>
      <c r="E321" s="287"/>
      <c r="F321" s="287"/>
      <c r="G321" s="403"/>
      <c r="H321" s="305"/>
      <c r="I321" s="305"/>
      <c r="J321" s="305"/>
      <c r="K321" s="287"/>
    </row>
    <row r="322" spans="1:11" x14ac:dyDescent="0.25">
      <c r="A322" s="287"/>
      <c r="B322" s="287"/>
      <c r="C322" s="287"/>
      <c r="D322" s="287"/>
      <c r="E322" s="287"/>
      <c r="F322" s="287"/>
      <c r="G322" s="403"/>
      <c r="H322" s="305"/>
      <c r="I322" s="305"/>
      <c r="J322" s="305"/>
      <c r="K322" s="287"/>
    </row>
    <row r="323" spans="1:11" x14ac:dyDescent="0.25">
      <c r="A323" s="287"/>
      <c r="B323" s="287"/>
      <c r="C323" s="287"/>
      <c r="D323" s="287"/>
      <c r="E323" s="287"/>
      <c r="F323" s="287"/>
      <c r="G323" s="403"/>
      <c r="H323" s="305"/>
      <c r="I323" s="305"/>
      <c r="J323" s="305"/>
      <c r="K323" s="287"/>
    </row>
    <row r="324" spans="1:11" x14ac:dyDescent="0.25">
      <c r="A324" s="287"/>
      <c r="B324" s="287"/>
      <c r="C324" s="287"/>
      <c r="D324" s="287"/>
      <c r="E324" s="287"/>
      <c r="F324" s="287"/>
      <c r="G324" s="403"/>
      <c r="H324" s="305"/>
      <c r="I324" s="305"/>
      <c r="J324" s="305"/>
      <c r="K324" s="287"/>
    </row>
    <row r="325" spans="1:11" x14ac:dyDescent="0.25">
      <c r="A325" s="287"/>
      <c r="B325" s="287"/>
      <c r="C325" s="287"/>
      <c r="D325" s="287"/>
      <c r="E325" s="287"/>
      <c r="F325" s="287"/>
      <c r="G325" s="403"/>
      <c r="H325" s="305"/>
      <c r="I325" s="305"/>
      <c r="J325" s="305"/>
      <c r="K325" s="287"/>
    </row>
    <row r="326" spans="1:11" x14ac:dyDescent="0.25">
      <c r="A326" s="287"/>
      <c r="B326" s="287"/>
      <c r="C326" s="287"/>
      <c r="D326" s="287"/>
      <c r="E326" s="287"/>
      <c r="F326" s="287"/>
      <c r="G326" s="403"/>
      <c r="H326" s="305"/>
      <c r="I326" s="305"/>
      <c r="J326" s="305"/>
      <c r="K326" s="287"/>
    </row>
    <row r="327" spans="1:11" x14ac:dyDescent="0.25">
      <c r="A327" s="287"/>
      <c r="B327" s="287"/>
      <c r="C327" s="287"/>
      <c r="D327" s="287"/>
      <c r="E327" s="287"/>
      <c r="F327" s="287"/>
      <c r="G327" s="403"/>
      <c r="H327" s="305"/>
      <c r="I327" s="305"/>
      <c r="J327" s="305"/>
      <c r="K327" s="287"/>
    </row>
    <row r="328" spans="1:11" x14ac:dyDescent="0.25">
      <c r="A328" s="287"/>
      <c r="B328" s="287"/>
      <c r="C328" s="287"/>
      <c r="D328" s="287"/>
      <c r="E328" s="287"/>
      <c r="F328" s="287"/>
      <c r="G328" s="403"/>
      <c r="H328" s="305"/>
      <c r="I328" s="305"/>
      <c r="J328" s="305"/>
      <c r="K328" s="287"/>
    </row>
    <row r="329" spans="1:11" x14ac:dyDescent="0.25">
      <c r="A329" s="287"/>
      <c r="B329" s="287"/>
      <c r="C329" s="287"/>
      <c r="D329" s="287"/>
      <c r="E329" s="287"/>
      <c r="F329" s="287"/>
      <c r="G329" s="403"/>
      <c r="H329" s="305"/>
      <c r="I329" s="305"/>
      <c r="J329" s="305"/>
      <c r="K329" s="287"/>
    </row>
    <row r="330" spans="1:11" x14ac:dyDescent="0.25">
      <c r="A330" s="287"/>
      <c r="B330" s="287"/>
      <c r="C330" s="287"/>
      <c r="D330" s="287"/>
      <c r="E330" s="287"/>
      <c r="F330" s="287"/>
      <c r="G330" s="403"/>
      <c r="H330" s="305"/>
      <c r="I330" s="305"/>
      <c r="J330" s="305"/>
      <c r="K330" s="287"/>
    </row>
    <row r="331" spans="1:11" x14ac:dyDescent="0.25">
      <c r="A331" s="287"/>
      <c r="B331" s="287"/>
      <c r="C331" s="287"/>
      <c r="D331" s="287"/>
      <c r="E331" s="287"/>
      <c r="F331" s="287"/>
      <c r="G331" s="403"/>
      <c r="H331" s="305"/>
      <c r="I331" s="305"/>
      <c r="J331" s="305"/>
      <c r="K331" s="287"/>
    </row>
    <row r="332" spans="1:11" x14ac:dyDescent="0.25">
      <c r="A332" s="287"/>
      <c r="B332" s="287"/>
      <c r="C332" s="287"/>
      <c r="D332" s="287"/>
      <c r="E332" s="287"/>
      <c r="F332" s="287"/>
      <c r="G332" s="403"/>
      <c r="H332" s="305"/>
      <c r="I332" s="305"/>
      <c r="J332" s="305"/>
      <c r="K332" s="287"/>
    </row>
    <row r="333" spans="1:11" x14ac:dyDescent="0.25">
      <c r="A333" s="287"/>
      <c r="B333" s="287"/>
      <c r="C333" s="287"/>
      <c r="D333" s="287"/>
      <c r="E333" s="287"/>
      <c r="F333" s="287"/>
      <c r="G333" s="403"/>
      <c r="H333" s="305"/>
      <c r="I333" s="305"/>
      <c r="J333" s="305"/>
      <c r="K333" s="287"/>
    </row>
    <row r="334" spans="1:11" x14ac:dyDescent="0.25">
      <c r="A334" s="287"/>
      <c r="B334" s="287"/>
      <c r="C334" s="287"/>
      <c r="D334" s="287"/>
      <c r="E334" s="287"/>
      <c r="F334" s="287"/>
      <c r="G334" s="403"/>
      <c r="H334" s="305"/>
      <c r="I334" s="305"/>
      <c r="J334" s="305"/>
      <c r="K334" s="287"/>
    </row>
    <row r="335" spans="1:11" x14ac:dyDescent="0.25">
      <c r="A335" s="287"/>
      <c r="B335" s="287"/>
      <c r="C335" s="287"/>
      <c r="D335" s="287"/>
      <c r="E335" s="287"/>
      <c r="F335" s="287"/>
      <c r="G335" s="403"/>
      <c r="H335" s="305"/>
      <c r="I335" s="305"/>
      <c r="J335" s="305"/>
      <c r="K335" s="287"/>
    </row>
    <row r="336" spans="1:11" x14ac:dyDescent="0.25">
      <c r="A336" s="287"/>
      <c r="B336" s="287"/>
      <c r="C336" s="287"/>
      <c r="D336" s="287"/>
      <c r="E336" s="287"/>
      <c r="F336" s="287"/>
      <c r="G336" s="403"/>
      <c r="H336" s="305"/>
      <c r="I336" s="305"/>
      <c r="J336" s="305"/>
      <c r="K336" s="287"/>
    </row>
    <row r="337" spans="1:11" x14ac:dyDescent="0.25">
      <c r="A337" s="287"/>
      <c r="B337" s="287"/>
      <c r="C337" s="287"/>
      <c r="D337" s="287"/>
      <c r="E337" s="287"/>
      <c r="F337" s="287"/>
      <c r="G337" s="403"/>
      <c r="H337" s="305"/>
      <c r="I337" s="305"/>
      <c r="J337" s="305"/>
      <c r="K337" s="287"/>
    </row>
    <row r="338" spans="1:11" x14ac:dyDescent="0.25">
      <c r="A338" s="287"/>
      <c r="B338" s="287"/>
      <c r="C338" s="287"/>
      <c r="D338" s="287"/>
      <c r="E338" s="287"/>
      <c r="F338" s="287"/>
      <c r="G338" s="403"/>
      <c r="H338" s="305"/>
      <c r="I338" s="305"/>
      <c r="J338" s="305"/>
      <c r="K338" s="287"/>
    </row>
    <row r="339" spans="1:11" x14ac:dyDescent="0.25">
      <c r="A339" s="287"/>
      <c r="B339" s="287"/>
      <c r="C339" s="287"/>
      <c r="D339" s="287"/>
      <c r="E339" s="287"/>
      <c r="F339" s="287"/>
      <c r="G339" s="403"/>
      <c r="H339" s="305"/>
      <c r="I339" s="305"/>
      <c r="J339" s="305"/>
      <c r="K339" s="287"/>
    </row>
    <row r="340" spans="1:11" x14ac:dyDescent="0.25">
      <c r="A340" s="287"/>
      <c r="B340" s="287"/>
      <c r="C340" s="287"/>
      <c r="D340" s="287"/>
      <c r="E340" s="287"/>
      <c r="F340" s="287"/>
      <c r="G340" s="403"/>
      <c r="H340" s="305"/>
      <c r="I340" s="305"/>
      <c r="J340" s="305"/>
      <c r="K340" s="287"/>
    </row>
    <row r="341" spans="1:11" x14ac:dyDescent="0.25">
      <c r="A341" s="287"/>
      <c r="B341" s="287"/>
      <c r="C341" s="287"/>
      <c r="D341" s="287"/>
      <c r="E341" s="287"/>
      <c r="F341" s="287"/>
      <c r="G341" s="403"/>
      <c r="H341" s="305"/>
      <c r="I341" s="305"/>
      <c r="J341" s="305"/>
      <c r="K341" s="287"/>
    </row>
    <row r="342" spans="1:11" x14ac:dyDescent="0.25">
      <c r="A342" s="287"/>
      <c r="B342" s="287"/>
      <c r="C342" s="287"/>
      <c r="D342" s="287"/>
      <c r="E342" s="287"/>
      <c r="F342" s="287"/>
      <c r="G342" s="403"/>
      <c r="H342" s="305"/>
      <c r="I342" s="305"/>
      <c r="J342" s="305"/>
      <c r="K342" s="287"/>
    </row>
    <row r="343" spans="1:11" x14ac:dyDescent="0.25">
      <c r="A343" s="287"/>
      <c r="B343" s="287"/>
      <c r="C343" s="287"/>
      <c r="D343" s="287"/>
      <c r="E343" s="287"/>
      <c r="F343" s="287"/>
      <c r="G343" s="403"/>
      <c r="H343" s="305"/>
      <c r="I343" s="305"/>
      <c r="J343" s="305"/>
      <c r="K343" s="287"/>
    </row>
    <row r="344" spans="1:11" x14ac:dyDescent="0.25">
      <c r="A344" s="287"/>
      <c r="B344" s="287"/>
      <c r="C344" s="287"/>
      <c r="D344" s="287"/>
      <c r="E344" s="287"/>
      <c r="F344" s="287"/>
      <c r="G344" s="403"/>
      <c r="H344" s="305"/>
      <c r="I344" s="305"/>
      <c r="J344" s="305"/>
      <c r="K344" s="287"/>
    </row>
    <row r="345" spans="1:11" x14ac:dyDescent="0.25">
      <c r="A345" s="287"/>
      <c r="B345" s="287"/>
      <c r="C345" s="287"/>
      <c r="D345" s="287"/>
      <c r="E345" s="287"/>
      <c r="F345" s="287"/>
      <c r="G345" s="403"/>
      <c r="H345" s="305"/>
      <c r="I345" s="305"/>
      <c r="J345" s="305"/>
      <c r="K345" s="287"/>
    </row>
    <row r="346" spans="1:11" x14ac:dyDescent="0.25">
      <c r="A346" s="287"/>
      <c r="B346" s="287"/>
      <c r="C346" s="287"/>
      <c r="D346" s="287"/>
      <c r="E346" s="287"/>
      <c r="F346" s="287"/>
      <c r="G346" s="403"/>
      <c r="H346" s="305"/>
      <c r="I346" s="305"/>
      <c r="J346" s="305"/>
      <c r="K346" s="287"/>
    </row>
    <row r="347" spans="1:11" x14ac:dyDescent="0.25">
      <c r="A347" s="287"/>
      <c r="B347" s="287"/>
      <c r="C347" s="287"/>
      <c r="D347" s="287"/>
      <c r="E347" s="287"/>
      <c r="F347" s="287"/>
      <c r="G347" s="403"/>
      <c r="H347" s="305"/>
      <c r="I347" s="305"/>
      <c r="J347" s="305"/>
      <c r="K347" s="287"/>
    </row>
    <row r="348" spans="1:11" x14ac:dyDescent="0.25">
      <c r="A348" s="287"/>
      <c r="B348" s="287"/>
      <c r="C348" s="287"/>
      <c r="D348" s="287"/>
      <c r="E348" s="287"/>
      <c r="F348" s="287"/>
      <c r="G348" s="403"/>
      <c r="H348" s="305"/>
      <c r="I348" s="305"/>
      <c r="J348" s="305"/>
      <c r="K348" s="287"/>
    </row>
    <row r="349" spans="1:11" x14ac:dyDescent="0.25">
      <c r="A349" s="287"/>
      <c r="B349" s="287"/>
      <c r="C349" s="287"/>
      <c r="D349" s="287"/>
      <c r="E349" s="287"/>
      <c r="F349" s="287"/>
      <c r="G349" s="403"/>
      <c r="H349" s="305"/>
      <c r="I349" s="305"/>
      <c r="J349" s="305"/>
      <c r="K349" s="287"/>
    </row>
    <row r="350" spans="1:11" x14ac:dyDescent="0.25">
      <c r="A350" s="287"/>
      <c r="B350" s="287"/>
      <c r="C350" s="287"/>
      <c r="D350" s="287"/>
      <c r="E350" s="287"/>
      <c r="F350" s="287"/>
      <c r="G350" s="403"/>
      <c r="H350" s="305"/>
      <c r="I350" s="305"/>
      <c r="J350" s="305"/>
      <c r="K350" s="287"/>
    </row>
    <row r="351" spans="1:11" x14ac:dyDescent="0.25">
      <c r="A351" s="287"/>
      <c r="B351" s="287"/>
      <c r="C351" s="287"/>
      <c r="D351" s="287"/>
      <c r="E351" s="287"/>
      <c r="F351" s="287"/>
      <c r="G351" s="403"/>
      <c r="H351" s="305"/>
      <c r="I351" s="305"/>
      <c r="J351" s="305"/>
      <c r="K351" s="287"/>
    </row>
    <row r="352" spans="1:11" x14ac:dyDescent="0.25">
      <c r="A352" s="287"/>
      <c r="B352" s="287"/>
      <c r="C352" s="287"/>
      <c r="D352" s="287"/>
      <c r="E352" s="287"/>
      <c r="F352" s="287"/>
      <c r="G352" s="403"/>
      <c r="H352" s="305"/>
      <c r="I352" s="305"/>
      <c r="J352" s="305"/>
      <c r="K352" s="287"/>
    </row>
    <row r="353" spans="1:11" x14ac:dyDescent="0.25">
      <c r="A353" s="287"/>
      <c r="B353" s="287"/>
      <c r="C353" s="287"/>
      <c r="D353" s="287"/>
      <c r="E353" s="287"/>
      <c r="F353" s="287"/>
      <c r="G353" s="403"/>
      <c r="H353" s="305"/>
      <c r="I353" s="305"/>
      <c r="J353" s="305"/>
      <c r="K353" s="287"/>
    </row>
    <row r="354" spans="1:11" x14ac:dyDescent="0.25">
      <c r="A354" s="287"/>
      <c r="B354" s="287"/>
      <c r="C354" s="287"/>
      <c r="D354" s="287"/>
      <c r="E354" s="287"/>
      <c r="F354" s="287"/>
      <c r="G354" s="403"/>
      <c r="H354" s="305"/>
      <c r="I354" s="305"/>
      <c r="J354" s="305"/>
      <c r="K354" s="287"/>
    </row>
    <row r="355" spans="1:11" x14ac:dyDescent="0.25">
      <c r="A355" s="287"/>
      <c r="B355" s="287"/>
      <c r="C355" s="287"/>
      <c r="D355" s="287"/>
      <c r="E355" s="287"/>
      <c r="F355" s="287"/>
      <c r="G355" s="403"/>
      <c r="H355" s="305"/>
      <c r="I355" s="305"/>
      <c r="J355" s="305"/>
      <c r="K355" s="287"/>
    </row>
    <row r="356" spans="1:11" x14ac:dyDescent="0.25">
      <c r="A356" s="287"/>
      <c r="B356" s="287"/>
      <c r="C356" s="287"/>
      <c r="D356" s="287"/>
      <c r="E356" s="287"/>
      <c r="F356" s="287"/>
      <c r="G356" s="403"/>
      <c r="H356" s="305"/>
      <c r="I356" s="305"/>
      <c r="J356" s="305"/>
      <c r="K356" s="287"/>
    </row>
    <row r="357" spans="1:11" x14ac:dyDescent="0.25">
      <c r="A357" s="287"/>
      <c r="B357" s="287"/>
      <c r="C357" s="287"/>
      <c r="D357" s="287"/>
      <c r="E357" s="287"/>
      <c r="F357" s="287"/>
      <c r="G357" s="403"/>
      <c r="H357" s="305"/>
      <c r="I357" s="305"/>
      <c r="J357" s="305"/>
      <c r="K357" s="287"/>
    </row>
    <row r="358" spans="1:11" x14ac:dyDescent="0.25">
      <c r="A358" s="287"/>
      <c r="B358" s="287"/>
      <c r="C358" s="287"/>
      <c r="D358" s="287"/>
      <c r="E358" s="287"/>
      <c r="F358" s="287"/>
      <c r="G358" s="403"/>
      <c r="H358" s="305"/>
      <c r="I358" s="305"/>
      <c r="J358" s="305"/>
      <c r="K358" s="287"/>
    </row>
    <row r="359" spans="1:11" x14ac:dyDescent="0.25">
      <c r="A359" s="287"/>
      <c r="B359" s="287"/>
      <c r="C359" s="287"/>
      <c r="D359" s="287"/>
      <c r="E359" s="287"/>
      <c r="F359" s="287"/>
      <c r="G359" s="403"/>
      <c r="H359" s="305"/>
      <c r="I359" s="305"/>
      <c r="J359" s="305"/>
      <c r="K359" s="287"/>
    </row>
    <row r="360" spans="1:11" x14ac:dyDescent="0.25">
      <c r="A360" s="287"/>
      <c r="B360" s="287"/>
      <c r="C360" s="287"/>
      <c r="D360" s="287"/>
      <c r="E360" s="287"/>
      <c r="F360" s="287"/>
      <c r="G360" s="403"/>
      <c r="H360" s="305"/>
      <c r="I360" s="305"/>
      <c r="J360" s="305"/>
      <c r="K360" s="287"/>
    </row>
    <row r="361" spans="1:11" x14ac:dyDescent="0.25">
      <c r="A361" s="287"/>
      <c r="B361" s="287"/>
      <c r="C361" s="287"/>
      <c r="D361" s="287"/>
      <c r="E361" s="287"/>
      <c r="F361" s="287"/>
      <c r="G361" s="403"/>
      <c r="H361" s="305"/>
      <c r="I361" s="305"/>
      <c r="J361" s="305"/>
      <c r="K361" s="287"/>
    </row>
    <row r="362" spans="1:11" x14ac:dyDescent="0.25">
      <c r="A362" s="287"/>
      <c r="B362" s="287"/>
      <c r="C362" s="287"/>
      <c r="D362" s="287"/>
      <c r="E362" s="287"/>
      <c r="F362" s="287"/>
      <c r="G362" s="403"/>
      <c r="H362" s="305"/>
      <c r="I362" s="305"/>
      <c r="J362" s="305"/>
      <c r="K362" s="287"/>
    </row>
    <row r="363" spans="1:11" x14ac:dyDescent="0.25">
      <c r="A363" s="287"/>
      <c r="B363" s="287"/>
      <c r="C363" s="287"/>
      <c r="D363" s="287"/>
      <c r="E363" s="287"/>
      <c r="F363" s="287"/>
      <c r="G363" s="403"/>
      <c r="H363" s="305"/>
      <c r="I363" s="305"/>
      <c r="J363" s="305"/>
      <c r="K363" s="287"/>
    </row>
    <row r="364" spans="1:11" x14ac:dyDescent="0.25">
      <c r="A364" s="287"/>
      <c r="B364" s="287"/>
      <c r="C364" s="287"/>
      <c r="D364" s="287"/>
      <c r="E364" s="287"/>
      <c r="F364" s="287"/>
      <c r="G364" s="403"/>
      <c r="H364" s="305"/>
      <c r="I364" s="305"/>
      <c r="J364" s="305"/>
      <c r="K364" s="287"/>
    </row>
    <row r="365" spans="1:11" x14ac:dyDescent="0.25">
      <c r="A365" s="287"/>
      <c r="B365" s="287"/>
      <c r="C365" s="287"/>
      <c r="D365" s="287"/>
      <c r="E365" s="287"/>
      <c r="F365" s="287"/>
      <c r="G365" s="403"/>
      <c r="H365" s="305"/>
      <c r="I365" s="305"/>
      <c r="J365" s="305"/>
      <c r="K365" s="287"/>
    </row>
    <row r="366" spans="1:11" x14ac:dyDescent="0.25">
      <c r="A366" s="287"/>
      <c r="B366" s="287"/>
      <c r="C366" s="287"/>
      <c r="D366" s="287"/>
      <c r="E366" s="287"/>
      <c r="F366" s="287"/>
      <c r="G366" s="403"/>
      <c r="H366" s="305"/>
      <c r="I366" s="305"/>
      <c r="J366" s="305"/>
      <c r="K366" s="287"/>
    </row>
    <row r="367" spans="1:11" x14ac:dyDescent="0.25">
      <c r="A367" s="287"/>
      <c r="B367" s="287"/>
      <c r="C367" s="287"/>
      <c r="D367" s="287"/>
      <c r="E367" s="287"/>
      <c r="F367" s="287"/>
      <c r="G367" s="403"/>
      <c r="H367" s="305"/>
      <c r="I367" s="305"/>
      <c r="J367" s="305"/>
      <c r="K367" s="287"/>
    </row>
    <row r="368" spans="1:11" x14ac:dyDescent="0.25">
      <c r="A368" s="287"/>
      <c r="B368" s="287"/>
      <c r="C368" s="287"/>
      <c r="D368" s="287"/>
      <c r="E368" s="287"/>
      <c r="F368" s="287"/>
      <c r="G368" s="403"/>
      <c r="H368" s="305"/>
      <c r="I368" s="305"/>
      <c r="J368" s="305"/>
      <c r="K368" s="287"/>
    </row>
    <row r="369" spans="1:11" x14ac:dyDescent="0.25">
      <c r="A369" s="287"/>
      <c r="B369" s="287"/>
      <c r="C369" s="287"/>
      <c r="D369" s="287"/>
      <c r="E369" s="287"/>
      <c r="F369" s="287"/>
      <c r="G369" s="403"/>
      <c r="H369" s="305"/>
      <c r="I369" s="305"/>
      <c r="J369" s="305"/>
      <c r="K369" s="287"/>
    </row>
    <row r="370" spans="1:11" x14ac:dyDescent="0.25">
      <c r="A370" s="287"/>
      <c r="B370" s="287"/>
      <c r="C370" s="287"/>
      <c r="D370" s="287"/>
      <c r="E370" s="287"/>
      <c r="F370" s="287"/>
      <c r="G370" s="403"/>
      <c r="H370" s="305"/>
      <c r="I370" s="305"/>
      <c r="J370" s="305"/>
      <c r="K370" s="287"/>
    </row>
    <row r="371" spans="1:11" x14ac:dyDescent="0.25">
      <c r="A371" s="287"/>
      <c r="B371" s="287"/>
      <c r="C371" s="287"/>
      <c r="D371" s="287"/>
      <c r="E371" s="287"/>
      <c r="F371" s="287"/>
      <c r="G371" s="403"/>
      <c r="H371" s="305"/>
      <c r="I371" s="305"/>
      <c r="J371" s="305"/>
      <c r="K371" s="287"/>
    </row>
    <row r="372" spans="1:11" x14ac:dyDescent="0.25">
      <c r="A372" s="287"/>
      <c r="B372" s="287"/>
      <c r="C372" s="287"/>
      <c r="D372" s="287"/>
      <c r="E372" s="287"/>
      <c r="F372" s="287"/>
      <c r="G372" s="403"/>
      <c r="H372" s="305"/>
      <c r="I372" s="305"/>
      <c r="J372" s="305"/>
      <c r="K372" s="287"/>
    </row>
    <row r="373" spans="1:11" x14ac:dyDescent="0.25">
      <c r="A373" s="287"/>
      <c r="B373" s="287"/>
      <c r="C373" s="287"/>
      <c r="D373" s="287"/>
      <c r="E373" s="287"/>
      <c r="F373" s="287"/>
      <c r="G373" s="403"/>
      <c r="H373" s="305"/>
      <c r="I373" s="305"/>
      <c r="J373" s="305"/>
      <c r="K373" s="287"/>
    </row>
    <row r="374" spans="1:11" x14ac:dyDescent="0.25">
      <c r="A374" s="287"/>
      <c r="B374" s="287"/>
      <c r="C374" s="287"/>
      <c r="D374" s="287"/>
      <c r="E374" s="287"/>
      <c r="F374" s="287"/>
      <c r="G374" s="403"/>
      <c r="H374" s="305"/>
      <c r="I374" s="305"/>
      <c r="J374" s="305"/>
      <c r="K374" s="287"/>
    </row>
    <row r="375" spans="1:11" x14ac:dyDescent="0.25">
      <c r="A375" s="287"/>
      <c r="B375" s="287"/>
      <c r="C375" s="287"/>
      <c r="D375" s="287"/>
      <c r="E375" s="287"/>
      <c r="F375" s="287"/>
      <c r="G375" s="403"/>
      <c r="H375" s="305"/>
      <c r="I375" s="305"/>
      <c r="J375" s="305"/>
      <c r="K375" s="287"/>
    </row>
    <row r="376" spans="1:11" x14ac:dyDescent="0.25">
      <c r="A376" s="287"/>
      <c r="B376" s="287"/>
      <c r="C376" s="287"/>
      <c r="D376" s="287"/>
      <c r="E376" s="287"/>
      <c r="F376" s="287"/>
      <c r="G376" s="403"/>
      <c r="H376" s="305"/>
      <c r="I376" s="305"/>
      <c r="J376" s="305"/>
      <c r="K376" s="287"/>
    </row>
    <row r="377" spans="1:11" x14ac:dyDescent="0.25">
      <c r="A377" s="287"/>
      <c r="B377" s="287"/>
      <c r="C377" s="287"/>
      <c r="D377" s="287"/>
      <c r="E377" s="287"/>
      <c r="F377" s="287"/>
      <c r="G377" s="403"/>
      <c r="H377" s="305"/>
      <c r="I377" s="305"/>
      <c r="J377" s="305"/>
      <c r="K377" s="287"/>
    </row>
    <row r="378" spans="1:11" x14ac:dyDescent="0.25">
      <c r="A378" s="287"/>
      <c r="B378" s="287"/>
      <c r="C378" s="287"/>
      <c r="D378" s="287"/>
      <c r="E378" s="287"/>
      <c r="F378" s="287"/>
      <c r="G378" s="403"/>
      <c r="H378" s="305"/>
      <c r="I378" s="305"/>
      <c r="J378" s="305"/>
      <c r="K378" s="287"/>
    </row>
    <row r="379" spans="1:11" x14ac:dyDescent="0.25">
      <c r="A379" s="287"/>
      <c r="B379" s="287"/>
      <c r="C379" s="287"/>
      <c r="D379" s="287"/>
      <c r="E379" s="287"/>
      <c r="F379" s="287"/>
      <c r="G379" s="403"/>
      <c r="H379" s="305"/>
      <c r="I379" s="305"/>
      <c r="J379" s="305"/>
      <c r="K379" s="287"/>
    </row>
    <row r="380" spans="1:11" x14ac:dyDescent="0.25">
      <c r="A380" s="287"/>
      <c r="B380" s="287"/>
      <c r="C380" s="287"/>
      <c r="D380" s="287"/>
      <c r="E380" s="287"/>
      <c r="F380" s="287"/>
      <c r="G380" s="403"/>
      <c r="H380" s="305"/>
      <c r="I380" s="305"/>
      <c r="J380" s="305"/>
      <c r="K380" s="287"/>
    </row>
    <row r="381" spans="1:11" x14ac:dyDescent="0.25">
      <c r="A381" s="287"/>
      <c r="B381" s="287"/>
      <c r="C381" s="287"/>
      <c r="D381" s="287"/>
      <c r="E381" s="287"/>
      <c r="F381" s="287"/>
      <c r="G381" s="403"/>
      <c r="H381" s="305"/>
      <c r="I381" s="305"/>
      <c r="J381" s="305"/>
      <c r="K381" s="287"/>
    </row>
    <row r="382" spans="1:11" x14ac:dyDescent="0.25">
      <c r="A382" s="287"/>
      <c r="B382" s="287"/>
      <c r="C382" s="287"/>
      <c r="D382" s="287"/>
      <c r="E382" s="287"/>
      <c r="F382" s="287"/>
      <c r="G382" s="403"/>
      <c r="H382" s="305"/>
      <c r="I382" s="305"/>
      <c r="J382" s="305"/>
      <c r="K382" s="287"/>
    </row>
    <row r="383" spans="1:11" x14ac:dyDescent="0.25">
      <c r="A383" s="287"/>
      <c r="B383" s="287"/>
      <c r="C383" s="287"/>
      <c r="D383" s="287"/>
      <c r="E383" s="287"/>
      <c r="F383" s="287"/>
      <c r="G383" s="403"/>
      <c r="H383" s="305"/>
      <c r="I383" s="305"/>
      <c r="J383" s="305"/>
      <c r="K383" s="287"/>
    </row>
    <row r="384" spans="1:11" x14ac:dyDescent="0.25">
      <c r="A384" s="287"/>
      <c r="B384" s="287"/>
      <c r="C384" s="287"/>
      <c r="D384" s="287"/>
      <c r="E384" s="287"/>
      <c r="F384" s="287"/>
      <c r="G384" s="403"/>
      <c r="H384" s="305"/>
      <c r="I384" s="305"/>
      <c r="J384" s="305"/>
      <c r="K384" s="287"/>
    </row>
    <row r="385" spans="1:11" x14ac:dyDescent="0.25">
      <c r="A385" s="287"/>
      <c r="B385" s="287"/>
      <c r="C385" s="287"/>
      <c r="D385" s="287"/>
      <c r="E385" s="287"/>
      <c r="F385" s="287"/>
      <c r="G385" s="403"/>
      <c r="H385" s="305"/>
      <c r="I385" s="305"/>
      <c r="J385" s="305"/>
      <c r="K385" s="287"/>
    </row>
    <row r="386" spans="1:11" x14ac:dyDescent="0.25">
      <c r="A386" s="287"/>
      <c r="B386" s="287"/>
      <c r="C386" s="287"/>
      <c r="D386" s="287"/>
      <c r="E386" s="287"/>
      <c r="F386" s="287"/>
      <c r="G386" s="403"/>
      <c r="H386" s="305"/>
      <c r="I386" s="305"/>
      <c r="J386" s="305"/>
      <c r="K386" s="287"/>
    </row>
    <row r="387" spans="1:11" x14ac:dyDescent="0.25">
      <c r="A387" s="287"/>
      <c r="B387" s="287"/>
      <c r="C387" s="287"/>
      <c r="D387" s="287"/>
      <c r="E387" s="287"/>
      <c r="F387" s="287"/>
      <c r="G387" s="403"/>
      <c r="H387" s="305"/>
      <c r="I387" s="305"/>
      <c r="J387" s="305"/>
      <c r="K387" s="287"/>
    </row>
    <row r="388" spans="1:11" x14ac:dyDescent="0.25">
      <c r="A388" s="287"/>
      <c r="B388" s="287"/>
      <c r="C388" s="287"/>
      <c r="D388" s="287"/>
      <c r="E388" s="287"/>
      <c r="F388" s="287"/>
      <c r="G388" s="403"/>
      <c r="H388" s="305"/>
      <c r="I388" s="305"/>
      <c r="J388" s="305"/>
      <c r="K388" s="287"/>
    </row>
    <row r="389" spans="1:11" x14ac:dyDescent="0.25">
      <c r="A389" s="287"/>
      <c r="B389" s="287"/>
      <c r="C389" s="287"/>
      <c r="D389" s="287"/>
      <c r="E389" s="287"/>
      <c r="F389" s="287"/>
      <c r="G389" s="403"/>
      <c r="H389" s="305"/>
      <c r="I389" s="305"/>
      <c r="J389" s="305"/>
      <c r="K389" s="287"/>
    </row>
    <row r="390" spans="1:11" x14ac:dyDescent="0.25">
      <c r="A390" s="287"/>
      <c r="B390" s="287"/>
      <c r="C390" s="287"/>
      <c r="D390" s="287"/>
      <c r="E390" s="287"/>
      <c r="F390" s="287"/>
      <c r="G390" s="403"/>
      <c r="H390" s="305"/>
      <c r="I390" s="305"/>
      <c r="J390" s="305"/>
      <c r="K390" s="287"/>
    </row>
    <row r="391" spans="1:11" x14ac:dyDescent="0.25">
      <c r="A391" s="287"/>
      <c r="B391" s="287"/>
      <c r="C391" s="287"/>
      <c r="D391" s="287"/>
      <c r="E391" s="287"/>
      <c r="F391" s="287"/>
      <c r="G391" s="403"/>
      <c r="H391" s="305"/>
      <c r="I391" s="305"/>
      <c r="J391" s="305"/>
      <c r="K391" s="287"/>
    </row>
    <row r="392" spans="1:11" x14ac:dyDescent="0.25">
      <c r="A392" s="287"/>
      <c r="B392" s="287"/>
      <c r="C392" s="287"/>
      <c r="D392" s="287"/>
      <c r="E392" s="287"/>
      <c r="F392" s="287"/>
      <c r="G392" s="403"/>
      <c r="H392" s="305"/>
      <c r="I392" s="305"/>
      <c r="J392" s="305"/>
      <c r="K392" s="287"/>
    </row>
    <row r="393" spans="1:11" x14ac:dyDescent="0.25">
      <c r="A393" s="287"/>
      <c r="B393" s="287"/>
      <c r="C393" s="287"/>
      <c r="D393" s="287"/>
      <c r="E393" s="287"/>
      <c r="F393" s="287"/>
      <c r="G393" s="403"/>
      <c r="H393" s="305"/>
      <c r="I393" s="305"/>
      <c r="J393" s="305"/>
      <c r="K393" s="287"/>
    </row>
    <row r="394" spans="1:11" x14ac:dyDescent="0.25">
      <c r="A394" s="287"/>
      <c r="B394" s="287"/>
      <c r="C394" s="287"/>
      <c r="D394" s="287"/>
      <c r="E394" s="287"/>
      <c r="F394" s="287"/>
      <c r="G394" s="403"/>
      <c r="H394" s="305"/>
      <c r="I394" s="305"/>
      <c r="J394" s="305"/>
      <c r="K394" s="287"/>
    </row>
    <row r="395" spans="1:11" x14ac:dyDescent="0.25">
      <c r="A395" s="287"/>
      <c r="B395" s="287"/>
      <c r="C395" s="287"/>
      <c r="D395" s="287"/>
      <c r="E395" s="287"/>
      <c r="F395" s="287"/>
      <c r="G395" s="403"/>
      <c r="H395" s="305"/>
      <c r="I395" s="305"/>
      <c r="J395" s="305"/>
      <c r="K395" s="287"/>
    </row>
    <row r="396" spans="1:11" x14ac:dyDescent="0.25">
      <c r="A396" s="287"/>
      <c r="B396" s="287"/>
      <c r="C396" s="287"/>
      <c r="D396" s="287"/>
      <c r="E396" s="287"/>
      <c r="F396" s="287"/>
      <c r="G396" s="403"/>
      <c r="H396" s="305"/>
      <c r="I396" s="305"/>
      <c r="J396" s="305"/>
      <c r="K396" s="287"/>
    </row>
    <row r="397" spans="1:11" x14ac:dyDescent="0.25">
      <c r="A397" s="287"/>
      <c r="B397" s="287"/>
      <c r="C397" s="287"/>
      <c r="D397" s="287"/>
      <c r="E397" s="287"/>
      <c r="F397" s="287"/>
      <c r="G397" s="403"/>
      <c r="H397" s="305"/>
      <c r="I397" s="305"/>
      <c r="J397" s="305"/>
      <c r="K397" s="287"/>
    </row>
    <row r="398" spans="1:11" x14ac:dyDescent="0.25">
      <c r="A398" s="287"/>
      <c r="B398" s="287"/>
      <c r="C398" s="287"/>
      <c r="D398" s="287"/>
      <c r="E398" s="287"/>
      <c r="F398" s="287"/>
      <c r="G398" s="403"/>
      <c r="H398" s="305"/>
      <c r="I398" s="305"/>
      <c r="J398" s="305"/>
      <c r="K398" s="287"/>
    </row>
    <row r="399" spans="1:11" x14ac:dyDescent="0.25">
      <c r="A399" s="287"/>
      <c r="B399" s="287"/>
      <c r="C399" s="287"/>
      <c r="D399" s="287"/>
      <c r="E399" s="287"/>
      <c r="F399" s="287"/>
      <c r="G399" s="403"/>
      <c r="H399" s="305"/>
      <c r="I399" s="305"/>
      <c r="J399" s="305"/>
      <c r="K399" s="287"/>
    </row>
    <row r="400" spans="1:11" x14ac:dyDescent="0.25">
      <c r="A400" s="287"/>
      <c r="B400" s="287"/>
      <c r="C400" s="287"/>
      <c r="D400" s="287"/>
      <c r="E400" s="287"/>
      <c r="F400" s="287"/>
      <c r="G400" s="403"/>
      <c r="H400" s="305"/>
      <c r="I400" s="305"/>
      <c r="J400" s="305"/>
      <c r="K400" s="287"/>
    </row>
    <row r="401" spans="1:11" x14ac:dyDescent="0.25">
      <c r="A401" s="287"/>
      <c r="B401" s="287"/>
      <c r="C401" s="287"/>
      <c r="D401" s="287"/>
      <c r="E401" s="287"/>
      <c r="F401" s="287"/>
      <c r="G401" s="403"/>
      <c r="H401" s="305"/>
      <c r="I401" s="305"/>
      <c r="J401" s="305"/>
      <c r="K401" s="287"/>
    </row>
    <row r="402" spans="1:11" x14ac:dyDescent="0.25">
      <c r="A402" s="287"/>
      <c r="B402" s="287"/>
      <c r="C402" s="287"/>
      <c r="D402" s="287"/>
      <c r="E402" s="287"/>
      <c r="F402" s="287"/>
      <c r="G402" s="403"/>
      <c r="H402" s="305"/>
      <c r="I402" s="305"/>
      <c r="J402" s="305"/>
      <c r="K402" s="287"/>
    </row>
    <row r="403" spans="1:11" x14ac:dyDescent="0.25">
      <c r="A403" s="287"/>
      <c r="B403" s="287"/>
      <c r="C403" s="287"/>
      <c r="D403" s="287"/>
      <c r="E403" s="287"/>
      <c r="F403" s="287"/>
      <c r="G403" s="403"/>
      <c r="H403" s="305"/>
      <c r="I403" s="305"/>
      <c r="J403" s="305"/>
      <c r="K403" s="287"/>
    </row>
    <row r="404" spans="1:11" x14ac:dyDescent="0.25">
      <c r="A404" s="287"/>
      <c r="B404" s="287"/>
      <c r="C404" s="287"/>
      <c r="D404" s="287"/>
      <c r="E404" s="287"/>
      <c r="F404" s="287"/>
      <c r="G404" s="403"/>
      <c r="H404" s="305"/>
      <c r="I404" s="305"/>
      <c r="J404" s="305"/>
      <c r="K404" s="287"/>
    </row>
    <row r="405" spans="1:11" x14ac:dyDescent="0.25">
      <c r="A405" s="287"/>
      <c r="B405" s="287"/>
      <c r="C405" s="287"/>
      <c r="D405" s="287"/>
      <c r="E405" s="287"/>
      <c r="F405" s="287"/>
      <c r="G405" s="403"/>
      <c r="H405" s="305"/>
      <c r="I405" s="305"/>
      <c r="J405" s="305"/>
      <c r="K405" s="287"/>
    </row>
    <row r="406" spans="1:11" x14ac:dyDescent="0.25">
      <c r="A406" s="287"/>
      <c r="B406" s="287"/>
      <c r="C406" s="287"/>
      <c r="D406" s="287"/>
      <c r="E406" s="287"/>
      <c r="F406" s="287"/>
      <c r="G406" s="403"/>
      <c r="H406" s="305"/>
      <c r="I406" s="305"/>
      <c r="J406" s="305"/>
      <c r="K406" s="287"/>
    </row>
    <row r="407" spans="1:11" x14ac:dyDescent="0.25">
      <c r="A407" s="287"/>
      <c r="B407" s="287"/>
      <c r="C407" s="287"/>
      <c r="D407" s="287"/>
      <c r="E407" s="287"/>
      <c r="F407" s="287"/>
      <c r="G407" s="403"/>
      <c r="H407" s="305"/>
      <c r="I407" s="305"/>
      <c r="J407" s="305"/>
      <c r="K407" s="287"/>
    </row>
    <row r="408" spans="1:11" x14ac:dyDescent="0.25">
      <c r="A408" s="287"/>
      <c r="B408" s="287"/>
      <c r="C408" s="287"/>
      <c r="D408" s="287"/>
      <c r="E408" s="287"/>
      <c r="F408" s="287"/>
      <c r="G408" s="403"/>
      <c r="H408" s="305"/>
      <c r="I408" s="305"/>
      <c r="J408" s="305"/>
      <c r="K408" s="287"/>
    </row>
    <row r="409" spans="1:11" x14ac:dyDescent="0.25">
      <c r="A409" s="287"/>
      <c r="B409" s="287"/>
      <c r="C409" s="287"/>
      <c r="D409" s="287"/>
      <c r="E409" s="287"/>
      <c r="F409" s="287"/>
      <c r="G409" s="403"/>
      <c r="H409" s="305"/>
      <c r="I409" s="305"/>
      <c r="J409" s="305"/>
      <c r="K409" s="287"/>
    </row>
    <row r="410" spans="1:11" x14ac:dyDescent="0.25">
      <c r="A410" s="287"/>
      <c r="B410" s="287"/>
      <c r="C410" s="287"/>
      <c r="D410" s="287"/>
      <c r="E410" s="287"/>
      <c r="F410" s="287"/>
      <c r="G410" s="403"/>
      <c r="H410" s="305"/>
      <c r="I410" s="305"/>
      <c r="J410" s="305"/>
      <c r="K410" s="287"/>
    </row>
    <row r="411" spans="1:11" x14ac:dyDescent="0.25">
      <c r="A411" s="287"/>
      <c r="B411" s="287"/>
      <c r="C411" s="287"/>
      <c r="D411" s="287"/>
      <c r="E411" s="287"/>
      <c r="F411" s="287"/>
      <c r="G411" s="403"/>
      <c r="H411" s="305"/>
      <c r="I411" s="305"/>
      <c r="J411" s="305"/>
      <c r="K411" s="287"/>
    </row>
    <row r="412" spans="1:11" x14ac:dyDescent="0.25">
      <c r="A412" s="287"/>
      <c r="B412" s="287"/>
      <c r="C412" s="287"/>
      <c r="D412" s="287"/>
      <c r="E412" s="287"/>
      <c r="F412" s="287"/>
      <c r="G412" s="403"/>
      <c r="H412" s="305"/>
      <c r="I412" s="305"/>
      <c r="J412" s="305"/>
      <c r="K412" s="287"/>
    </row>
    <row r="413" spans="1:11" x14ac:dyDescent="0.25">
      <c r="A413" s="287"/>
      <c r="B413" s="287"/>
      <c r="C413" s="287"/>
      <c r="D413" s="287"/>
      <c r="E413" s="287"/>
      <c r="F413" s="287"/>
      <c r="G413" s="403"/>
      <c r="H413" s="305"/>
      <c r="I413" s="305"/>
      <c r="J413" s="305"/>
      <c r="K413" s="287"/>
    </row>
    <row r="414" spans="1:11" x14ac:dyDescent="0.25">
      <c r="A414" s="287"/>
      <c r="B414" s="287"/>
      <c r="C414" s="287"/>
      <c r="D414" s="287"/>
      <c r="E414" s="287"/>
      <c r="F414" s="287"/>
      <c r="G414" s="403"/>
      <c r="H414" s="305"/>
      <c r="I414" s="305"/>
      <c r="J414" s="305"/>
      <c r="K414" s="287"/>
    </row>
    <row r="415" spans="1:11" x14ac:dyDescent="0.25">
      <c r="A415" s="287"/>
      <c r="B415" s="287"/>
      <c r="C415" s="287"/>
      <c r="D415" s="287"/>
      <c r="E415" s="287"/>
      <c r="F415" s="287"/>
      <c r="G415" s="403"/>
      <c r="H415" s="305"/>
      <c r="I415" s="305"/>
      <c r="J415" s="305"/>
      <c r="K415" s="287"/>
    </row>
    <row r="416" spans="1:11" x14ac:dyDescent="0.25">
      <c r="A416" s="287"/>
      <c r="B416" s="287"/>
      <c r="C416" s="287"/>
      <c r="D416" s="287"/>
      <c r="E416" s="287"/>
      <c r="F416" s="287"/>
      <c r="G416" s="403"/>
      <c r="H416" s="305"/>
      <c r="I416" s="305"/>
      <c r="J416" s="305"/>
      <c r="K416" s="287"/>
    </row>
    <row r="417" spans="1:11" x14ac:dyDescent="0.25">
      <c r="A417" s="287"/>
      <c r="B417" s="287"/>
      <c r="C417" s="287"/>
      <c r="D417" s="287"/>
      <c r="E417" s="287"/>
      <c r="F417" s="287"/>
      <c r="G417" s="403"/>
      <c r="H417" s="305"/>
      <c r="I417" s="305"/>
      <c r="J417" s="305"/>
      <c r="K417" s="287"/>
    </row>
    <row r="418" spans="1:11" x14ac:dyDescent="0.25">
      <c r="A418" s="287"/>
      <c r="B418" s="287"/>
      <c r="C418" s="287"/>
      <c r="D418" s="287"/>
      <c r="E418" s="287"/>
      <c r="F418" s="287"/>
      <c r="G418" s="403"/>
      <c r="H418" s="305"/>
      <c r="I418" s="305"/>
      <c r="J418" s="305"/>
      <c r="K418" s="287"/>
    </row>
    <row r="419" spans="1:11" x14ac:dyDescent="0.25">
      <c r="A419" s="287"/>
      <c r="B419" s="287"/>
      <c r="C419" s="287"/>
      <c r="D419" s="287"/>
      <c r="E419" s="287"/>
      <c r="F419" s="287"/>
      <c r="G419" s="403"/>
      <c r="H419" s="305"/>
      <c r="I419" s="305"/>
      <c r="J419" s="305"/>
      <c r="K419" s="287"/>
    </row>
    <row r="420" spans="1:11" x14ac:dyDescent="0.25">
      <c r="A420" s="287"/>
      <c r="B420" s="287"/>
      <c r="C420" s="287"/>
      <c r="D420" s="287"/>
      <c r="E420" s="287"/>
      <c r="F420" s="287"/>
      <c r="G420" s="403"/>
      <c r="H420" s="305"/>
      <c r="I420" s="305"/>
      <c r="J420" s="305"/>
      <c r="K420" s="287"/>
    </row>
  </sheetData>
  <customSheetViews>
    <customSheetView guid="{27BAF95E-10B4-4025-9660-F5A8EBC66DC3}" hiddenColumns="1">
      <pageMargins left="0.7" right="0.7" top="0.75" bottom="0.75" header="0.3" footer="0.3"/>
      <pageSetup orientation="portrait" horizontalDpi="1200" verticalDpi="1200" r:id="rId1"/>
    </customSheetView>
    <customSheetView guid="{D0F83CC0-0361-4280-BCA4-9A92C986158B}" hiddenColumns="1">
      <pageMargins left="0.7" right="0.7" top="0.75" bottom="0.75" header="0.3" footer="0.3"/>
      <pageSetup orientation="portrait" horizontalDpi="1200" verticalDpi="1200" r:id="rId2"/>
    </customSheetView>
  </customSheetViews>
  <pageMargins left="0.7" right="0.7" top="0.75" bottom="0.75" header="0.3" footer="0.3"/>
  <pageSetup orientation="portrait"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8971D"/>
  </sheetPr>
  <dimension ref="A1:S104"/>
  <sheetViews>
    <sheetView workbookViewId="0"/>
  </sheetViews>
  <sheetFormatPr defaultColWidth="9.1796875" defaultRowHeight="14.5" x14ac:dyDescent="0.35"/>
  <cols>
    <col min="2" max="2" width="15.81640625" customWidth="1"/>
    <col min="3" max="3" width="43.81640625" customWidth="1"/>
    <col min="4" max="4" width="12.26953125" customWidth="1"/>
    <col min="5" max="10" width="20.26953125" customWidth="1"/>
    <col min="11" max="11" width="3" customWidth="1"/>
    <col min="12" max="12" width="9.1796875" customWidth="1"/>
    <col min="13" max="13" width="33.26953125" style="48" customWidth="1"/>
    <col min="14" max="14" width="30.26953125" customWidth="1"/>
    <col min="15" max="15" width="23.54296875" customWidth="1"/>
  </cols>
  <sheetData>
    <row r="1" spans="1:19" ht="26" x14ac:dyDescent="0.6">
      <c r="A1" s="3" t="s">
        <v>774</v>
      </c>
    </row>
    <row r="2" spans="1:19" ht="21" x14ac:dyDescent="0.5">
      <c r="A2" s="2" t="s">
        <v>772</v>
      </c>
      <c r="N2" s="40"/>
      <c r="O2" s="40"/>
      <c r="P2" s="40"/>
      <c r="Q2" s="40"/>
      <c r="R2" s="40"/>
      <c r="S2" s="40"/>
    </row>
    <row r="3" spans="1:19" ht="25" customHeight="1" x14ac:dyDescent="0.5">
      <c r="A3" s="5" t="s">
        <v>669</v>
      </c>
      <c r="M3" s="130"/>
      <c r="N3" s="130"/>
      <c r="O3" s="130"/>
      <c r="P3" s="40"/>
      <c r="Q3" s="40"/>
      <c r="R3" s="40"/>
      <c r="S3" s="40"/>
    </row>
    <row r="4" spans="1:19" ht="25" customHeight="1" x14ac:dyDescent="0.5">
      <c r="A4" s="243" t="str">
        <f>Results!A4</f>
        <v>Final Adjustments</v>
      </c>
      <c r="M4" s="130"/>
      <c r="N4" s="130"/>
      <c r="O4" s="130"/>
      <c r="P4" s="40"/>
      <c r="Q4" s="40"/>
      <c r="R4" s="40"/>
      <c r="S4" s="40"/>
    </row>
    <row r="5" spans="1:19" x14ac:dyDescent="0.35">
      <c r="F5" s="36"/>
      <c r="M5" s="40"/>
      <c r="N5" s="40"/>
      <c r="O5" s="40"/>
      <c r="P5" s="40"/>
      <c r="Q5" s="40"/>
      <c r="R5" s="40"/>
      <c r="S5" s="40"/>
    </row>
    <row r="6" spans="1:19" x14ac:dyDescent="0.35">
      <c r="A6" s="1" t="s">
        <v>773</v>
      </c>
      <c r="C6" s="421" t="str">
        <f>Results!$C$6</f>
        <v>Health Solutions</v>
      </c>
      <c r="F6" s="48"/>
      <c r="M6" s="40"/>
      <c r="N6" s="40"/>
      <c r="O6" s="40"/>
      <c r="P6" s="40"/>
      <c r="Q6" s="40"/>
      <c r="R6" s="40"/>
      <c r="S6" s="40"/>
    </row>
    <row r="7" spans="1:19" x14ac:dyDescent="0.35">
      <c r="A7" s="1" t="s">
        <v>0</v>
      </c>
      <c r="C7" s="35">
        <f>Results!$C$7</f>
        <v>45473</v>
      </c>
      <c r="F7" s="40"/>
      <c r="M7" s="40"/>
      <c r="N7" s="40"/>
      <c r="O7" s="40"/>
      <c r="P7" s="40"/>
      <c r="Q7" s="40"/>
      <c r="R7" s="40"/>
      <c r="S7" s="40"/>
    </row>
    <row r="8" spans="1:19" s="1" customFormat="1" x14ac:dyDescent="0.35">
      <c r="E8"/>
      <c r="F8"/>
      <c r="G8" s="48"/>
      <c r="H8"/>
      <c r="M8" s="40"/>
      <c r="N8" s="40"/>
      <c r="O8" s="40"/>
      <c r="P8" s="40"/>
      <c r="Q8" s="40"/>
      <c r="R8" s="40"/>
      <c r="S8" s="40"/>
    </row>
    <row r="9" spans="1:19" x14ac:dyDescent="0.35">
      <c r="D9" s="23">
        <v>1</v>
      </c>
      <c r="E9" s="23">
        <v>2</v>
      </c>
      <c r="F9" s="23">
        <v>3</v>
      </c>
      <c r="G9" s="23">
        <v>4</v>
      </c>
      <c r="H9" s="23">
        <v>5</v>
      </c>
      <c r="I9" s="23">
        <v>6</v>
      </c>
      <c r="J9" s="23">
        <v>7</v>
      </c>
      <c r="M9" s="40"/>
      <c r="N9" s="40"/>
      <c r="O9" s="40"/>
      <c r="P9" s="40"/>
      <c r="Q9" s="40"/>
      <c r="R9" s="40"/>
      <c r="S9" s="40"/>
    </row>
    <row r="10" spans="1:19" s="6" customFormat="1" ht="116" x14ac:dyDescent="0.35">
      <c r="A10" s="97"/>
      <c r="B10" s="492" t="s">
        <v>1</v>
      </c>
      <c r="C10" s="492"/>
      <c r="D10" s="151" t="s">
        <v>670</v>
      </c>
      <c r="E10" s="151" t="s">
        <v>671</v>
      </c>
      <c r="F10" s="151" t="s">
        <v>672</v>
      </c>
      <c r="G10" s="151" t="s">
        <v>779</v>
      </c>
      <c r="H10" s="151" t="s">
        <v>673</v>
      </c>
      <c r="I10" s="151" t="s">
        <v>674</v>
      </c>
      <c r="J10" s="151" t="s">
        <v>675</v>
      </c>
      <c r="M10" s="129"/>
      <c r="N10" s="129"/>
      <c r="O10" s="129"/>
      <c r="P10" s="129"/>
      <c r="Q10" s="129"/>
      <c r="R10" s="129"/>
      <c r="S10" s="129"/>
    </row>
    <row r="11" spans="1:19" s="6" customFormat="1" x14ac:dyDescent="0.35">
      <c r="A11" s="97"/>
      <c r="B11" s="152"/>
      <c r="C11" s="153"/>
      <c r="D11" s="154"/>
      <c r="E11" s="154"/>
      <c r="F11" s="154"/>
      <c r="G11" s="154"/>
      <c r="H11" s="154"/>
      <c r="I11" s="154"/>
      <c r="J11" s="154"/>
      <c r="M11" s="129"/>
      <c r="N11" s="129"/>
      <c r="O11" s="129"/>
      <c r="P11" s="129"/>
      <c r="Q11" s="129"/>
      <c r="R11" s="129"/>
      <c r="S11" s="129"/>
    </row>
    <row r="12" spans="1:19" s="22" customFormat="1" x14ac:dyDescent="0.35">
      <c r="A12" s="488" t="s">
        <v>280</v>
      </c>
      <c r="B12" s="489"/>
      <c r="C12" s="489"/>
      <c r="D12" s="489"/>
      <c r="E12" s="489"/>
      <c r="F12" s="489"/>
      <c r="G12" s="489"/>
      <c r="H12" s="489"/>
      <c r="I12" s="489"/>
      <c r="J12" s="490"/>
      <c r="M12" s="128"/>
      <c r="N12" s="128"/>
      <c r="O12" s="128"/>
      <c r="P12" s="128"/>
      <c r="Q12" s="128"/>
      <c r="R12" s="128"/>
      <c r="S12" s="128"/>
    </row>
    <row r="13" spans="1:19" s="22" customFormat="1" x14ac:dyDescent="0.35">
      <c r="A13" s="155">
        <v>1</v>
      </c>
      <c r="B13" s="479" t="s">
        <v>458</v>
      </c>
      <c r="C13" s="481"/>
      <c r="D13" s="156">
        <f>'Schedule 1 Adjustments'!F13</f>
        <v>4</v>
      </c>
      <c r="E13" s="157">
        <f>'Schedule 1 Adjustments'!I13</f>
        <v>0</v>
      </c>
      <c r="F13" s="157">
        <f>'Schedule 1 Adjustments'!L13</f>
        <v>1252517.6711216203</v>
      </c>
      <c r="G13" s="157">
        <f>'Schedule 1 Adjustments'!O13</f>
        <v>0</v>
      </c>
      <c r="H13" s="157">
        <f>'Schedule 1 Adjustments'!R13</f>
        <v>0</v>
      </c>
      <c r="I13" s="157">
        <f>'Schedule 1 Adjustments'!U13</f>
        <v>0</v>
      </c>
      <c r="J13" s="158">
        <f t="shared" ref="J13:J16" si="0">SUM(E13:I13)</f>
        <v>1252517.6711216203</v>
      </c>
      <c r="M13" s="140"/>
    </row>
    <row r="14" spans="1:19" s="22" customFormat="1" x14ac:dyDescent="0.35">
      <c r="A14" s="155">
        <v>2</v>
      </c>
      <c r="B14" s="479" t="s">
        <v>291</v>
      </c>
      <c r="C14" s="481"/>
      <c r="D14" s="156">
        <f>'Schedule 1 Adjustments'!F14</f>
        <v>129</v>
      </c>
      <c r="E14" s="157">
        <f>'Schedule 1 Adjustments'!I14</f>
        <v>142862.00714314927</v>
      </c>
      <c r="F14" s="157">
        <f>'Schedule 1 Adjustments'!L14</f>
        <v>10372518.064588582</v>
      </c>
      <c r="G14" s="157">
        <f>'Schedule 1 Adjustments'!O14</f>
        <v>940574.00711593369</v>
      </c>
      <c r="H14" s="157">
        <f>'Schedule 1 Adjustments'!R14</f>
        <v>25800.351698746534</v>
      </c>
      <c r="I14" s="157">
        <f>'Schedule 1 Adjustments'!U14</f>
        <v>0</v>
      </c>
      <c r="J14" s="158">
        <f t="shared" si="0"/>
        <v>11481754.430546412</v>
      </c>
      <c r="M14" s="140"/>
    </row>
    <row r="15" spans="1:19" s="22" customFormat="1" x14ac:dyDescent="0.35">
      <c r="A15" s="155">
        <v>3</v>
      </c>
      <c r="B15" s="479" t="s">
        <v>301</v>
      </c>
      <c r="C15" s="481"/>
      <c r="D15" s="156">
        <f>'Schedule 1 Adjustments'!F15</f>
        <v>207.62416666666661</v>
      </c>
      <c r="E15" s="157">
        <f>'Schedule 1 Adjustments'!I15</f>
        <v>0</v>
      </c>
      <c r="F15" s="157">
        <f>'Schedule 1 Adjustments'!L15</f>
        <v>7568591.0528414752</v>
      </c>
      <c r="G15" s="157">
        <f>'Schedule 1 Adjustments'!O15</f>
        <v>971995.66099046753</v>
      </c>
      <c r="H15" s="157">
        <f>'Schedule 1 Adjustments'!R15</f>
        <v>102845.8952354432</v>
      </c>
      <c r="I15" s="157">
        <f>'Schedule 1 Adjustments'!U15</f>
        <v>0</v>
      </c>
      <c r="J15" s="158">
        <f t="shared" si="0"/>
        <v>8643432.609067386</v>
      </c>
      <c r="M15" s="140"/>
    </row>
    <row r="16" spans="1:19" s="22" customFormat="1" x14ac:dyDescent="0.35">
      <c r="A16" s="155">
        <v>4</v>
      </c>
      <c r="B16" s="485" t="s">
        <v>290</v>
      </c>
      <c r="C16" s="487"/>
      <c r="D16" s="159">
        <f t="shared" ref="D16:I16" si="1">SUM(D13:D15)</f>
        <v>340.62416666666661</v>
      </c>
      <c r="E16" s="160">
        <f t="shared" si="1"/>
        <v>142862.00714314927</v>
      </c>
      <c r="F16" s="160">
        <f t="shared" si="1"/>
        <v>19193626.788551677</v>
      </c>
      <c r="G16" s="160">
        <f t="shared" si="1"/>
        <v>1912569.6681064013</v>
      </c>
      <c r="H16" s="160">
        <f t="shared" si="1"/>
        <v>128646.24693418972</v>
      </c>
      <c r="I16" s="160">
        <f t="shared" si="1"/>
        <v>0</v>
      </c>
      <c r="J16" s="160">
        <f t="shared" si="0"/>
        <v>21377704.710735418</v>
      </c>
      <c r="M16" s="140"/>
    </row>
    <row r="17" spans="1:13" s="22" customFormat="1" x14ac:dyDescent="0.35">
      <c r="A17" s="161"/>
      <c r="B17" s="162"/>
      <c r="C17" s="162"/>
      <c r="D17" s="163"/>
      <c r="E17" s="164"/>
      <c r="F17" s="164"/>
      <c r="G17" s="164"/>
      <c r="H17" s="164"/>
      <c r="I17" s="164"/>
      <c r="J17" s="164"/>
      <c r="M17" s="140"/>
    </row>
    <row r="18" spans="1:13" s="22" customFormat="1" x14ac:dyDescent="0.35">
      <c r="A18" s="488" t="s">
        <v>281</v>
      </c>
      <c r="B18" s="489"/>
      <c r="C18" s="489"/>
      <c r="D18" s="489"/>
      <c r="E18" s="489"/>
      <c r="F18" s="489"/>
      <c r="G18" s="489"/>
      <c r="H18" s="489"/>
      <c r="I18" s="489"/>
      <c r="J18" s="490"/>
      <c r="M18" s="140"/>
    </row>
    <row r="19" spans="1:13" s="22" customFormat="1" x14ac:dyDescent="0.35">
      <c r="A19" s="155">
        <v>5</v>
      </c>
      <c r="B19" s="479" t="s">
        <v>221</v>
      </c>
      <c r="C19" s="481"/>
      <c r="D19" s="156">
        <f>'Schedule 1 Adjustments'!F19</f>
        <v>6</v>
      </c>
      <c r="E19" s="157">
        <f>'Schedule 1 Adjustments'!I19</f>
        <v>1379125.538542239</v>
      </c>
      <c r="F19" s="157">
        <f>'Schedule 1 Adjustments'!L19</f>
        <v>254065.66526232229</v>
      </c>
      <c r="G19" s="157">
        <f>'Schedule 1 Adjustments'!O19</f>
        <v>0</v>
      </c>
      <c r="H19" s="157">
        <f>'Schedule 1 Adjustments'!R19</f>
        <v>0</v>
      </c>
      <c r="I19" s="157">
        <f>'Schedule 1 Adjustments'!U19</f>
        <v>0</v>
      </c>
      <c r="J19" s="158">
        <f>SUM(E19:I19)</f>
        <v>1633191.2038045614</v>
      </c>
      <c r="M19" s="140"/>
    </row>
    <row r="20" spans="1:13" s="22" customFormat="1" x14ac:dyDescent="0.35">
      <c r="A20" s="155">
        <v>6</v>
      </c>
      <c r="B20" s="479" t="s">
        <v>293</v>
      </c>
      <c r="C20" s="481"/>
      <c r="D20" s="156">
        <f>'Schedule 1 Adjustments'!F20</f>
        <v>65.322499999999991</v>
      </c>
      <c r="E20" s="157">
        <f>'Schedule 1 Adjustments'!I20</f>
        <v>3984691.4543146109</v>
      </c>
      <c r="F20" s="157">
        <f>'Schedule 1 Adjustments'!L20</f>
        <v>3673179.5461859996</v>
      </c>
      <c r="G20" s="157">
        <f>'Schedule 1 Adjustments'!O20</f>
        <v>37087.331893598843</v>
      </c>
      <c r="H20" s="157">
        <f>'Schedule 1 Adjustments'!R20</f>
        <v>12280.753065810261</v>
      </c>
      <c r="I20" s="157">
        <f>'Schedule 1 Adjustments'!U20</f>
        <v>0</v>
      </c>
      <c r="J20" s="158">
        <f>SUM(E20:I20)</f>
        <v>7707239.0854600193</v>
      </c>
      <c r="M20" s="140"/>
    </row>
    <row r="21" spans="1:13" s="22" customFormat="1" x14ac:dyDescent="0.35">
      <c r="A21" s="155">
        <v>7</v>
      </c>
      <c r="B21" s="485" t="s">
        <v>220</v>
      </c>
      <c r="C21" s="487"/>
      <c r="D21" s="159">
        <f t="shared" ref="D21:I21" si="2">SUM(D19:D20)</f>
        <v>71.322499999999991</v>
      </c>
      <c r="E21" s="160">
        <f t="shared" si="2"/>
        <v>5363816.9928568499</v>
      </c>
      <c r="F21" s="160">
        <f t="shared" si="2"/>
        <v>3927245.2114483221</v>
      </c>
      <c r="G21" s="160">
        <f t="shared" si="2"/>
        <v>37087.331893598843</v>
      </c>
      <c r="H21" s="160">
        <f t="shared" si="2"/>
        <v>12280.753065810261</v>
      </c>
      <c r="I21" s="160">
        <f t="shared" si="2"/>
        <v>0</v>
      </c>
      <c r="J21" s="160">
        <f>SUM(E21:I21)</f>
        <v>9340430.2892645802</v>
      </c>
      <c r="M21" s="140"/>
    </row>
    <row r="22" spans="1:13" s="22" customFormat="1" x14ac:dyDescent="0.35">
      <c r="A22" s="161"/>
      <c r="B22" s="162"/>
      <c r="C22" s="162"/>
      <c r="D22" s="163"/>
      <c r="E22" s="164"/>
      <c r="F22" s="164"/>
      <c r="G22" s="164"/>
      <c r="H22" s="164"/>
      <c r="I22" s="164"/>
      <c r="J22" s="164"/>
      <c r="M22" s="140"/>
    </row>
    <row r="23" spans="1:13" s="22" customFormat="1" x14ac:dyDescent="0.35">
      <c r="A23" s="488" t="s">
        <v>275</v>
      </c>
      <c r="B23" s="489"/>
      <c r="C23" s="489"/>
      <c r="D23" s="489"/>
      <c r="E23" s="489"/>
      <c r="F23" s="489"/>
      <c r="G23" s="489"/>
      <c r="H23" s="489"/>
      <c r="I23" s="489"/>
      <c r="J23" s="490"/>
      <c r="M23" s="140"/>
    </row>
    <row r="24" spans="1:13" s="22" customFormat="1" x14ac:dyDescent="0.35">
      <c r="A24" s="155">
        <v>8</v>
      </c>
      <c r="B24" s="479" t="s">
        <v>276</v>
      </c>
      <c r="C24" s="480"/>
      <c r="D24" s="481"/>
      <c r="E24" s="165">
        <f>'Schedule 1 Adjustments'!I24</f>
        <v>0</v>
      </c>
      <c r="F24" s="165">
        <f>'Schedule 1 Adjustments'!L24</f>
        <v>0</v>
      </c>
      <c r="G24" s="165">
        <f>'Schedule 1 Adjustments'!O24</f>
        <v>0</v>
      </c>
      <c r="H24" s="165">
        <f>'Schedule 1 Adjustments'!R24</f>
        <v>0</v>
      </c>
      <c r="I24" s="165">
        <f>-SUM(E24:H24)</f>
        <v>0</v>
      </c>
      <c r="J24" s="158">
        <f>SUM(E24:I24)</f>
        <v>0</v>
      </c>
      <c r="M24" s="140"/>
    </row>
    <row r="25" spans="1:13" s="22" customFormat="1" x14ac:dyDescent="0.35">
      <c r="A25" s="155">
        <v>9</v>
      </c>
      <c r="B25" s="485" t="s">
        <v>222</v>
      </c>
      <c r="C25" s="486"/>
      <c r="D25" s="487"/>
      <c r="E25" s="160">
        <f>SUM(E24:E24)</f>
        <v>0</v>
      </c>
      <c r="F25" s="160">
        <f>SUM(F24:F24)</f>
        <v>0</v>
      </c>
      <c r="G25" s="160">
        <f>SUM(G24:G24)</f>
        <v>0</v>
      </c>
      <c r="H25" s="160">
        <f>SUM(H24:H24)</f>
        <v>0</v>
      </c>
      <c r="I25" s="160">
        <f>SUM(I24:I24)</f>
        <v>0</v>
      </c>
      <c r="J25" s="160">
        <f>SUM(E25:I25)</f>
        <v>0</v>
      </c>
      <c r="M25" s="140"/>
    </row>
    <row r="26" spans="1:13" s="22" customFormat="1" x14ac:dyDescent="0.35">
      <c r="A26" s="161"/>
      <c r="B26" s="162"/>
      <c r="C26" s="162"/>
      <c r="D26" s="163"/>
      <c r="E26" s="164"/>
      <c r="F26" s="164"/>
      <c r="G26" s="164"/>
      <c r="H26" s="164"/>
      <c r="I26" s="164"/>
      <c r="J26" s="164"/>
      <c r="M26" s="140"/>
    </row>
    <row r="27" spans="1:13" s="22" customFormat="1" x14ac:dyDescent="0.35">
      <c r="A27" s="488" t="s">
        <v>235</v>
      </c>
      <c r="B27" s="489"/>
      <c r="C27" s="489"/>
      <c r="D27" s="489"/>
      <c r="E27" s="489"/>
      <c r="F27" s="489"/>
      <c r="G27" s="489"/>
      <c r="H27" s="489"/>
      <c r="I27" s="489"/>
      <c r="J27" s="490"/>
      <c r="M27" s="140"/>
    </row>
    <row r="28" spans="1:13" s="22" customFormat="1" x14ac:dyDescent="0.35">
      <c r="A28" s="155">
        <v>10</v>
      </c>
      <c r="B28" s="479" t="s">
        <v>224</v>
      </c>
      <c r="C28" s="480"/>
      <c r="D28" s="481"/>
      <c r="E28" s="157">
        <f>'Schedule 1 Adjustments'!I28</f>
        <v>108369</v>
      </c>
      <c r="F28" s="157">
        <f>'Schedule 1 Adjustments'!L28</f>
        <v>29467</v>
      </c>
      <c r="G28" s="157">
        <f>'Schedule 1 Adjustments'!O28</f>
        <v>315</v>
      </c>
      <c r="H28" s="157">
        <f>'Schedule 1 Adjustments'!R28</f>
        <v>0</v>
      </c>
      <c r="I28" s="157">
        <f>'Schedule 1 Adjustments'!U28</f>
        <v>0</v>
      </c>
      <c r="J28" s="158">
        <f>SUM(E28:I28)</f>
        <v>138151</v>
      </c>
      <c r="M28" s="140"/>
    </row>
    <row r="29" spans="1:13" s="22" customFormat="1" x14ac:dyDescent="0.35">
      <c r="A29" s="155">
        <v>11</v>
      </c>
      <c r="B29" s="173" t="s">
        <v>223</v>
      </c>
      <c r="C29" s="167"/>
      <c r="D29" s="168"/>
      <c r="E29" s="157">
        <f>'Schedule 1 Adjustments'!I29</f>
        <v>1584874</v>
      </c>
      <c r="F29" s="157">
        <f>'Schedule 1 Adjustments'!L29</f>
        <v>6006423</v>
      </c>
      <c r="G29" s="157">
        <f>'Schedule 1 Adjustments'!O29</f>
        <v>467047</v>
      </c>
      <c r="H29" s="157">
        <f>'Schedule 1 Adjustments'!R29</f>
        <v>30917</v>
      </c>
      <c r="I29" s="157">
        <f>'Schedule 1 Adjustments'!U29</f>
        <v>0</v>
      </c>
      <c r="J29" s="158">
        <f>SUM(E29:I29)</f>
        <v>8089261</v>
      </c>
      <c r="K29" s="128"/>
      <c r="M29" s="140"/>
    </row>
    <row r="30" spans="1:13" s="22" customFormat="1" x14ac:dyDescent="0.35">
      <c r="A30" s="155">
        <v>12</v>
      </c>
      <c r="B30" s="479" t="s">
        <v>300</v>
      </c>
      <c r="C30" s="480"/>
      <c r="D30" s="481"/>
      <c r="E30" s="157">
        <f>'Schedule 1 Adjustments'!I30</f>
        <v>206198</v>
      </c>
      <c r="F30" s="157">
        <f>'Schedule 1 Adjustments'!L30</f>
        <v>114168</v>
      </c>
      <c r="G30" s="157">
        <f>'Schedule 1 Adjustments'!O30</f>
        <v>4582</v>
      </c>
      <c r="H30" s="157">
        <f>'Schedule 1 Adjustments'!R30</f>
        <v>0</v>
      </c>
      <c r="I30" s="157">
        <f>'Schedule 1 Adjustments'!U30</f>
        <v>0</v>
      </c>
      <c r="J30" s="158">
        <f t="shared" ref="J30" si="3">SUM(E30:I30)</f>
        <v>324948</v>
      </c>
      <c r="M30" s="140"/>
    </row>
    <row r="31" spans="1:13" s="22" customFormat="1" x14ac:dyDescent="0.35">
      <c r="A31" s="155">
        <v>13</v>
      </c>
      <c r="B31" s="485" t="s">
        <v>225</v>
      </c>
      <c r="C31" s="486"/>
      <c r="D31" s="487"/>
      <c r="E31" s="160">
        <f>SUM(E28:E30)</f>
        <v>1899441</v>
      </c>
      <c r="F31" s="160">
        <f>SUM(F28:F30)</f>
        <v>6150058</v>
      </c>
      <c r="G31" s="160">
        <f>SUM(G28:G30)</f>
        <v>471944</v>
      </c>
      <c r="H31" s="160">
        <f>SUM(H28:H30)</f>
        <v>30917</v>
      </c>
      <c r="I31" s="160">
        <f>SUM(I28:I30)</f>
        <v>0</v>
      </c>
      <c r="J31" s="160">
        <f>SUM(E31:I31)</f>
        <v>8552360</v>
      </c>
      <c r="M31" s="140"/>
    </row>
    <row r="32" spans="1:13" s="22" customFormat="1" x14ac:dyDescent="0.35">
      <c r="A32" s="161"/>
      <c r="B32" s="162"/>
      <c r="C32" s="162"/>
      <c r="D32" s="163"/>
      <c r="E32" s="164"/>
      <c r="F32" s="164"/>
      <c r="G32" s="164"/>
      <c r="H32" s="164"/>
      <c r="I32" s="164"/>
      <c r="J32" s="164"/>
      <c r="M32" s="140"/>
    </row>
    <row r="33" spans="1:13" s="22" customFormat="1" x14ac:dyDescent="0.35">
      <c r="A33" s="155">
        <v>14</v>
      </c>
      <c r="B33" s="485" t="s">
        <v>228</v>
      </c>
      <c r="C33" s="486"/>
      <c r="D33" s="487"/>
      <c r="E33" s="160">
        <f>E31+E25+E21+E16</f>
        <v>7406119.9999999991</v>
      </c>
      <c r="F33" s="160">
        <f>F31+F25+F21+F16</f>
        <v>29270930</v>
      </c>
      <c r="G33" s="160">
        <f>G31+G25+G21+G16</f>
        <v>2421601</v>
      </c>
      <c r="H33" s="160">
        <f>H31+H25+H21+H16</f>
        <v>171844</v>
      </c>
      <c r="I33" s="160">
        <f>I31+I25+I21+I16</f>
        <v>0</v>
      </c>
      <c r="J33" s="160">
        <f t="shared" ref="J33" si="4">SUM(E33:I33)</f>
        <v>39270495</v>
      </c>
      <c r="M33" s="140"/>
    </row>
    <row r="34" spans="1:13" s="22" customFormat="1" x14ac:dyDescent="0.35">
      <c r="A34" s="161"/>
      <c r="B34" s="162"/>
      <c r="C34" s="162"/>
      <c r="D34" s="163"/>
      <c r="E34" s="164"/>
      <c r="F34" s="164"/>
      <c r="G34" s="164"/>
      <c r="H34" s="164"/>
      <c r="I34" s="164"/>
      <c r="J34" s="164"/>
      <c r="M34" s="140"/>
    </row>
    <row r="35" spans="1:13" s="22" customFormat="1" x14ac:dyDescent="0.35">
      <c r="A35" s="488" t="s">
        <v>234</v>
      </c>
      <c r="B35" s="489"/>
      <c r="C35" s="489"/>
      <c r="D35" s="489"/>
      <c r="E35" s="489"/>
      <c r="F35" s="489"/>
      <c r="G35" s="489"/>
      <c r="H35" s="489"/>
      <c r="I35" s="489"/>
      <c r="J35" s="490"/>
      <c r="M35" s="140"/>
    </row>
    <row r="36" spans="1:13" s="22" customFormat="1" x14ac:dyDescent="0.35">
      <c r="A36" s="155">
        <v>15</v>
      </c>
      <c r="B36" s="479" t="s">
        <v>292</v>
      </c>
      <c r="C36" s="480"/>
      <c r="D36" s="481"/>
      <c r="E36" s="157">
        <f>'Schedule 1 Adjustments'!I36</f>
        <v>0</v>
      </c>
      <c r="F36" s="157">
        <f>'Schedule 1 Adjustments'!L36</f>
        <v>83095</v>
      </c>
      <c r="G36" s="157">
        <f>'Schedule 1 Adjustments'!O36</f>
        <v>5941</v>
      </c>
      <c r="H36" s="157">
        <f>'Schedule 1 Adjustments'!R36</f>
        <v>0</v>
      </c>
      <c r="I36" s="157">
        <f>'Schedule 1 Adjustments'!U36</f>
        <v>0</v>
      </c>
      <c r="J36" s="158">
        <f>SUM(E36:I36)</f>
        <v>89036</v>
      </c>
      <c r="M36" s="140"/>
    </row>
    <row r="37" spans="1:13" s="22" customFormat="1" x14ac:dyDescent="0.35">
      <c r="A37" s="155">
        <v>16</v>
      </c>
      <c r="B37" s="479" t="s">
        <v>227</v>
      </c>
      <c r="C37" s="480"/>
      <c r="D37" s="481"/>
      <c r="E37" s="157">
        <f>'Schedule 1 Adjustments'!I37</f>
        <v>182899</v>
      </c>
      <c r="F37" s="157">
        <f>'Schedule 1 Adjustments'!L37</f>
        <v>30197</v>
      </c>
      <c r="G37" s="157">
        <f>'Schedule 1 Adjustments'!O37</f>
        <v>11215</v>
      </c>
      <c r="H37" s="157">
        <f>'Schedule 1 Adjustments'!R37</f>
        <v>0</v>
      </c>
      <c r="I37" s="157">
        <f>'Schedule 1 Adjustments'!U37</f>
        <v>0</v>
      </c>
      <c r="J37" s="158">
        <f>SUM(E37:I37)</f>
        <v>224311</v>
      </c>
    </row>
    <row r="38" spans="1:13" s="22" customFormat="1" x14ac:dyDescent="0.35">
      <c r="A38" s="155">
        <v>17</v>
      </c>
      <c r="B38" s="173" t="s">
        <v>459</v>
      </c>
      <c r="C38" s="167"/>
      <c r="D38" s="168"/>
      <c r="E38" s="157">
        <f>'Schedule 1 Adjustments'!I38</f>
        <v>0</v>
      </c>
      <c r="F38" s="157">
        <f>'Schedule 1 Adjustments'!L38</f>
        <v>0</v>
      </c>
      <c r="G38" s="157">
        <f>'Schedule 1 Adjustments'!O38</f>
        <v>0</v>
      </c>
      <c r="H38" s="157">
        <f>'Schedule 1 Adjustments'!R38</f>
        <v>0</v>
      </c>
      <c r="I38" s="157">
        <f>'Schedule 1 Adjustments'!U38</f>
        <v>0</v>
      </c>
      <c r="J38" s="158">
        <f>SUM(E38:I38)</f>
        <v>0</v>
      </c>
      <c r="K38" s="128"/>
    </row>
    <row r="39" spans="1:13" s="22" customFormat="1" x14ac:dyDescent="0.35">
      <c r="A39" s="155">
        <v>18</v>
      </c>
      <c r="B39" s="485" t="s">
        <v>226</v>
      </c>
      <c r="C39" s="486"/>
      <c r="D39" s="487"/>
      <c r="E39" s="160">
        <f>SUM(E36:E38)</f>
        <v>182899</v>
      </c>
      <c r="F39" s="160">
        <f t="shared" ref="F39:I39" si="5">SUM(F36:F38)</f>
        <v>113292</v>
      </c>
      <c r="G39" s="160">
        <f t="shared" si="5"/>
        <v>17156</v>
      </c>
      <c r="H39" s="160">
        <f t="shared" si="5"/>
        <v>0</v>
      </c>
      <c r="I39" s="160">
        <f t="shared" si="5"/>
        <v>0</v>
      </c>
      <c r="J39" s="160">
        <f>SUM(E39:I39)</f>
        <v>313347</v>
      </c>
      <c r="M39" s="140"/>
    </row>
    <row r="40" spans="1:13" s="22" customFormat="1" x14ac:dyDescent="0.35">
      <c r="A40" s="161"/>
      <c r="B40" s="162"/>
      <c r="C40" s="162"/>
      <c r="D40" s="163"/>
      <c r="E40" s="164"/>
      <c r="F40" s="164"/>
      <c r="G40" s="164"/>
      <c r="H40" s="164"/>
      <c r="I40" s="164"/>
      <c r="J40" s="164"/>
      <c r="M40" s="140"/>
    </row>
    <row r="41" spans="1:13" s="22" customFormat="1" x14ac:dyDescent="0.35">
      <c r="A41" s="155">
        <v>19</v>
      </c>
      <c r="B41" s="485" t="s">
        <v>229</v>
      </c>
      <c r="C41" s="486"/>
      <c r="D41" s="487"/>
      <c r="E41" s="160">
        <f>E39+E33</f>
        <v>7589018.9999999991</v>
      </c>
      <c r="F41" s="160">
        <f>F39+F33</f>
        <v>29384222</v>
      </c>
      <c r="G41" s="160">
        <f>G39+G33</f>
        <v>2438757</v>
      </c>
      <c r="H41" s="160">
        <f>H39+H33</f>
        <v>171844</v>
      </c>
      <c r="I41" s="160">
        <f>I39+I33</f>
        <v>0</v>
      </c>
      <c r="J41" s="160">
        <f>SUM(E41:I41)</f>
        <v>39583842</v>
      </c>
      <c r="M41" s="140"/>
    </row>
    <row r="42" spans="1:13" s="22" customFormat="1" x14ac:dyDescent="0.35">
      <c r="A42" s="161"/>
      <c r="B42" s="162"/>
      <c r="C42" s="162"/>
      <c r="D42" s="163"/>
      <c r="E42" s="164"/>
      <c r="F42" s="164"/>
      <c r="G42" s="164"/>
      <c r="H42" s="164"/>
      <c r="I42" s="164"/>
      <c r="J42" s="164"/>
      <c r="M42" s="140"/>
    </row>
    <row r="43" spans="1:13" s="22" customFormat="1" x14ac:dyDescent="0.35">
      <c r="A43" s="488" t="s">
        <v>487</v>
      </c>
      <c r="B43" s="489"/>
      <c r="C43" s="489"/>
      <c r="D43" s="489"/>
      <c r="E43" s="489"/>
      <c r="F43" s="489"/>
      <c r="G43" s="489"/>
      <c r="H43" s="489"/>
      <c r="I43" s="489"/>
      <c r="J43" s="490"/>
      <c r="M43" s="140"/>
    </row>
    <row r="44" spans="1:13" s="22" customFormat="1" x14ac:dyDescent="0.35">
      <c r="A44" s="155">
        <v>20</v>
      </c>
      <c r="B44" s="479" t="s">
        <v>283</v>
      </c>
      <c r="C44" s="480"/>
      <c r="D44" s="481"/>
      <c r="E44" s="157">
        <f>'Schedule 1 Adjustments'!I44</f>
        <v>0</v>
      </c>
      <c r="F44" s="157">
        <f>'Schedule 1 Adjustments'!L44</f>
        <v>29787</v>
      </c>
      <c r="G44" s="157">
        <f>'Schedule 1 Adjustments'!O44</f>
        <v>515</v>
      </c>
      <c r="H44" s="157">
        <f>'Schedule 1 Adjustments'!R44</f>
        <v>0</v>
      </c>
      <c r="I44" s="157">
        <f>'Schedule 1 Adjustments'!U44</f>
        <v>0</v>
      </c>
      <c r="J44" s="158">
        <f>SUM(E44:I44)</f>
        <v>30302</v>
      </c>
      <c r="M44" s="140"/>
    </row>
    <row r="45" spans="1:13" s="22" customFormat="1" x14ac:dyDescent="0.35">
      <c r="A45" s="155">
        <v>21</v>
      </c>
      <c r="B45" s="479" t="s">
        <v>230</v>
      </c>
      <c r="C45" s="480"/>
      <c r="D45" s="481"/>
      <c r="E45" s="157">
        <f>'Schedule 1 Adjustments'!I45</f>
        <v>0</v>
      </c>
      <c r="F45" s="157">
        <f>'Schedule 1 Adjustments'!L45</f>
        <v>120043</v>
      </c>
      <c r="G45" s="157">
        <f>'Schedule 1 Adjustments'!O45</f>
        <v>15</v>
      </c>
      <c r="H45" s="157">
        <f>'Schedule 1 Adjustments'!R45</f>
        <v>0</v>
      </c>
      <c r="I45" s="157">
        <f>'Schedule 1 Adjustments'!U45</f>
        <v>0</v>
      </c>
      <c r="J45" s="158">
        <f t="shared" ref="J45:J50" si="6">SUM(E45:I45)</f>
        <v>120058</v>
      </c>
      <c r="M45" s="140"/>
    </row>
    <row r="46" spans="1:13" s="22" customFormat="1" x14ac:dyDescent="0.35">
      <c r="A46" s="155">
        <v>22</v>
      </c>
      <c r="B46" s="479" t="s">
        <v>288</v>
      </c>
      <c r="C46" s="480"/>
      <c r="D46" s="481"/>
      <c r="E46" s="157">
        <f>'Schedule 1 Adjustments'!I46</f>
        <v>0</v>
      </c>
      <c r="F46" s="157">
        <f>'Schedule 1 Adjustments'!L46</f>
        <v>157927.82</v>
      </c>
      <c r="G46" s="157">
        <f>'Schedule 1 Adjustments'!O46</f>
        <v>53797</v>
      </c>
      <c r="H46" s="157">
        <f>'Schedule 1 Adjustments'!R46</f>
        <v>0</v>
      </c>
      <c r="I46" s="157">
        <f>'Schedule 1 Adjustments'!U46</f>
        <v>0</v>
      </c>
      <c r="J46" s="158">
        <f t="shared" si="6"/>
        <v>211724.82</v>
      </c>
      <c r="M46" s="140"/>
    </row>
    <row r="47" spans="1:13" s="22" customFormat="1" x14ac:dyDescent="0.35">
      <c r="A47" s="155">
        <v>23</v>
      </c>
      <c r="B47" s="479" t="s">
        <v>284</v>
      </c>
      <c r="C47" s="480"/>
      <c r="D47" s="481"/>
      <c r="E47" s="157">
        <f>'Schedule 1 Adjustments'!I47</f>
        <v>0</v>
      </c>
      <c r="F47" s="157">
        <f>'Schedule 1 Adjustments'!L47</f>
        <v>34060</v>
      </c>
      <c r="G47" s="157">
        <f>'Schedule 1 Adjustments'!O47</f>
        <v>4277</v>
      </c>
      <c r="H47" s="157">
        <f>'Schedule 1 Adjustments'!R47</f>
        <v>17</v>
      </c>
      <c r="I47" s="157">
        <f>'Schedule 1 Adjustments'!U47</f>
        <v>0</v>
      </c>
      <c r="J47" s="158">
        <f t="shared" si="6"/>
        <v>38354</v>
      </c>
      <c r="M47" s="140"/>
    </row>
    <row r="48" spans="1:13" s="22" customFormat="1" x14ac:dyDescent="0.35">
      <c r="A48" s="155">
        <v>24</v>
      </c>
      <c r="B48" s="479" t="s">
        <v>314</v>
      </c>
      <c r="C48" s="480"/>
      <c r="D48" s="481"/>
      <c r="E48" s="157">
        <f>'Schedule 1 Adjustments'!I48</f>
        <v>0</v>
      </c>
      <c r="F48" s="157">
        <f>'Schedule 1 Adjustments'!L48</f>
        <v>0</v>
      </c>
      <c r="G48" s="157">
        <f>'Schedule 1 Adjustments'!O48</f>
        <v>0</v>
      </c>
      <c r="H48" s="157">
        <f>'Schedule 1 Adjustments'!R48</f>
        <v>139574</v>
      </c>
      <c r="I48" s="157">
        <f>'Schedule 1 Adjustments'!U48</f>
        <v>0</v>
      </c>
      <c r="J48" s="158">
        <f t="shared" si="6"/>
        <v>139574</v>
      </c>
      <c r="M48" s="140"/>
    </row>
    <row r="49" spans="1:13" s="22" customFormat="1" x14ac:dyDescent="0.35">
      <c r="A49" s="155">
        <v>25</v>
      </c>
      <c r="B49" s="479" t="s">
        <v>775</v>
      </c>
      <c r="C49" s="480"/>
      <c r="D49" s="481"/>
      <c r="E49" s="157">
        <f>'Schedule 1 Adjustments'!I49</f>
        <v>0</v>
      </c>
      <c r="F49" s="157">
        <f>'Schedule 1 Adjustments'!L49</f>
        <v>0</v>
      </c>
      <c r="G49" s="157">
        <f>'Schedule 1 Adjustments'!O49</f>
        <v>0</v>
      </c>
      <c r="H49" s="157">
        <f>'Schedule 1 Adjustments'!R49</f>
        <v>0</v>
      </c>
      <c r="I49" s="157">
        <f>'Schedule 1 Adjustments'!U49</f>
        <v>0</v>
      </c>
      <c r="J49" s="158">
        <f t="shared" ref="J49" si="7">SUM(E49:I49)</f>
        <v>0</v>
      </c>
      <c r="M49" s="140"/>
    </row>
    <row r="50" spans="1:13" s="22" customFormat="1" x14ac:dyDescent="0.35">
      <c r="A50" s="155">
        <v>26</v>
      </c>
      <c r="B50" s="479" t="s">
        <v>452</v>
      </c>
      <c r="C50" s="480"/>
      <c r="D50" s="481"/>
      <c r="E50" s="157">
        <f>'Schedule 1 Adjustments'!I50</f>
        <v>0</v>
      </c>
      <c r="F50" s="157">
        <f>'Schedule 1 Adjustments'!L50</f>
        <v>154334</v>
      </c>
      <c r="G50" s="157">
        <f>'Schedule 1 Adjustments'!O50</f>
        <v>48361</v>
      </c>
      <c r="H50" s="157">
        <f>'Schedule 1 Adjustments'!R50</f>
        <v>37296</v>
      </c>
      <c r="I50" s="157">
        <f>'Schedule 1 Adjustments'!U50</f>
        <v>0</v>
      </c>
      <c r="J50" s="158">
        <f t="shared" si="6"/>
        <v>239991</v>
      </c>
      <c r="M50" s="140"/>
    </row>
    <row r="51" spans="1:13" s="22" customFormat="1" x14ac:dyDescent="0.35">
      <c r="A51" s="155">
        <v>27</v>
      </c>
      <c r="B51" s="485" t="s">
        <v>238</v>
      </c>
      <c r="C51" s="486"/>
      <c r="D51" s="487"/>
      <c r="E51" s="160">
        <f>SUM(E44:E50)</f>
        <v>0</v>
      </c>
      <c r="F51" s="160">
        <f>SUM(F44:F50)</f>
        <v>496151.82</v>
      </c>
      <c r="G51" s="160">
        <f>SUM(G44:G50)</f>
        <v>106965</v>
      </c>
      <c r="H51" s="160">
        <f>SUM(H44:H50)</f>
        <v>176887</v>
      </c>
      <c r="I51" s="160">
        <f>SUM(I44:I50)</f>
        <v>0</v>
      </c>
      <c r="J51" s="160">
        <f>SUM(E51:I51)</f>
        <v>780003.82000000007</v>
      </c>
      <c r="M51" s="140"/>
    </row>
    <row r="52" spans="1:13" s="22" customFormat="1" x14ac:dyDescent="0.35">
      <c r="A52" s="161"/>
      <c r="B52" s="491"/>
      <c r="C52" s="491"/>
      <c r="D52" s="491"/>
      <c r="E52" s="491"/>
      <c r="F52" s="491"/>
      <c r="G52" s="491"/>
      <c r="H52" s="164"/>
      <c r="I52" s="164"/>
      <c r="J52" s="164"/>
      <c r="M52" s="140"/>
    </row>
    <row r="53" spans="1:13" s="22" customFormat="1" x14ac:dyDescent="0.35">
      <c r="A53" s="488" t="s">
        <v>233</v>
      </c>
      <c r="B53" s="489"/>
      <c r="C53" s="489"/>
      <c r="D53" s="489"/>
      <c r="E53" s="489"/>
      <c r="F53" s="489"/>
      <c r="G53" s="489"/>
      <c r="H53" s="489"/>
      <c r="I53" s="489"/>
      <c r="J53" s="490"/>
      <c r="M53" s="140"/>
    </row>
    <row r="54" spans="1:13" s="22" customFormat="1" x14ac:dyDescent="0.35">
      <c r="A54" s="155">
        <v>28</v>
      </c>
      <c r="B54" s="479" t="s">
        <v>282</v>
      </c>
      <c r="C54" s="480"/>
      <c r="D54" s="481"/>
      <c r="E54" s="157">
        <f>'Schedule 1 Adjustments'!I54</f>
        <v>0</v>
      </c>
      <c r="F54" s="157">
        <f>'Schedule 1 Adjustments'!L54</f>
        <v>0</v>
      </c>
      <c r="G54" s="157">
        <f>'Schedule 1 Adjustments'!O54</f>
        <v>0</v>
      </c>
      <c r="H54" s="157">
        <f>'Schedule 1 Adjustments'!R54</f>
        <v>0</v>
      </c>
      <c r="I54" s="157">
        <f>'Schedule 1 Adjustments'!U54</f>
        <v>0</v>
      </c>
      <c r="J54" s="158">
        <f>SUM(E54:I54)</f>
        <v>0</v>
      </c>
      <c r="M54" s="140"/>
    </row>
    <row r="55" spans="1:13" s="22" customFormat="1" x14ac:dyDescent="0.35">
      <c r="A55" s="155">
        <v>29</v>
      </c>
      <c r="B55" s="479" t="s">
        <v>294</v>
      </c>
      <c r="C55" s="480"/>
      <c r="D55" s="481"/>
      <c r="E55" s="157">
        <f>'Schedule 1 Adjustments'!I55</f>
        <v>171937</v>
      </c>
      <c r="F55" s="157">
        <f>'Schedule 1 Adjustments'!L55</f>
        <v>756369</v>
      </c>
      <c r="G55" s="157">
        <f>'Schedule 1 Adjustments'!O55</f>
        <v>86270</v>
      </c>
      <c r="H55" s="157">
        <f>'Schedule 1 Adjustments'!R55</f>
        <v>4967</v>
      </c>
      <c r="I55" s="157">
        <f>'Schedule 1 Adjustments'!U55</f>
        <v>0</v>
      </c>
      <c r="J55" s="158">
        <f>SUM(E55:I55)</f>
        <v>1019543</v>
      </c>
      <c r="M55" s="140"/>
    </row>
    <row r="56" spans="1:13" s="22" customFormat="1" x14ac:dyDescent="0.35">
      <c r="A56" s="155">
        <v>30</v>
      </c>
      <c r="B56" s="479" t="s">
        <v>295</v>
      </c>
      <c r="C56" s="480"/>
      <c r="D56" s="481"/>
      <c r="E56" s="157">
        <f>'Schedule 1 Adjustments'!I56</f>
        <v>177638</v>
      </c>
      <c r="F56" s="157">
        <f>'Schedule 1 Adjustments'!L56</f>
        <v>196459</v>
      </c>
      <c r="G56" s="157">
        <f>'Schedule 1 Adjustments'!O56</f>
        <v>10241</v>
      </c>
      <c r="H56" s="157">
        <f>'Schedule 1 Adjustments'!R56</f>
        <v>587</v>
      </c>
      <c r="I56" s="157">
        <f>'Schedule 1 Adjustments'!U56</f>
        <v>0</v>
      </c>
      <c r="J56" s="158">
        <f t="shared" ref="J56:J58" si="8">SUM(E56:I56)</f>
        <v>384925</v>
      </c>
      <c r="M56" s="140"/>
    </row>
    <row r="57" spans="1:13" s="22" customFormat="1" x14ac:dyDescent="0.35">
      <c r="A57" s="155">
        <v>31</v>
      </c>
      <c r="B57" s="479" t="s">
        <v>296</v>
      </c>
      <c r="C57" s="480"/>
      <c r="D57" s="481"/>
      <c r="E57" s="157">
        <f>'Schedule 1 Adjustments'!I57</f>
        <v>480962</v>
      </c>
      <c r="F57" s="157">
        <f>'Schedule 1 Adjustments'!L57</f>
        <v>866631</v>
      </c>
      <c r="G57" s="157">
        <f>'Schedule 1 Adjustments'!O57</f>
        <v>85343</v>
      </c>
      <c r="H57" s="157">
        <f>'Schedule 1 Adjustments'!R57</f>
        <v>4979</v>
      </c>
      <c r="I57" s="157">
        <f>'Schedule 1 Adjustments'!U57</f>
        <v>0</v>
      </c>
      <c r="J57" s="158">
        <f t="shared" si="8"/>
        <v>1437915</v>
      </c>
      <c r="M57" s="140"/>
    </row>
    <row r="58" spans="1:13" s="22" customFormat="1" x14ac:dyDescent="0.35">
      <c r="A58" s="155">
        <v>32</v>
      </c>
      <c r="B58" s="485" t="s">
        <v>231</v>
      </c>
      <c r="C58" s="486"/>
      <c r="D58" s="487"/>
      <c r="E58" s="160">
        <f>SUM(E54:E57)</f>
        <v>830537</v>
      </c>
      <c r="F58" s="160">
        <f>SUM(F54:F57)</f>
        <v>1819459</v>
      </c>
      <c r="G58" s="160">
        <f>SUM(G54:G57)</f>
        <v>181854</v>
      </c>
      <c r="H58" s="160">
        <f>SUM(H54:H57)</f>
        <v>10533</v>
      </c>
      <c r="I58" s="160">
        <f>SUM(I54:I57)</f>
        <v>0</v>
      </c>
      <c r="J58" s="160">
        <f t="shared" si="8"/>
        <v>2842383</v>
      </c>
      <c r="M58" s="140"/>
    </row>
    <row r="59" spans="1:13" s="22" customFormat="1" x14ac:dyDescent="0.35">
      <c r="A59" s="161"/>
      <c r="B59" s="162"/>
      <c r="C59" s="162"/>
      <c r="D59" s="163"/>
      <c r="E59" s="164"/>
      <c r="F59" s="164"/>
      <c r="G59" s="164"/>
      <c r="H59" s="164"/>
      <c r="I59" s="164"/>
      <c r="J59" s="164"/>
      <c r="M59" s="140"/>
    </row>
    <row r="60" spans="1:13" s="22" customFormat="1" x14ac:dyDescent="0.35">
      <c r="A60" s="488" t="s">
        <v>232</v>
      </c>
      <c r="B60" s="489"/>
      <c r="C60" s="489"/>
      <c r="D60" s="489"/>
      <c r="E60" s="489"/>
      <c r="F60" s="489"/>
      <c r="G60" s="489"/>
      <c r="H60" s="489"/>
      <c r="I60" s="489"/>
      <c r="J60" s="490"/>
      <c r="M60" s="140"/>
    </row>
    <row r="61" spans="1:13" s="22" customFormat="1" x14ac:dyDescent="0.35">
      <c r="A61" s="155">
        <v>33</v>
      </c>
      <c r="B61" s="479" t="s">
        <v>297</v>
      </c>
      <c r="C61" s="480"/>
      <c r="D61" s="481"/>
      <c r="E61" s="157">
        <f>'Schedule 1 Adjustments'!I61</f>
        <v>865743.56706143974</v>
      </c>
      <c r="F61" s="157">
        <f>'Schedule 1 Adjustments'!L61</f>
        <v>601429.43293856026</v>
      </c>
      <c r="G61" s="157">
        <f>'Schedule 1 Adjustments'!O61</f>
        <v>2522</v>
      </c>
      <c r="H61" s="157">
        <f>'Schedule 1 Adjustments'!R61</f>
        <v>0</v>
      </c>
      <c r="I61" s="157">
        <f>'Schedule 1 Adjustments'!U61</f>
        <v>0</v>
      </c>
      <c r="J61" s="158">
        <f>SUM(E61:I61)</f>
        <v>1469695</v>
      </c>
      <c r="M61" s="140"/>
    </row>
    <row r="62" spans="1:13" s="22" customFormat="1" x14ac:dyDescent="0.35">
      <c r="A62" s="155">
        <v>34</v>
      </c>
      <c r="B62" s="479" t="s">
        <v>298</v>
      </c>
      <c r="C62" s="480"/>
      <c r="D62" s="481"/>
      <c r="E62" s="157">
        <f>'Schedule 1 Adjustments'!I62</f>
        <v>101145.97474996763</v>
      </c>
      <c r="F62" s="157">
        <f>'Schedule 1 Adjustments'!L62</f>
        <v>444093.54681835836</v>
      </c>
      <c r="G62" s="157">
        <f>'Schedule 1 Adjustments'!O62</f>
        <v>35818.91348799198</v>
      </c>
      <c r="H62" s="157">
        <f>'Schedule 1 Adjustments'!R62</f>
        <v>3143.5649436820304</v>
      </c>
      <c r="I62" s="157">
        <f>'Schedule 1 Adjustments'!U62</f>
        <v>0</v>
      </c>
      <c r="J62" s="158">
        <f t="shared" ref="J62:J68" si="9">SUM(E62:I62)</f>
        <v>584202.00000000012</v>
      </c>
      <c r="M62" s="140"/>
    </row>
    <row r="63" spans="1:13" s="22" customFormat="1" x14ac:dyDescent="0.35">
      <c r="A63" s="155">
        <v>35</v>
      </c>
      <c r="B63" s="479" t="s">
        <v>302</v>
      </c>
      <c r="C63" s="480"/>
      <c r="D63" s="481"/>
      <c r="E63" s="157">
        <f>'Schedule 1 Adjustments'!I63</f>
        <v>0</v>
      </c>
      <c r="F63" s="157">
        <f>'Schedule 1 Adjustments'!L63</f>
        <v>0</v>
      </c>
      <c r="G63" s="157">
        <f>'Schedule 1 Adjustments'!O63</f>
        <v>0</v>
      </c>
      <c r="H63" s="157">
        <f>'Schedule 1 Adjustments'!R63</f>
        <v>0</v>
      </c>
      <c r="I63" s="157">
        <f>'Schedule 1 Adjustments'!U63</f>
        <v>0</v>
      </c>
      <c r="J63" s="158">
        <f t="shared" si="9"/>
        <v>0</v>
      </c>
      <c r="M63" s="140"/>
    </row>
    <row r="64" spans="1:13" s="22" customFormat="1" x14ac:dyDescent="0.35">
      <c r="A64" s="155">
        <v>36</v>
      </c>
      <c r="B64" s="479" t="s">
        <v>315</v>
      </c>
      <c r="C64" s="480"/>
      <c r="D64" s="481"/>
      <c r="E64" s="157">
        <f>'Schedule 1 Adjustments'!I64</f>
        <v>314327</v>
      </c>
      <c r="F64" s="157">
        <f>'Schedule 1 Adjustments'!L64</f>
        <v>123975</v>
      </c>
      <c r="G64" s="157">
        <f>'Schedule 1 Adjustments'!O64</f>
        <v>22885</v>
      </c>
      <c r="H64" s="157">
        <f>'Schedule 1 Adjustments'!R64</f>
        <v>0</v>
      </c>
      <c r="I64" s="157">
        <f>'Schedule 1 Adjustments'!U64</f>
        <v>0</v>
      </c>
      <c r="J64" s="158">
        <f t="shared" si="9"/>
        <v>461187</v>
      </c>
      <c r="M64" s="140"/>
    </row>
    <row r="65" spans="1:13" s="22" customFormat="1" x14ac:dyDescent="0.35">
      <c r="A65" s="155">
        <v>37</v>
      </c>
      <c r="B65" s="479" t="s">
        <v>316</v>
      </c>
      <c r="C65" s="480"/>
      <c r="D65" s="481"/>
      <c r="E65" s="157">
        <f>'Schedule 1 Adjustments'!I65</f>
        <v>274814</v>
      </c>
      <c r="F65" s="157">
        <f>'Schedule 1 Adjustments'!L65</f>
        <v>188486</v>
      </c>
      <c r="G65" s="157">
        <f>'Schedule 1 Adjustments'!O65</f>
        <v>25292</v>
      </c>
      <c r="H65" s="157">
        <f>'Schedule 1 Adjustments'!R65</f>
        <v>0</v>
      </c>
      <c r="I65" s="157">
        <f>'Schedule 1 Adjustments'!U65</f>
        <v>0</v>
      </c>
      <c r="J65" s="158">
        <f t="shared" si="9"/>
        <v>488592</v>
      </c>
      <c r="M65" s="140"/>
    </row>
    <row r="66" spans="1:13" s="22" customFormat="1" x14ac:dyDescent="0.35">
      <c r="A66" s="155">
        <v>38</v>
      </c>
      <c r="B66" s="479" t="s">
        <v>317</v>
      </c>
      <c r="C66" s="480"/>
      <c r="D66" s="481"/>
      <c r="E66" s="157">
        <f>'Schedule 1 Adjustments'!I66</f>
        <v>658294</v>
      </c>
      <c r="F66" s="157">
        <f>'Schedule 1 Adjustments'!L66</f>
        <v>38350</v>
      </c>
      <c r="G66" s="157">
        <f>'Schedule 1 Adjustments'!O66</f>
        <v>0</v>
      </c>
      <c r="H66" s="157">
        <f>'Schedule 1 Adjustments'!R66</f>
        <v>0</v>
      </c>
      <c r="I66" s="157">
        <f>'Schedule 1 Adjustments'!U66</f>
        <v>0</v>
      </c>
      <c r="J66" s="158">
        <f t="shared" si="9"/>
        <v>696644</v>
      </c>
      <c r="M66" s="140"/>
    </row>
    <row r="67" spans="1:13" s="22" customFormat="1" x14ac:dyDescent="0.35">
      <c r="A67" s="155">
        <v>39</v>
      </c>
      <c r="B67" s="479" t="s">
        <v>299</v>
      </c>
      <c r="C67" s="480"/>
      <c r="D67" s="481"/>
      <c r="E67" s="157">
        <f>'Schedule 1 Adjustments'!I67</f>
        <v>71783</v>
      </c>
      <c r="F67" s="157">
        <f>'Schedule 1 Adjustments'!L67</f>
        <v>52768</v>
      </c>
      <c r="G67" s="157">
        <f>'Schedule 1 Adjustments'!O67</f>
        <v>5514</v>
      </c>
      <c r="H67" s="157">
        <f>'Schedule 1 Adjustments'!R67</f>
        <v>0</v>
      </c>
      <c r="I67" s="157">
        <f>'Schedule 1 Adjustments'!U67</f>
        <v>0</v>
      </c>
      <c r="J67" s="158">
        <f t="shared" si="9"/>
        <v>130065</v>
      </c>
      <c r="M67" s="140"/>
    </row>
    <row r="68" spans="1:13" s="22" customFormat="1" x14ac:dyDescent="0.35">
      <c r="A68" s="155">
        <v>40</v>
      </c>
      <c r="B68" s="485" t="s">
        <v>237</v>
      </c>
      <c r="C68" s="486"/>
      <c r="D68" s="487"/>
      <c r="E68" s="160">
        <f>SUM(E61:E67)</f>
        <v>2286107.5418114075</v>
      </c>
      <c r="F68" s="160">
        <f>SUM(F61:F67)</f>
        <v>1449101.9797569187</v>
      </c>
      <c r="G68" s="160">
        <f>SUM(G61:G67)</f>
        <v>92031.913487991987</v>
      </c>
      <c r="H68" s="160">
        <f>SUM(H61:H67)</f>
        <v>3143.5649436820304</v>
      </c>
      <c r="I68" s="160">
        <f>SUM(I61:I67)</f>
        <v>0</v>
      </c>
      <c r="J68" s="160">
        <f t="shared" si="9"/>
        <v>3830385</v>
      </c>
      <c r="M68" s="140"/>
    </row>
    <row r="69" spans="1:13" s="22" customFormat="1" x14ac:dyDescent="0.35">
      <c r="A69" s="161"/>
      <c r="B69" s="162"/>
      <c r="C69" s="162"/>
      <c r="D69" s="163"/>
      <c r="E69" s="164"/>
      <c r="F69" s="164"/>
      <c r="G69" s="164"/>
      <c r="H69" s="164"/>
      <c r="I69" s="164"/>
      <c r="J69" s="164"/>
      <c r="M69" s="140"/>
    </row>
    <row r="70" spans="1:13" s="22" customFormat="1" x14ac:dyDescent="0.35">
      <c r="A70" s="488" t="s">
        <v>236</v>
      </c>
      <c r="B70" s="489"/>
      <c r="C70" s="489"/>
      <c r="D70" s="489"/>
      <c r="E70" s="489"/>
      <c r="F70" s="489"/>
      <c r="G70" s="489"/>
      <c r="H70" s="489"/>
      <c r="I70" s="489"/>
      <c r="J70" s="490"/>
      <c r="M70" s="140"/>
    </row>
    <row r="71" spans="1:13" s="22" customFormat="1" x14ac:dyDescent="0.35">
      <c r="A71" s="155">
        <v>41</v>
      </c>
      <c r="B71" s="479" t="s">
        <v>239</v>
      </c>
      <c r="C71" s="480"/>
      <c r="D71" s="481"/>
      <c r="E71" s="157">
        <f>'Schedule 1 Adjustments'!I71</f>
        <v>47285</v>
      </c>
      <c r="F71" s="157">
        <f>'Schedule 1 Adjustments'!L71</f>
        <v>8385</v>
      </c>
      <c r="G71" s="157">
        <f>'Schedule 1 Adjustments'!O71</f>
        <v>2319</v>
      </c>
      <c r="H71" s="157">
        <f>'Schedule 1 Adjustments'!R71</f>
        <v>0</v>
      </c>
      <c r="I71" s="157">
        <f>'Schedule 1 Adjustments'!U71</f>
        <v>0</v>
      </c>
      <c r="J71" s="158">
        <f t="shared" ref="J71:J74" si="10">SUM(E71:I71)</f>
        <v>57989</v>
      </c>
      <c r="M71" s="140"/>
    </row>
    <row r="72" spans="1:13" s="22" customFormat="1" x14ac:dyDescent="0.35">
      <c r="A72" s="155">
        <v>42</v>
      </c>
      <c r="B72" s="479" t="s">
        <v>289</v>
      </c>
      <c r="C72" s="480"/>
      <c r="D72" s="481"/>
      <c r="E72" s="157">
        <f>'Schedule 1 Adjustments'!I72</f>
        <v>232337</v>
      </c>
      <c r="F72" s="157">
        <f>'Schedule 1 Adjustments'!L72</f>
        <v>220547</v>
      </c>
      <c r="G72" s="157">
        <f>'Schedule 1 Adjustments'!O72</f>
        <v>21680</v>
      </c>
      <c r="H72" s="157">
        <f>'Schedule 1 Adjustments'!R72</f>
        <v>1228</v>
      </c>
      <c r="I72" s="157">
        <f>'Schedule 1 Adjustments'!U72</f>
        <v>0</v>
      </c>
      <c r="J72" s="158">
        <f t="shared" si="10"/>
        <v>475792</v>
      </c>
      <c r="M72" s="140"/>
    </row>
    <row r="73" spans="1:13" s="22" customFormat="1" x14ac:dyDescent="0.35">
      <c r="A73" s="155">
        <v>43</v>
      </c>
      <c r="B73" s="479" t="s">
        <v>240</v>
      </c>
      <c r="C73" s="480"/>
      <c r="D73" s="481"/>
      <c r="E73" s="157">
        <f>'Schedule 1 Adjustments'!I73</f>
        <v>40784</v>
      </c>
      <c r="F73" s="157">
        <f>'Schedule 1 Adjustments'!L73</f>
        <v>0</v>
      </c>
      <c r="G73" s="157">
        <f>'Schedule 1 Adjustments'!O73</f>
        <v>0</v>
      </c>
      <c r="H73" s="157">
        <f>'Schedule 1 Adjustments'!R73</f>
        <v>0</v>
      </c>
      <c r="I73" s="157">
        <f>'Schedule 1 Adjustments'!U73</f>
        <v>0</v>
      </c>
      <c r="J73" s="158">
        <f t="shared" si="10"/>
        <v>40784</v>
      </c>
      <c r="M73" s="140"/>
    </row>
    <row r="74" spans="1:13" s="22" customFormat="1" x14ac:dyDescent="0.35">
      <c r="A74" s="155">
        <v>44</v>
      </c>
      <c r="B74" s="479" t="s">
        <v>308</v>
      </c>
      <c r="C74" s="480"/>
      <c r="D74" s="481"/>
      <c r="E74" s="157">
        <f>'Schedule 1 Adjustments'!I74</f>
        <v>192002</v>
      </c>
      <c r="F74" s="157">
        <f>'Schedule 1 Adjustments'!L74</f>
        <v>18499</v>
      </c>
      <c r="G74" s="157">
        <f>'Schedule 1 Adjustments'!O74</f>
        <v>2769</v>
      </c>
      <c r="H74" s="157">
        <f>'Schedule 1 Adjustments'!R74</f>
        <v>0</v>
      </c>
      <c r="I74" s="157">
        <f>'Schedule 1 Adjustments'!U74</f>
        <v>9261</v>
      </c>
      <c r="J74" s="158">
        <f t="shared" si="10"/>
        <v>222531</v>
      </c>
      <c r="M74" s="140"/>
    </row>
    <row r="75" spans="1:13" s="22" customFormat="1" x14ac:dyDescent="0.35">
      <c r="A75" s="155">
        <v>45</v>
      </c>
      <c r="B75" s="479" t="s">
        <v>286</v>
      </c>
      <c r="C75" s="480"/>
      <c r="D75" s="481"/>
      <c r="E75" s="157">
        <f>'Schedule 1 Adjustments'!I75</f>
        <v>0</v>
      </c>
      <c r="F75" s="157">
        <f>'Schedule 1 Adjustments'!L75</f>
        <v>0</v>
      </c>
      <c r="G75" s="157">
        <f>'Schedule 1 Adjustments'!O75</f>
        <v>0</v>
      </c>
      <c r="H75" s="157">
        <f>'Schedule 1 Adjustments'!R75</f>
        <v>0</v>
      </c>
      <c r="I75" s="157">
        <f>'Schedule 1 Adjustments'!U75</f>
        <v>190737</v>
      </c>
      <c r="J75" s="158">
        <f>SUM(E75:I75)</f>
        <v>190737</v>
      </c>
      <c r="M75" s="140"/>
    </row>
    <row r="76" spans="1:13" s="22" customFormat="1" x14ac:dyDescent="0.35">
      <c r="A76" s="155">
        <v>46</v>
      </c>
      <c r="B76" s="479" t="s">
        <v>287</v>
      </c>
      <c r="C76" s="480"/>
      <c r="D76" s="481"/>
      <c r="E76" s="157">
        <f>'Schedule 1 Adjustments'!I76</f>
        <v>43740</v>
      </c>
      <c r="F76" s="157">
        <f>'Schedule 1 Adjustments'!L76</f>
        <v>0</v>
      </c>
      <c r="G76" s="157">
        <f>'Schedule 1 Adjustments'!O76</f>
        <v>0</v>
      </c>
      <c r="H76" s="157">
        <f>'Schedule 1 Adjustments'!R76</f>
        <v>0</v>
      </c>
      <c r="I76" s="157">
        <f>'Schedule 1 Adjustments'!U76</f>
        <v>0</v>
      </c>
      <c r="J76" s="158">
        <f t="shared" ref="J76:J79" si="11">SUM(E76:I76)</f>
        <v>43740</v>
      </c>
      <c r="M76" s="140"/>
    </row>
    <row r="77" spans="1:13" s="22" customFormat="1" x14ac:dyDescent="0.35">
      <c r="A77" s="155">
        <v>47</v>
      </c>
      <c r="B77" s="479" t="s">
        <v>318</v>
      </c>
      <c r="C77" s="480"/>
      <c r="D77" s="481"/>
      <c r="E77" s="157">
        <f>'Schedule 1 Adjustments'!I77</f>
        <v>130872</v>
      </c>
      <c r="F77" s="157">
        <f>'Schedule 1 Adjustments'!L77</f>
        <v>279081</v>
      </c>
      <c r="G77" s="157">
        <f>'Schedule 1 Adjustments'!O77</f>
        <v>0</v>
      </c>
      <c r="H77" s="157">
        <f>'Schedule 1 Adjustments'!R77</f>
        <v>0</v>
      </c>
      <c r="I77" s="157">
        <f>'Schedule 1 Adjustments'!U77</f>
        <v>0</v>
      </c>
      <c r="J77" s="158">
        <f t="shared" si="11"/>
        <v>409953</v>
      </c>
      <c r="M77" s="140"/>
    </row>
    <row r="78" spans="1:13" s="22" customFormat="1" x14ac:dyDescent="0.35">
      <c r="A78" s="155">
        <v>48</v>
      </c>
      <c r="B78" s="479" t="s">
        <v>285</v>
      </c>
      <c r="C78" s="480"/>
      <c r="D78" s="481"/>
      <c r="E78" s="157">
        <f>'Schedule 1 Adjustments'!I78</f>
        <v>243231</v>
      </c>
      <c r="F78" s="157">
        <f>'Schedule 1 Adjustments'!L78</f>
        <v>251299</v>
      </c>
      <c r="G78" s="157">
        <f>'Schedule 1 Adjustments'!O78</f>
        <v>17620</v>
      </c>
      <c r="H78" s="157">
        <f>'Schedule 1 Adjustments'!R78</f>
        <v>59</v>
      </c>
      <c r="I78" s="157">
        <f>'Schedule 1 Adjustments'!U78</f>
        <v>0</v>
      </c>
      <c r="J78" s="158">
        <f t="shared" si="11"/>
        <v>512209</v>
      </c>
      <c r="M78" s="140"/>
    </row>
    <row r="79" spans="1:13" s="22" customFormat="1" x14ac:dyDescent="0.35">
      <c r="A79" s="155">
        <v>49</v>
      </c>
      <c r="B79" s="485" t="s">
        <v>279</v>
      </c>
      <c r="C79" s="486"/>
      <c r="D79" s="487"/>
      <c r="E79" s="160">
        <f>SUM(E71:E78)</f>
        <v>930251</v>
      </c>
      <c r="F79" s="160">
        <f t="shared" ref="F79:I79" si="12">SUM(F71:F78)</f>
        <v>777811</v>
      </c>
      <c r="G79" s="160">
        <f t="shared" si="12"/>
        <v>44388</v>
      </c>
      <c r="H79" s="160">
        <f t="shared" si="12"/>
        <v>1287</v>
      </c>
      <c r="I79" s="160">
        <f t="shared" si="12"/>
        <v>199998</v>
      </c>
      <c r="J79" s="160">
        <f t="shared" si="11"/>
        <v>1953735</v>
      </c>
      <c r="M79" s="140"/>
    </row>
    <row r="80" spans="1:13" s="22" customFormat="1" x14ac:dyDescent="0.35">
      <c r="A80" s="161"/>
      <c r="B80" s="162"/>
      <c r="C80" s="162"/>
      <c r="D80" s="163"/>
      <c r="E80" s="164"/>
      <c r="F80" s="164"/>
      <c r="G80" s="164"/>
      <c r="H80" s="164"/>
      <c r="I80" s="164"/>
      <c r="J80" s="164"/>
      <c r="M80" s="140"/>
    </row>
    <row r="81" spans="1:13" s="22" customFormat="1" x14ac:dyDescent="0.35">
      <c r="A81" s="488" t="s">
        <v>303</v>
      </c>
      <c r="B81" s="489"/>
      <c r="C81" s="489"/>
      <c r="D81" s="489"/>
      <c r="E81" s="489"/>
      <c r="F81" s="489"/>
      <c r="G81" s="489"/>
      <c r="H81" s="489"/>
      <c r="I81" s="489"/>
      <c r="J81" s="490"/>
      <c r="M81" s="140"/>
    </row>
    <row r="82" spans="1:13" s="22" customFormat="1" x14ac:dyDescent="0.35">
      <c r="A82" s="155">
        <v>50</v>
      </c>
      <c r="B82" s="479" t="s">
        <v>304</v>
      </c>
      <c r="C82" s="480"/>
      <c r="D82" s="481"/>
      <c r="E82" s="98"/>
      <c r="F82" s="98"/>
      <c r="G82" s="98"/>
      <c r="H82" s="98"/>
      <c r="I82" s="157">
        <f>'Schedule 1 Adjustments'!U82</f>
        <v>0</v>
      </c>
      <c r="J82" s="158">
        <f>I82</f>
        <v>0</v>
      </c>
      <c r="M82" s="140"/>
    </row>
    <row r="83" spans="1:13" s="22" customFormat="1" x14ac:dyDescent="0.35">
      <c r="A83" s="155">
        <v>51</v>
      </c>
      <c r="B83" s="479" t="s">
        <v>309</v>
      </c>
      <c r="C83" s="480"/>
      <c r="D83" s="481"/>
      <c r="E83" s="98"/>
      <c r="F83" s="98"/>
      <c r="G83" s="98"/>
      <c r="H83" s="98"/>
      <c r="I83" s="157">
        <f>'Schedule 1 Adjustments'!U83</f>
        <v>0</v>
      </c>
      <c r="J83" s="158">
        <f>I83</f>
        <v>0</v>
      </c>
      <c r="M83" s="140"/>
    </row>
    <row r="84" spans="1:13" s="22" customFormat="1" x14ac:dyDescent="0.35">
      <c r="A84" s="155">
        <v>52</v>
      </c>
      <c r="B84" s="479" t="s">
        <v>310</v>
      </c>
      <c r="C84" s="480"/>
      <c r="D84" s="481"/>
      <c r="E84" s="98"/>
      <c r="F84" s="98"/>
      <c r="G84" s="98"/>
      <c r="H84" s="98"/>
      <c r="I84" s="157">
        <f>'Schedule 1 Adjustments'!U84</f>
        <v>0</v>
      </c>
      <c r="J84" s="158">
        <f t="shared" ref="J84:J85" si="13">I84</f>
        <v>0</v>
      </c>
      <c r="M84" s="140"/>
    </row>
    <row r="85" spans="1:13" s="22" customFormat="1" x14ac:dyDescent="0.35">
      <c r="A85" s="155">
        <v>53</v>
      </c>
      <c r="B85" s="479" t="s">
        <v>305</v>
      </c>
      <c r="C85" s="480"/>
      <c r="D85" s="481"/>
      <c r="E85" s="98"/>
      <c r="F85" s="98"/>
      <c r="G85" s="98"/>
      <c r="H85" s="98"/>
      <c r="I85" s="157">
        <f>'Schedule 1 Adjustments'!U85</f>
        <v>0</v>
      </c>
      <c r="J85" s="158">
        <f t="shared" si="13"/>
        <v>0</v>
      </c>
      <c r="M85" s="140"/>
    </row>
    <row r="86" spans="1:13" s="22" customFormat="1" x14ac:dyDescent="0.35">
      <c r="A86" s="155">
        <v>54</v>
      </c>
      <c r="B86" s="485" t="s">
        <v>306</v>
      </c>
      <c r="C86" s="486"/>
      <c r="D86" s="487"/>
      <c r="E86" s="160">
        <v>0</v>
      </c>
      <c r="F86" s="160">
        <v>0</v>
      </c>
      <c r="G86" s="160">
        <v>0</v>
      </c>
      <c r="H86" s="160">
        <v>0</v>
      </c>
      <c r="I86" s="160">
        <f>SUM(I82:I85)</f>
        <v>0</v>
      </c>
      <c r="J86" s="160">
        <f t="shared" ref="J86" si="14">SUM(E86:I86)</f>
        <v>0</v>
      </c>
      <c r="M86" s="140"/>
    </row>
    <row r="87" spans="1:13" s="22" customFormat="1" x14ac:dyDescent="0.35">
      <c r="A87" s="161"/>
      <c r="B87" s="162"/>
      <c r="C87" s="162"/>
      <c r="D87" s="163"/>
      <c r="E87" s="164"/>
      <c r="F87" s="164"/>
      <c r="G87" s="164"/>
      <c r="H87" s="164"/>
      <c r="I87" s="164"/>
      <c r="J87" s="164"/>
      <c r="M87" s="140"/>
    </row>
    <row r="88" spans="1:13" s="22" customFormat="1" x14ac:dyDescent="0.35">
      <c r="A88" s="488" t="s">
        <v>273</v>
      </c>
      <c r="B88" s="489"/>
      <c r="C88" s="489"/>
      <c r="D88" s="489"/>
      <c r="E88" s="489"/>
      <c r="F88" s="489"/>
      <c r="G88" s="489"/>
      <c r="H88" s="489"/>
      <c r="I88" s="489"/>
      <c r="J88" s="490"/>
      <c r="M88" s="140"/>
    </row>
    <row r="89" spans="1:13" s="22" customFormat="1" x14ac:dyDescent="0.35">
      <c r="A89" s="155">
        <v>55</v>
      </c>
      <c r="B89" s="479" t="s">
        <v>274</v>
      </c>
      <c r="C89" s="480"/>
      <c r="D89" s="481"/>
      <c r="E89" s="165">
        <f>'Schedule 1 Adjustments'!I89</f>
        <v>-80417.85442629084</v>
      </c>
      <c r="F89" s="165">
        <f>'Schedule 1 Adjustments'!L89</f>
        <v>-42002.432938560261</v>
      </c>
      <c r="G89" s="165">
        <f>'Schedule 1 Adjustments'!O89</f>
        <v>0</v>
      </c>
      <c r="H89" s="165">
        <f>'Schedule 1 Adjustments'!R89</f>
        <v>0</v>
      </c>
      <c r="I89" s="165">
        <f>-SUM(E89:H89)</f>
        <v>122420.2873648511</v>
      </c>
      <c r="J89" s="158">
        <f>SUM(E89:I89)</f>
        <v>0</v>
      </c>
      <c r="M89" s="140"/>
    </row>
    <row r="90" spans="1:13" s="22" customFormat="1" x14ac:dyDescent="0.35">
      <c r="A90" s="155">
        <v>56</v>
      </c>
      <c r="B90" s="485" t="s">
        <v>270</v>
      </c>
      <c r="C90" s="486"/>
      <c r="D90" s="487"/>
      <c r="E90" s="160">
        <f>SUM(E89:E89)</f>
        <v>-80417.85442629084</v>
      </c>
      <c r="F90" s="160">
        <f>SUM(F89:F89)</f>
        <v>-42002.432938560261</v>
      </c>
      <c r="G90" s="160">
        <f>SUM(G89:G89)</f>
        <v>0</v>
      </c>
      <c r="H90" s="160">
        <f>SUM(H89:H89)</f>
        <v>0</v>
      </c>
      <c r="I90" s="160">
        <f>SUM(I89:I89)</f>
        <v>122420.2873648511</v>
      </c>
      <c r="J90" s="160">
        <f t="shared" ref="J90" si="15">SUM(E90:I90)</f>
        <v>0</v>
      </c>
      <c r="M90" s="140"/>
    </row>
    <row r="91" spans="1:13" s="22" customFormat="1" x14ac:dyDescent="0.35">
      <c r="A91" s="161"/>
      <c r="B91" s="162"/>
      <c r="C91" s="162"/>
      <c r="D91" s="163"/>
      <c r="E91" s="164"/>
      <c r="F91" s="164"/>
      <c r="G91" s="164"/>
      <c r="H91" s="164"/>
      <c r="I91" s="164"/>
      <c r="J91" s="164"/>
      <c r="M91" s="140"/>
    </row>
    <row r="92" spans="1:13" s="22" customFormat="1" x14ac:dyDescent="0.35">
      <c r="A92" s="155">
        <v>57</v>
      </c>
      <c r="B92" s="485" t="s">
        <v>241</v>
      </c>
      <c r="C92" s="486"/>
      <c r="D92" s="487"/>
      <c r="E92" s="160">
        <f>E79+E68+E58+E51+E41+E90+E86</f>
        <v>11555496.687385116</v>
      </c>
      <c r="F92" s="160">
        <f>F79+F68+F58+F51+F41+F90+F86</f>
        <v>33884743.366818361</v>
      </c>
      <c r="G92" s="160">
        <f>G79+G68+G58+G51+G41+G90+G86</f>
        <v>2863995.9134879922</v>
      </c>
      <c r="H92" s="160">
        <f>H79+H68+H58+H51+H41+H90+H86</f>
        <v>363694.56494368205</v>
      </c>
      <c r="I92" s="160">
        <f>I79+I68+I58+I51+I41+I90+I86</f>
        <v>322418.2873648511</v>
      </c>
      <c r="J92" s="160">
        <f t="shared" ref="J92:J96" si="16">SUM(E92:I92)</f>
        <v>48990348.82</v>
      </c>
      <c r="M92" s="140"/>
    </row>
    <row r="93" spans="1:13" s="22" customFormat="1" x14ac:dyDescent="0.35">
      <c r="A93" s="161"/>
      <c r="B93" s="162"/>
      <c r="C93" s="162"/>
      <c r="D93" s="163"/>
      <c r="E93" s="164"/>
      <c r="F93" s="164"/>
      <c r="G93" s="164"/>
      <c r="H93" s="164"/>
      <c r="I93" s="164"/>
      <c r="J93" s="164"/>
      <c r="M93" s="140"/>
    </row>
    <row r="94" spans="1:13" s="22" customFormat="1" x14ac:dyDescent="0.35">
      <c r="A94" s="155">
        <v>58</v>
      </c>
      <c r="B94" s="479" t="s">
        <v>2</v>
      </c>
      <c r="C94" s="480"/>
      <c r="D94" s="481"/>
      <c r="E94" s="158">
        <f>E92*-1</f>
        <v>-11555496.687385116</v>
      </c>
      <c r="F94" s="157">
        <f>'Schedule 1 Adjustments'!L94</f>
        <v>10687995.326595739</v>
      </c>
      <c r="G94" s="157">
        <f>'Schedule 1 Adjustments'!O94</f>
        <v>795370.62245206907</v>
      </c>
      <c r="H94" s="157">
        <f>'Schedule 1 Adjustments'!R94</f>
        <v>67936.851237308205</v>
      </c>
      <c r="I94" s="157">
        <f>'Schedule 1 Adjustments'!U94</f>
        <v>4193.8871000000008</v>
      </c>
      <c r="J94" s="160">
        <f t="shared" si="16"/>
        <v>3.7289282772690058E-11</v>
      </c>
      <c r="K94" s="33" t="str">
        <f>IF(ABS(J94)&gt;1,"Error - This row should sum to 0.","")</f>
        <v/>
      </c>
      <c r="M94" s="140"/>
    </row>
    <row r="95" spans="1:13" s="22" customFormat="1" x14ac:dyDescent="0.35">
      <c r="A95" s="161"/>
      <c r="B95" s="162"/>
      <c r="C95" s="162"/>
      <c r="D95" s="163"/>
      <c r="E95" s="164"/>
      <c r="F95" s="164"/>
      <c r="G95" s="164"/>
      <c r="H95" s="164"/>
      <c r="I95" s="164"/>
      <c r="J95" s="164"/>
      <c r="M95" s="140"/>
    </row>
    <row r="96" spans="1:13" s="63" customFormat="1" ht="15.5" x14ac:dyDescent="0.35">
      <c r="A96" s="155">
        <v>59</v>
      </c>
      <c r="B96" s="482" t="s">
        <v>242</v>
      </c>
      <c r="C96" s="483"/>
      <c r="D96" s="484"/>
      <c r="E96" s="169">
        <f>E94+E92</f>
        <v>0</v>
      </c>
      <c r="F96" s="169">
        <f t="shared" ref="F96:I96" si="17">F94+F92</f>
        <v>44572738.6934141</v>
      </c>
      <c r="G96" s="169">
        <f t="shared" si="17"/>
        <v>3659366.5359400613</v>
      </c>
      <c r="H96" s="169">
        <f t="shared" si="17"/>
        <v>431631.41618099029</v>
      </c>
      <c r="I96" s="169">
        <f t="shared" si="17"/>
        <v>326612.17446485109</v>
      </c>
      <c r="J96" s="169">
        <f t="shared" si="16"/>
        <v>48990348.82</v>
      </c>
      <c r="M96" s="141"/>
    </row>
    <row r="97" spans="1:13" s="22" customFormat="1" x14ac:dyDescent="0.35">
      <c r="A97" s="170"/>
      <c r="B97" s="170"/>
      <c r="C97" s="170"/>
      <c r="D97" s="170"/>
      <c r="E97" s="170"/>
      <c r="F97" s="170"/>
      <c r="G97" s="170"/>
      <c r="H97" s="170"/>
      <c r="I97" s="170"/>
      <c r="J97" s="170"/>
      <c r="M97" s="140"/>
    </row>
    <row r="98" spans="1:13" s="22" customFormat="1" x14ac:dyDescent="0.35">
      <c r="A98" s="155">
        <v>60</v>
      </c>
      <c r="B98" s="478" t="s">
        <v>4</v>
      </c>
      <c r="C98" s="478"/>
      <c r="D98" s="170"/>
      <c r="E98" s="170"/>
      <c r="F98" s="150">
        <f>'Schedule 1 Adjustments'!L98</f>
        <v>15110</v>
      </c>
      <c r="G98" s="170"/>
      <c r="H98" s="170"/>
      <c r="I98" s="170"/>
      <c r="J98" s="170"/>
      <c r="M98" s="140"/>
    </row>
    <row r="99" spans="1:13" s="22" customFormat="1" x14ac:dyDescent="0.35">
      <c r="A99" s="155">
        <v>61</v>
      </c>
      <c r="B99" s="478" t="s">
        <v>5</v>
      </c>
      <c r="C99" s="478"/>
      <c r="D99" s="170"/>
      <c r="E99" s="170"/>
      <c r="F99" s="158">
        <f>IFERROR(F96/F98,"")</f>
        <v>2949.8834343755193</v>
      </c>
      <c r="G99" s="170"/>
      <c r="H99" s="170"/>
      <c r="I99" s="170"/>
      <c r="J99" s="170"/>
      <c r="M99" s="140"/>
    </row>
    <row r="100" spans="1:13" s="22" customFormat="1" x14ac:dyDescent="0.35">
      <c r="A100" s="171"/>
      <c r="B100" s="170"/>
      <c r="C100" s="170"/>
      <c r="D100" s="170"/>
      <c r="E100" s="170"/>
      <c r="F100" s="170"/>
      <c r="G100" s="170"/>
      <c r="H100" s="170"/>
      <c r="I100" s="170"/>
      <c r="J100" s="170"/>
      <c r="M100" s="140"/>
    </row>
    <row r="101" spans="1:13" s="22" customFormat="1" x14ac:dyDescent="0.35">
      <c r="A101" s="155">
        <v>62</v>
      </c>
      <c r="B101" s="478" t="s">
        <v>307</v>
      </c>
      <c r="C101" s="478"/>
      <c r="D101" s="170"/>
      <c r="E101" s="170"/>
      <c r="F101" s="170"/>
      <c r="G101" s="170"/>
      <c r="H101" s="170"/>
      <c r="I101" s="170"/>
      <c r="J101" s="157">
        <f>'Schedule 1 Adjustments'!X101</f>
        <v>48990348.819999985</v>
      </c>
      <c r="M101" s="140"/>
    </row>
    <row r="102" spans="1:13" s="22" customFormat="1" x14ac:dyDescent="0.35">
      <c r="A102" s="155">
        <v>63</v>
      </c>
      <c r="B102" s="478" t="s">
        <v>10</v>
      </c>
      <c r="C102" s="478"/>
      <c r="D102" s="170"/>
      <c r="E102" s="170"/>
      <c r="F102" s="170"/>
      <c r="G102" s="170"/>
      <c r="H102" s="170"/>
      <c r="I102" s="170"/>
      <c r="J102" s="158">
        <f>ROUND(J96-J101,0)</f>
        <v>0</v>
      </c>
      <c r="K102" s="33" t="str">
        <f>IF(ABS(J102)&gt;1,"Error - This variance should be 0.","")</f>
        <v/>
      </c>
      <c r="M102" s="140"/>
    </row>
    <row r="103" spans="1:13" x14ac:dyDescent="0.35">
      <c r="A103" s="100"/>
      <c r="B103" s="100"/>
      <c r="C103" s="100"/>
      <c r="D103" s="100"/>
      <c r="E103" s="100"/>
      <c r="F103" s="100"/>
      <c r="G103" s="100"/>
      <c r="H103" s="100"/>
      <c r="I103" s="100"/>
      <c r="J103" s="100"/>
    </row>
    <row r="104" spans="1:13" x14ac:dyDescent="0.35">
      <c r="A104" s="155">
        <v>64</v>
      </c>
      <c r="B104" s="478" t="s">
        <v>202</v>
      </c>
      <c r="C104" s="478"/>
      <c r="D104" s="100"/>
      <c r="E104" s="172">
        <f>IFERROR(E92/SUM(F92:I92),"")</f>
        <v>0.30868284577294913</v>
      </c>
      <c r="F104" s="100"/>
      <c r="G104" s="100"/>
      <c r="H104" s="100"/>
      <c r="I104" s="100"/>
      <c r="J104" s="100"/>
    </row>
  </sheetData>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75">
    <mergeCell ref="B16:C16"/>
    <mergeCell ref="B10:C10"/>
    <mergeCell ref="A12:J12"/>
    <mergeCell ref="B13:C13"/>
    <mergeCell ref="B14:C14"/>
    <mergeCell ref="B15:C15"/>
    <mergeCell ref="B33:D33"/>
    <mergeCell ref="A18:J18"/>
    <mergeCell ref="B19:C19"/>
    <mergeCell ref="B20:C20"/>
    <mergeCell ref="B21:C21"/>
    <mergeCell ref="A23:J23"/>
    <mergeCell ref="B24:D24"/>
    <mergeCell ref="B25:D25"/>
    <mergeCell ref="A27:J27"/>
    <mergeCell ref="B28:D28"/>
    <mergeCell ref="B30:D30"/>
    <mergeCell ref="B31:D31"/>
    <mergeCell ref="B51:D51"/>
    <mergeCell ref="A35:J35"/>
    <mergeCell ref="B36:D36"/>
    <mergeCell ref="B37:D37"/>
    <mergeCell ref="B39:D39"/>
    <mergeCell ref="B41:D41"/>
    <mergeCell ref="A43:J43"/>
    <mergeCell ref="B44:D44"/>
    <mergeCell ref="B45:D45"/>
    <mergeCell ref="B46:D46"/>
    <mergeCell ref="B47:D47"/>
    <mergeCell ref="B48:D48"/>
    <mergeCell ref="B49:D49"/>
    <mergeCell ref="B50:D50"/>
    <mergeCell ref="B64:D64"/>
    <mergeCell ref="B52:G52"/>
    <mergeCell ref="A53:J53"/>
    <mergeCell ref="B54:D54"/>
    <mergeCell ref="B55:D55"/>
    <mergeCell ref="B56:D56"/>
    <mergeCell ref="B57:D57"/>
    <mergeCell ref="B58:D58"/>
    <mergeCell ref="A60:J60"/>
    <mergeCell ref="B61:D61"/>
    <mergeCell ref="B62:D62"/>
    <mergeCell ref="B63:D63"/>
    <mergeCell ref="B77:D77"/>
    <mergeCell ref="B65:D65"/>
    <mergeCell ref="B66:D66"/>
    <mergeCell ref="B67:D67"/>
    <mergeCell ref="B68:D68"/>
    <mergeCell ref="A70:J70"/>
    <mergeCell ref="B71:D71"/>
    <mergeCell ref="B72:D72"/>
    <mergeCell ref="B73:D73"/>
    <mergeCell ref="B74:D74"/>
    <mergeCell ref="B75:D75"/>
    <mergeCell ref="B76:D76"/>
    <mergeCell ref="B92:D92"/>
    <mergeCell ref="B78:D78"/>
    <mergeCell ref="B79:D79"/>
    <mergeCell ref="A81:J81"/>
    <mergeCell ref="B82:D82"/>
    <mergeCell ref="B83:D83"/>
    <mergeCell ref="B84:D84"/>
    <mergeCell ref="B85:D85"/>
    <mergeCell ref="B86:D86"/>
    <mergeCell ref="A88:J88"/>
    <mergeCell ref="B89:D89"/>
    <mergeCell ref="B90:D90"/>
    <mergeCell ref="B104:C104"/>
    <mergeCell ref="B94:D94"/>
    <mergeCell ref="B96:D96"/>
    <mergeCell ref="B98:C98"/>
    <mergeCell ref="B99:C99"/>
    <mergeCell ref="B101:C101"/>
    <mergeCell ref="B102:C102"/>
  </mergeCells>
  <pageMargins left="0.7" right="0.7" top="0.75" bottom="0.75" header="0.3" footer="0.3"/>
  <pageSetup orientation="portrait"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8971D"/>
  </sheetPr>
  <dimension ref="A1:Y96"/>
  <sheetViews>
    <sheetView workbookViewId="0"/>
  </sheetViews>
  <sheetFormatPr defaultColWidth="9.1796875" defaultRowHeight="14.5" x14ac:dyDescent="0.35"/>
  <cols>
    <col min="1" max="1" width="6.81640625" customWidth="1"/>
    <col min="2" max="2" width="16" customWidth="1"/>
    <col min="3" max="3" width="29.1796875" customWidth="1"/>
    <col min="4" max="6" width="19" customWidth="1"/>
    <col min="7" max="9" width="21.1796875" customWidth="1"/>
    <col min="10" max="10" width="28.453125" customWidth="1"/>
    <col min="11" max="11" width="32.54296875" customWidth="1"/>
    <col min="12" max="12" width="37.453125" customWidth="1"/>
  </cols>
  <sheetData>
    <row r="1" spans="1:12" ht="26" x14ac:dyDescent="0.6">
      <c r="A1" s="3" t="s">
        <v>774</v>
      </c>
    </row>
    <row r="2" spans="1:12" ht="21" x14ac:dyDescent="0.5">
      <c r="A2" s="2" t="s">
        <v>772</v>
      </c>
    </row>
    <row r="3" spans="1:12" ht="25" customHeight="1" x14ac:dyDescent="0.5">
      <c r="A3" s="494" t="s">
        <v>676</v>
      </c>
      <c r="B3" s="494"/>
      <c r="C3" s="494"/>
      <c r="D3" s="494"/>
      <c r="E3" s="494"/>
      <c r="F3" s="494"/>
      <c r="G3" s="494"/>
      <c r="H3" s="494"/>
      <c r="I3" s="494"/>
      <c r="J3" s="494"/>
    </row>
    <row r="4" spans="1:12" ht="25" customHeight="1" x14ac:dyDescent="0.5">
      <c r="A4" s="243" t="str">
        <f>Results!A4</f>
        <v>Final Adjustments</v>
      </c>
      <c r="B4" s="361"/>
      <c r="C4" s="361"/>
      <c r="D4" s="361"/>
      <c r="E4" s="361"/>
      <c r="F4" s="361"/>
      <c r="G4" s="361"/>
      <c r="H4" s="361"/>
      <c r="I4" s="361"/>
      <c r="J4" s="361"/>
    </row>
    <row r="5" spans="1:12" x14ac:dyDescent="0.35">
      <c r="H5" s="61"/>
      <c r="J5" s="130"/>
      <c r="K5" s="130"/>
      <c r="L5" s="130"/>
    </row>
    <row r="6" spans="1:12" x14ac:dyDescent="0.35">
      <c r="A6" s="1" t="s">
        <v>773</v>
      </c>
      <c r="C6" s="421" t="str">
        <f>Results!$C$6</f>
        <v>Health Solutions</v>
      </c>
      <c r="H6" s="48"/>
      <c r="J6" s="40"/>
      <c r="K6" s="40"/>
      <c r="L6" s="40"/>
    </row>
    <row r="7" spans="1:12" x14ac:dyDescent="0.35">
      <c r="A7" s="1" t="s">
        <v>0</v>
      </c>
      <c r="C7" s="35">
        <f>Results!$C$7</f>
        <v>45473</v>
      </c>
      <c r="D7" s="35"/>
      <c r="E7" s="35"/>
      <c r="F7" s="35"/>
      <c r="G7" s="35"/>
      <c r="H7" s="60"/>
      <c r="J7" s="40"/>
      <c r="K7" s="40"/>
      <c r="L7" s="40"/>
    </row>
    <row r="8" spans="1:12" x14ac:dyDescent="0.35">
      <c r="H8" s="48"/>
      <c r="J8" s="40"/>
      <c r="K8" s="40"/>
      <c r="L8" s="40"/>
    </row>
    <row r="9" spans="1:12" x14ac:dyDescent="0.35">
      <c r="A9" s="1" t="s">
        <v>264</v>
      </c>
      <c r="D9" s="117">
        <f>'Schedule 1A Adjustments'!E8</f>
        <v>332850</v>
      </c>
      <c r="F9" s="78"/>
      <c r="G9" s="48"/>
      <c r="H9" s="48"/>
      <c r="J9" s="40"/>
      <c r="K9" s="40"/>
      <c r="L9" s="40"/>
    </row>
    <row r="10" spans="1:12" ht="6.75" customHeight="1" x14ac:dyDescent="0.35">
      <c r="H10" s="48"/>
      <c r="J10" s="40"/>
      <c r="K10" s="40"/>
      <c r="L10" s="40"/>
    </row>
    <row r="11" spans="1:12" x14ac:dyDescent="0.35">
      <c r="A11" s="1" t="s">
        <v>265</v>
      </c>
      <c r="D11" s="77" t="s">
        <v>266</v>
      </c>
      <c r="E11" s="78"/>
      <c r="F11" s="78"/>
      <c r="H11" s="48"/>
      <c r="J11" s="40"/>
      <c r="K11" s="40"/>
      <c r="L11" s="40"/>
    </row>
    <row r="12" spans="1:12" x14ac:dyDescent="0.35">
      <c r="A12" s="1"/>
      <c r="D12" s="78"/>
      <c r="E12" s="78"/>
      <c r="F12" s="78"/>
      <c r="H12" s="48"/>
      <c r="J12" s="131"/>
    </row>
    <row r="13" spans="1:12" x14ac:dyDescent="0.35">
      <c r="A13" s="1" t="s">
        <v>267</v>
      </c>
      <c r="D13" s="48"/>
      <c r="E13" s="48"/>
      <c r="F13" s="48"/>
      <c r="J13" s="131"/>
    </row>
    <row r="14" spans="1:12" ht="15" customHeight="1" x14ac:dyDescent="0.35">
      <c r="A14" s="495" t="s">
        <v>488</v>
      </c>
      <c r="B14" s="495"/>
      <c r="C14" s="495"/>
      <c r="D14" s="495"/>
      <c r="E14" s="495"/>
      <c r="F14" s="495"/>
      <c r="G14" s="495"/>
      <c r="H14" s="495"/>
      <c r="I14" s="79"/>
      <c r="J14" s="62"/>
    </row>
    <row r="15" spans="1:12" ht="15" customHeight="1" x14ac:dyDescent="0.35">
      <c r="A15" s="495"/>
      <c r="B15" s="495"/>
      <c r="C15" s="495"/>
      <c r="D15" s="495"/>
      <c r="E15" s="495"/>
      <c r="F15" s="495"/>
      <c r="G15" s="495"/>
      <c r="H15" s="495"/>
      <c r="I15" s="79"/>
      <c r="J15" s="62"/>
    </row>
    <row r="16" spans="1:12" ht="15" customHeight="1" x14ac:dyDescent="0.35">
      <c r="A16" s="495"/>
      <c r="B16" s="495"/>
      <c r="C16" s="495"/>
      <c r="D16" s="495"/>
      <c r="E16" s="495"/>
      <c r="F16" s="495"/>
      <c r="G16" s="495"/>
      <c r="H16" s="495"/>
      <c r="I16" s="79"/>
      <c r="J16" s="62"/>
    </row>
    <row r="17" spans="1:9" x14ac:dyDescent="0.35">
      <c r="A17" s="495"/>
      <c r="B17" s="495"/>
      <c r="C17" s="495"/>
      <c r="D17" s="495"/>
      <c r="E17" s="495"/>
      <c r="F17" s="495"/>
      <c r="G17" s="495"/>
      <c r="H17" s="495"/>
      <c r="I17" s="62"/>
    </row>
    <row r="18" spans="1:9" x14ac:dyDescent="0.35">
      <c r="A18" s="174"/>
      <c r="B18" s="174"/>
      <c r="C18" s="174"/>
      <c r="D18" s="174"/>
      <c r="E18" s="174"/>
      <c r="F18" s="174"/>
      <c r="G18" s="174"/>
      <c r="H18" s="174"/>
      <c r="I18" s="127"/>
    </row>
    <row r="19" spans="1:9" x14ac:dyDescent="0.35">
      <c r="A19" s="174"/>
      <c r="B19" s="496">
        <v>1</v>
      </c>
      <c r="C19" s="497"/>
      <c r="D19" s="175">
        <v>2</v>
      </c>
      <c r="E19" s="175">
        <v>3</v>
      </c>
      <c r="F19" s="175">
        <v>4</v>
      </c>
      <c r="G19" s="175">
        <v>5</v>
      </c>
      <c r="H19" s="175">
        <v>6</v>
      </c>
      <c r="I19" s="127"/>
    </row>
    <row r="20" spans="1:9" s="4" customFormat="1" ht="58" x14ac:dyDescent="0.35">
      <c r="A20" s="176"/>
      <c r="B20" s="498" t="s">
        <v>599</v>
      </c>
      <c r="C20" s="498"/>
      <c r="D20" s="151" t="s">
        <v>719</v>
      </c>
      <c r="E20" s="151" t="s">
        <v>720</v>
      </c>
      <c r="F20" s="151" t="s">
        <v>721</v>
      </c>
      <c r="G20" s="151" t="s">
        <v>677</v>
      </c>
      <c r="H20" s="151" t="s">
        <v>678</v>
      </c>
      <c r="I20" s="36"/>
    </row>
    <row r="21" spans="1:9" x14ac:dyDescent="0.35">
      <c r="A21" s="177">
        <v>1</v>
      </c>
      <c r="B21" s="493" t="str">
        <f>'Schedule 1A Adjustments'!B20:C20</f>
        <v>N/A</v>
      </c>
      <c r="C21" s="493"/>
      <c r="D21" s="178" t="str">
        <f>'Schedule 1A Adjustments'!D20</f>
        <v/>
      </c>
      <c r="E21" s="179" t="str">
        <f>'Schedule 1A Adjustments'!E20</f>
        <v/>
      </c>
      <c r="F21" s="179" t="str">
        <f>'Schedule 1A Adjustments'!F20</f>
        <v/>
      </c>
      <c r="G21" s="180">
        <f>'Schedule 1A Adjustments'!I20</f>
        <v>0</v>
      </c>
      <c r="H21" s="181">
        <f>IF(G21-$D$9&gt;0,G21-$D$9,0)</f>
        <v>0</v>
      </c>
      <c r="I21" s="36"/>
    </row>
    <row r="22" spans="1:9" x14ac:dyDescent="0.35">
      <c r="A22" s="177">
        <f>A21+1</f>
        <v>2</v>
      </c>
      <c r="B22" s="493" t="str">
        <f>'Schedule 1A Adjustments'!B21:C21</f>
        <v/>
      </c>
      <c r="C22" s="493"/>
      <c r="D22" s="178" t="str">
        <f>'Schedule 1A Adjustments'!D21</f>
        <v/>
      </c>
      <c r="E22" s="179" t="str">
        <f>'Schedule 1A Adjustments'!E21</f>
        <v/>
      </c>
      <c r="F22" s="179" t="str">
        <f>'Schedule 1A Adjustments'!F21</f>
        <v/>
      </c>
      <c r="G22" s="180">
        <f>'Schedule 1A Adjustments'!I21</f>
        <v>0</v>
      </c>
      <c r="H22" s="181">
        <f>IF(G22-$D$9&gt;0,G22-$D$9,0)</f>
        <v>0</v>
      </c>
      <c r="I22" s="48"/>
    </row>
    <row r="23" spans="1:9" x14ac:dyDescent="0.35">
      <c r="A23" s="177">
        <f t="shared" ref="A23:A31" si="0">A22+1</f>
        <v>3</v>
      </c>
      <c r="B23" s="493" t="str">
        <f>'Schedule 1A Adjustments'!B22:C22</f>
        <v/>
      </c>
      <c r="C23" s="493"/>
      <c r="D23" s="178" t="str">
        <f>'Schedule 1A Adjustments'!D22</f>
        <v/>
      </c>
      <c r="E23" s="179" t="str">
        <f>'Schedule 1A Adjustments'!E22</f>
        <v/>
      </c>
      <c r="F23" s="179" t="str">
        <f>'Schedule 1A Adjustments'!F22</f>
        <v/>
      </c>
      <c r="G23" s="180">
        <f>'Schedule 1A Adjustments'!I22</f>
        <v>0</v>
      </c>
      <c r="H23" s="181">
        <f>IF(G23-$D$9&gt;0,G23-$D$9,0)</f>
        <v>0</v>
      </c>
      <c r="I23" s="48"/>
    </row>
    <row r="24" spans="1:9" x14ac:dyDescent="0.35">
      <c r="A24" s="177">
        <f t="shared" si="0"/>
        <v>4</v>
      </c>
      <c r="B24" s="493" t="str">
        <f>'Schedule 1A Adjustments'!B23:C23</f>
        <v/>
      </c>
      <c r="C24" s="493"/>
      <c r="D24" s="178" t="str">
        <f>'Schedule 1A Adjustments'!D23</f>
        <v/>
      </c>
      <c r="E24" s="179" t="str">
        <f>'Schedule 1A Adjustments'!E23</f>
        <v/>
      </c>
      <c r="F24" s="179" t="str">
        <f>'Schedule 1A Adjustments'!F23</f>
        <v/>
      </c>
      <c r="G24" s="180">
        <f>'Schedule 1A Adjustments'!I23</f>
        <v>0</v>
      </c>
      <c r="H24" s="181">
        <f>IF(G24-$D$9&gt;0,G24-$D$9,0)</f>
        <v>0</v>
      </c>
      <c r="I24" s="48"/>
    </row>
    <row r="25" spans="1:9" x14ac:dyDescent="0.35">
      <c r="A25" s="177">
        <f t="shared" si="0"/>
        <v>5</v>
      </c>
      <c r="B25" s="493" t="str">
        <f>'Schedule 1A Adjustments'!B24:C24</f>
        <v/>
      </c>
      <c r="C25" s="493"/>
      <c r="D25" s="178" t="str">
        <f>'Schedule 1A Adjustments'!D24</f>
        <v/>
      </c>
      <c r="E25" s="179" t="str">
        <f>'Schedule 1A Adjustments'!E24</f>
        <v/>
      </c>
      <c r="F25" s="179" t="str">
        <f>'Schedule 1A Adjustments'!F24</f>
        <v/>
      </c>
      <c r="G25" s="180">
        <f>'Schedule 1A Adjustments'!I24</f>
        <v>0</v>
      </c>
      <c r="H25" s="181">
        <f>IF(G25-$D$9&gt;0,G25-$D$9,0)</f>
        <v>0</v>
      </c>
    </row>
    <row r="26" spans="1:9" x14ac:dyDescent="0.35">
      <c r="A26" s="182">
        <f t="shared" si="0"/>
        <v>6</v>
      </c>
      <c r="B26" s="318" t="s">
        <v>598</v>
      </c>
      <c r="C26" s="100"/>
      <c r="D26" s="100"/>
      <c r="E26" s="100"/>
      <c r="F26" s="100"/>
      <c r="G26" s="100"/>
      <c r="H26" s="183">
        <f>SUM(H21:H25)</f>
        <v>0</v>
      </c>
      <c r="I26" s="48"/>
    </row>
    <row r="27" spans="1:9" x14ac:dyDescent="0.35">
      <c r="A27" s="100"/>
      <c r="B27" s="100"/>
      <c r="C27" s="100"/>
      <c r="D27" s="100"/>
      <c r="E27" s="100"/>
      <c r="F27" s="100"/>
      <c r="G27" s="100"/>
      <c r="H27" s="100"/>
    </row>
    <row r="28" spans="1:9" x14ac:dyDescent="0.35">
      <c r="A28" s="182">
        <v>7</v>
      </c>
      <c r="B28" s="100"/>
      <c r="C28" s="100"/>
      <c r="D28" s="100"/>
      <c r="E28" s="100"/>
      <c r="F28" s="100"/>
      <c r="G28" s="184" t="s">
        <v>184</v>
      </c>
      <c r="H28" s="185">
        <f>SUMIF($D$21:$D$25,2,$H$21:$H$25)</f>
        <v>0</v>
      </c>
    </row>
    <row r="29" spans="1:9" x14ac:dyDescent="0.35">
      <c r="A29" s="182">
        <v>8</v>
      </c>
      <c r="B29" s="100"/>
      <c r="C29" s="100"/>
      <c r="D29" s="100"/>
      <c r="E29" s="100"/>
      <c r="F29" s="100"/>
      <c r="G29" s="184" t="s">
        <v>182</v>
      </c>
      <c r="H29" s="185">
        <f>SUMIF($D$21:$D$25,3,$H$21:$H$25)</f>
        <v>0</v>
      </c>
    </row>
    <row r="30" spans="1:9" x14ac:dyDescent="0.35">
      <c r="A30" s="182">
        <v>9</v>
      </c>
      <c r="B30" s="100"/>
      <c r="C30" s="100"/>
      <c r="D30" s="100"/>
      <c r="E30" s="100"/>
      <c r="F30" s="100"/>
      <c r="G30" s="184" t="s">
        <v>183</v>
      </c>
      <c r="H30" s="185">
        <f>SUMIF($D$21:$D$25,4,$H$21:$H$25)</f>
        <v>0</v>
      </c>
    </row>
    <row r="31" spans="1:9" x14ac:dyDescent="0.35">
      <c r="A31" s="182">
        <f t="shared" si="0"/>
        <v>10</v>
      </c>
      <c r="B31" s="100"/>
      <c r="C31" s="100"/>
      <c r="D31" s="100"/>
      <c r="E31" s="100"/>
      <c r="F31" s="100"/>
      <c r="G31" s="184" t="s">
        <v>185</v>
      </c>
      <c r="H31" s="185">
        <f>SUMIF($D$21:$D$25,5,$H$21:$H$25)</f>
        <v>0</v>
      </c>
    </row>
    <row r="32" spans="1:9" x14ac:dyDescent="0.35">
      <c r="A32" s="100"/>
      <c r="B32" s="100"/>
      <c r="C32" s="100"/>
      <c r="D32" s="100"/>
      <c r="E32" s="100"/>
      <c r="F32" s="100"/>
      <c r="G32" s="100"/>
      <c r="H32" s="186" t="str">
        <f>IF(SUM(H28:H31)&lt;&gt;H26,"error","")</f>
        <v/>
      </c>
    </row>
    <row r="33" spans="1:25" ht="15.65" customHeight="1" x14ac:dyDescent="0.35">
      <c r="A33" s="100"/>
      <c r="B33" s="187"/>
      <c r="C33" s="187"/>
      <c r="D33" s="187"/>
      <c r="E33" s="187"/>
      <c r="F33" s="187"/>
      <c r="G33" s="187"/>
      <c r="H33" s="188" t="s">
        <v>269</v>
      </c>
      <c r="I33" s="80"/>
      <c r="J33" s="80"/>
      <c r="K33" s="64"/>
      <c r="U33" s="65"/>
      <c r="V33" s="65"/>
      <c r="W33" s="65"/>
      <c r="X33" s="65"/>
      <c r="Y33" s="65"/>
    </row>
    <row r="34" spans="1:25" x14ac:dyDescent="0.35">
      <c r="A34" s="100"/>
      <c r="B34" s="100"/>
      <c r="C34" s="100"/>
      <c r="D34" s="100"/>
      <c r="E34" s="100"/>
      <c r="F34" s="100"/>
      <c r="G34" s="100"/>
      <c r="H34" s="100"/>
    </row>
    <row r="35" spans="1:25" x14ac:dyDescent="0.35">
      <c r="A35" s="100"/>
      <c r="B35" s="100"/>
      <c r="C35" s="100"/>
      <c r="D35" s="100"/>
      <c r="E35" s="100"/>
      <c r="F35" s="100"/>
      <c r="G35" s="100"/>
      <c r="H35" s="100"/>
    </row>
    <row r="36" spans="1:25" x14ac:dyDescent="0.35">
      <c r="A36" s="100"/>
      <c r="B36" s="100"/>
      <c r="C36" s="100"/>
      <c r="D36" s="100"/>
      <c r="E36" s="100"/>
      <c r="F36" s="100"/>
      <c r="G36" s="100"/>
      <c r="H36" s="100"/>
    </row>
    <row r="37" spans="1:25" x14ac:dyDescent="0.35">
      <c r="A37" s="100"/>
      <c r="B37" s="100"/>
      <c r="C37" s="100"/>
      <c r="D37" s="100"/>
      <c r="E37" s="100"/>
      <c r="F37" s="100"/>
      <c r="G37" s="100"/>
      <c r="H37" s="100"/>
    </row>
    <row r="38" spans="1:25" x14ac:dyDescent="0.35">
      <c r="A38" s="100"/>
      <c r="B38" s="100"/>
      <c r="C38" s="100"/>
      <c r="D38" s="100"/>
      <c r="E38" s="100"/>
      <c r="F38" s="100"/>
      <c r="G38" s="100"/>
      <c r="H38" s="100"/>
    </row>
    <row r="39" spans="1:25" x14ac:dyDescent="0.35">
      <c r="A39" s="100"/>
      <c r="B39" s="100"/>
      <c r="C39" s="100"/>
      <c r="D39" s="100"/>
      <c r="E39" s="100"/>
      <c r="F39" s="100"/>
      <c r="G39" s="100"/>
      <c r="H39" s="100"/>
    </row>
    <row r="40" spans="1:25" x14ac:dyDescent="0.35">
      <c r="A40" s="100"/>
      <c r="B40" s="100"/>
      <c r="C40" s="100"/>
      <c r="D40" s="100"/>
      <c r="E40" s="100"/>
      <c r="F40" s="100"/>
      <c r="G40" s="100"/>
      <c r="H40" s="100"/>
    </row>
    <row r="41" spans="1:25" x14ac:dyDescent="0.35">
      <c r="A41" s="100"/>
      <c r="B41" s="100"/>
      <c r="C41" s="100"/>
      <c r="D41" s="100"/>
      <c r="E41" s="100"/>
      <c r="F41" s="100"/>
      <c r="G41" s="100"/>
      <c r="H41" s="100"/>
    </row>
    <row r="42" spans="1:25" x14ac:dyDescent="0.35">
      <c r="A42" s="100"/>
      <c r="B42" s="100"/>
      <c r="C42" s="100"/>
      <c r="D42" s="100"/>
      <c r="E42" s="100"/>
      <c r="F42" s="100"/>
      <c r="G42" s="100"/>
      <c r="H42" s="100"/>
    </row>
    <row r="43" spans="1:25" x14ac:dyDescent="0.35">
      <c r="A43" s="100"/>
      <c r="B43" s="100"/>
      <c r="C43" s="100"/>
      <c r="D43" s="100"/>
      <c r="E43" s="100"/>
      <c r="F43" s="100"/>
      <c r="G43" s="100"/>
      <c r="H43" s="100"/>
    </row>
    <row r="44" spans="1:25" x14ac:dyDescent="0.35">
      <c r="A44" s="100"/>
      <c r="B44" s="100"/>
      <c r="C44" s="100"/>
      <c r="D44" s="100"/>
      <c r="E44" s="100"/>
      <c r="F44" s="100"/>
      <c r="G44" s="100"/>
      <c r="H44" s="100"/>
    </row>
    <row r="45" spans="1:25" x14ac:dyDescent="0.35">
      <c r="A45" s="100"/>
      <c r="B45" s="100"/>
      <c r="C45" s="100"/>
      <c r="D45" s="100"/>
      <c r="E45" s="100"/>
      <c r="F45" s="100"/>
      <c r="G45" s="100"/>
      <c r="H45" s="100"/>
    </row>
    <row r="46" spans="1:25" x14ac:dyDescent="0.35">
      <c r="A46" s="100"/>
      <c r="B46" s="100"/>
      <c r="C46" s="100"/>
      <c r="D46" s="100"/>
      <c r="E46" s="100"/>
      <c r="F46" s="100"/>
      <c r="G46" s="100"/>
      <c r="H46" s="100"/>
    </row>
    <row r="47" spans="1:25" x14ac:dyDescent="0.35">
      <c r="A47" s="100"/>
      <c r="B47" s="100"/>
      <c r="C47" s="100"/>
      <c r="D47" s="100"/>
      <c r="E47" s="100"/>
      <c r="F47" s="100"/>
      <c r="G47" s="100"/>
      <c r="H47" s="100"/>
    </row>
    <row r="48" spans="1:25"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68" spans="1:8" x14ac:dyDescent="0.35">
      <c r="A68" s="100"/>
      <c r="B68" s="100"/>
      <c r="C68" s="100"/>
      <c r="D68" s="100"/>
      <c r="E68" s="100"/>
      <c r="F68" s="100"/>
      <c r="G68" s="100"/>
      <c r="H68" s="100"/>
    </row>
    <row r="93" spans="4:4" hidden="1" x14ac:dyDescent="0.35">
      <c r="D93">
        <v>2</v>
      </c>
    </row>
    <row r="94" spans="4:4" hidden="1" x14ac:dyDescent="0.35">
      <c r="D94">
        <v>3</v>
      </c>
    </row>
    <row r="95" spans="4:4" hidden="1" x14ac:dyDescent="0.35">
      <c r="D95">
        <v>4</v>
      </c>
    </row>
    <row r="96" spans="4:4" hidden="1" x14ac:dyDescent="0.35">
      <c r="D96">
        <v>5</v>
      </c>
    </row>
  </sheetData>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9">
    <mergeCell ref="B23:C23"/>
    <mergeCell ref="B24:C24"/>
    <mergeCell ref="B25:C25"/>
    <mergeCell ref="A3:J3"/>
    <mergeCell ref="A14:H17"/>
    <mergeCell ref="B19:C19"/>
    <mergeCell ref="B20:C20"/>
    <mergeCell ref="B21:C21"/>
    <mergeCell ref="B22:C22"/>
  </mergeCells>
  <pageMargins left="0.7" right="0.7" top="0.75" bottom="0.75" header="0.3" footer="0.3"/>
  <pageSetup orientation="portrait" horizontalDpi="1200" verticalDpi="120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8971D"/>
  </sheetPr>
  <dimension ref="A1:D45"/>
  <sheetViews>
    <sheetView workbookViewId="0"/>
  </sheetViews>
  <sheetFormatPr defaultColWidth="9.1796875" defaultRowHeight="14.5" x14ac:dyDescent="0.35"/>
  <cols>
    <col min="1" max="1" width="10.26953125" customWidth="1"/>
    <col min="2" max="2" width="12.7265625" customWidth="1"/>
    <col min="3" max="3" width="48.54296875" customWidth="1"/>
    <col min="4" max="4" width="16.1796875" customWidth="1"/>
  </cols>
  <sheetData>
    <row r="1" spans="1:4" ht="26" x14ac:dyDescent="0.6">
      <c r="A1" s="3" t="s">
        <v>774</v>
      </c>
      <c r="B1" s="3"/>
    </row>
    <row r="2" spans="1:4" ht="21" x14ac:dyDescent="0.5">
      <c r="A2" s="2" t="s">
        <v>772</v>
      </c>
      <c r="B2" s="2"/>
    </row>
    <row r="3" spans="1:4" ht="25" customHeight="1" x14ac:dyDescent="0.5">
      <c r="A3" s="5" t="s">
        <v>679</v>
      </c>
    </row>
    <row r="4" spans="1:4" ht="25" customHeight="1" x14ac:dyDescent="0.5">
      <c r="A4" s="243" t="str">
        <f>Results!A4</f>
        <v>Final Adjustments</v>
      </c>
    </row>
    <row r="6" spans="1:4" x14ac:dyDescent="0.35">
      <c r="A6" s="1" t="s">
        <v>773</v>
      </c>
      <c r="C6" s="421" t="str">
        <f>Results!$C$6</f>
        <v>Health Solutions</v>
      </c>
    </row>
    <row r="7" spans="1:4" x14ac:dyDescent="0.35">
      <c r="A7" s="1" t="s">
        <v>0</v>
      </c>
      <c r="C7" s="35">
        <f>Results!$C$7</f>
        <v>45473</v>
      </c>
      <c r="D7" s="56"/>
    </row>
    <row r="9" spans="1:4" ht="15" customHeight="1" x14ac:dyDescent="0.35">
      <c r="A9" t="s">
        <v>249</v>
      </c>
    </row>
    <row r="10" spans="1:4" ht="15" customHeight="1" x14ac:dyDescent="0.35"/>
    <row r="11" spans="1:4" ht="15" customHeight="1" x14ac:dyDescent="0.35">
      <c r="A11" t="s">
        <v>244</v>
      </c>
      <c r="B11" s="500" t="str">
        <f>'As-Filed Schedule 1B'!B10</f>
        <v>The cost of employee benefits such as workers comp insurance, unemployment insurance, medical benefits and other employee benefits are allocated to programs based on the number of FTE's in each program.</v>
      </c>
      <c r="C11" s="500"/>
      <c r="D11" s="500"/>
    </row>
    <row r="12" spans="1:4" ht="15" customHeight="1" x14ac:dyDescent="0.35">
      <c r="B12" s="500"/>
      <c r="C12" s="500"/>
      <c r="D12" s="500"/>
    </row>
    <row r="13" spans="1:4" x14ac:dyDescent="0.35">
      <c r="B13" s="500"/>
      <c r="C13" s="500"/>
      <c r="D13" s="500"/>
    </row>
    <row r="14" spans="1:4" x14ac:dyDescent="0.35">
      <c r="B14" s="500"/>
      <c r="C14" s="500"/>
      <c r="D14" s="500"/>
    </row>
    <row r="16" spans="1:4" ht="15" customHeight="1" x14ac:dyDescent="0.35">
      <c r="A16" t="s">
        <v>245</v>
      </c>
      <c r="B16" s="499" t="str">
        <f>'As-Filed Schedule 1B'!B15</f>
        <v>The costs of IT purchases (hardware, software and IT supplies) that benefit the company (i.e. servers and other network hardware and software) and all depreciation are allocated to programs based on the number of FTE's in each program.</v>
      </c>
      <c r="C16" s="499"/>
      <c r="D16" s="499"/>
    </row>
    <row r="17" spans="1:4" ht="15" customHeight="1" x14ac:dyDescent="0.35">
      <c r="B17" s="499"/>
      <c r="C17" s="499"/>
      <c r="D17" s="499"/>
    </row>
    <row r="18" spans="1:4" x14ac:dyDescent="0.35">
      <c r="B18" s="499"/>
      <c r="C18" s="499"/>
      <c r="D18" s="499"/>
    </row>
    <row r="19" spans="1:4" x14ac:dyDescent="0.35">
      <c r="B19" s="499"/>
      <c r="C19" s="499"/>
      <c r="D19" s="499"/>
    </row>
    <row r="21" spans="1:4" ht="15" customHeight="1" x14ac:dyDescent="0.35">
      <c r="A21" t="s">
        <v>246</v>
      </c>
      <c r="B21" s="499" t="str">
        <f>'As-Filed Schedule 1B'!B20</f>
        <v>The costs to maintain buildings and their related grounds are allocated to programs based on the number of FTE's from each program that occupies the respective buildings.</v>
      </c>
      <c r="C21" s="499"/>
      <c r="D21" s="499"/>
    </row>
    <row r="22" spans="1:4" ht="15" customHeight="1" x14ac:dyDescent="0.35">
      <c r="B22" s="499"/>
      <c r="C22" s="499"/>
      <c r="D22" s="499"/>
    </row>
    <row r="23" spans="1:4" x14ac:dyDescent="0.35">
      <c r="B23" s="499"/>
      <c r="C23" s="499"/>
      <c r="D23" s="499"/>
    </row>
    <row r="24" spans="1:4" x14ac:dyDescent="0.35">
      <c r="B24" s="499"/>
      <c r="C24" s="499"/>
      <c r="D24" s="499"/>
    </row>
    <row r="26" spans="1:4" ht="15" customHeight="1" x14ac:dyDescent="0.35">
      <c r="A26" t="s">
        <v>247</v>
      </c>
      <c r="B26" s="499" t="str">
        <f>'As-Filed Schedule 1B'!B25</f>
        <v>The indirect cost allocated to unallowable costs (i.e. marketing and advertising) is based on the actual costs to administer the unallowable items.</v>
      </c>
      <c r="C26" s="499"/>
      <c r="D26" s="499"/>
    </row>
    <row r="27" spans="1:4" ht="15" customHeight="1" x14ac:dyDescent="0.35">
      <c r="B27" s="499"/>
      <c r="C27" s="499"/>
      <c r="D27" s="499"/>
    </row>
    <row r="28" spans="1:4" x14ac:dyDescent="0.35">
      <c r="B28" s="499"/>
      <c r="C28" s="499"/>
      <c r="D28" s="499"/>
    </row>
    <row r="29" spans="1:4" x14ac:dyDescent="0.35">
      <c r="B29" s="499"/>
      <c r="C29" s="499"/>
      <c r="D29" s="499"/>
    </row>
    <row r="31" spans="1:4" ht="15" customHeight="1" x14ac:dyDescent="0.35">
      <c r="A31" t="s">
        <v>248</v>
      </c>
      <c r="B31" s="499" t="str">
        <f>'As-Filed Schedule 1B'!B30</f>
        <v>Costs of indirect programs (i.e. IT, business intelligence, finance, HR, etc.) are allocated to direct programs based on each direct program's percent of total direct program costs after the previous allocations.</v>
      </c>
      <c r="C31" s="499"/>
      <c r="D31" s="499"/>
    </row>
    <row r="32" spans="1:4" ht="15" customHeight="1" x14ac:dyDescent="0.35">
      <c r="B32" s="499"/>
      <c r="C32" s="499"/>
      <c r="D32" s="499"/>
    </row>
    <row r="33" spans="1:4" x14ac:dyDescent="0.35">
      <c r="B33" s="499"/>
      <c r="C33" s="499"/>
      <c r="D33" s="499"/>
    </row>
    <row r="34" spans="1:4" x14ac:dyDescent="0.35">
      <c r="B34" s="499"/>
      <c r="C34" s="499"/>
      <c r="D34" s="499"/>
    </row>
    <row r="36" spans="1:4" x14ac:dyDescent="0.35">
      <c r="A36" t="s">
        <v>205</v>
      </c>
      <c r="D36" s="118" t="str">
        <f>'As-Filed Schedule 1B'!D35</f>
        <v>Yes</v>
      </c>
    </row>
    <row r="38" spans="1:4" x14ac:dyDescent="0.35">
      <c r="A38" t="s">
        <v>206</v>
      </c>
    </row>
    <row r="39" spans="1:4" x14ac:dyDescent="0.35">
      <c r="A39" s="499">
        <f>'As-Filed Schedule 1B'!A38</f>
        <v>0</v>
      </c>
      <c r="B39" s="499"/>
      <c r="C39" s="499"/>
      <c r="D39" s="499"/>
    </row>
    <row r="40" spans="1:4" x14ac:dyDescent="0.35">
      <c r="A40" s="499"/>
      <c r="B40" s="499"/>
      <c r="C40" s="499"/>
      <c r="D40" s="499"/>
    </row>
    <row r="41" spans="1:4" x14ac:dyDescent="0.35">
      <c r="A41" s="499"/>
      <c r="B41" s="499"/>
      <c r="C41" s="499"/>
      <c r="D41" s="499"/>
    </row>
    <row r="42" spans="1:4" x14ac:dyDescent="0.35">
      <c r="A42" s="499"/>
      <c r="B42" s="499"/>
      <c r="C42" s="499"/>
      <c r="D42" s="499"/>
    </row>
    <row r="43" spans="1:4" x14ac:dyDescent="0.35">
      <c r="A43" s="499"/>
      <c r="B43" s="499"/>
      <c r="C43" s="499"/>
      <c r="D43" s="499"/>
    </row>
    <row r="44" spans="1:4" x14ac:dyDescent="0.35">
      <c r="A44" s="499"/>
      <c r="B44" s="499"/>
      <c r="C44" s="499"/>
      <c r="D44" s="499"/>
    </row>
    <row r="45" spans="1:4" x14ac:dyDescent="0.35">
      <c r="A45" s="499"/>
      <c r="B45" s="499"/>
      <c r="C45" s="499"/>
      <c r="D45" s="499"/>
    </row>
  </sheetData>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
    <mergeCell ref="A39:D45"/>
    <mergeCell ref="B11:D14"/>
    <mergeCell ref="B16:D19"/>
    <mergeCell ref="B21:D24"/>
    <mergeCell ref="B26:D29"/>
    <mergeCell ref="B31:D34"/>
  </mergeCells>
  <pageMargins left="0.7" right="0.7" top="0.75" bottom="0.75" header="0.3" footer="0.3"/>
  <pageSetup orientation="portrait" horizontalDpi="1200" verticalDpi="120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8971D"/>
  </sheetPr>
  <dimension ref="A1:X100"/>
  <sheetViews>
    <sheetView workbookViewId="0"/>
  </sheetViews>
  <sheetFormatPr defaultColWidth="9.1796875" defaultRowHeight="14.5" x14ac:dyDescent="0.35"/>
  <cols>
    <col min="1" max="1" width="6.54296875" customWidth="1"/>
    <col min="2" max="2" width="17.1796875" customWidth="1"/>
    <col min="3" max="3" width="12.54296875" bestFit="1" customWidth="1"/>
    <col min="4" max="6" width="20.26953125" customWidth="1"/>
    <col min="7" max="7" width="10.54296875" bestFit="1" customWidth="1"/>
    <col min="8" max="8" width="68.81640625" style="69" customWidth="1"/>
    <col min="9" max="9" width="35" bestFit="1" customWidth="1"/>
    <col min="11" max="11" width="43.81640625" customWidth="1"/>
    <col min="12" max="13" width="32.7265625" customWidth="1"/>
  </cols>
  <sheetData>
    <row r="1" spans="1:24" ht="26" x14ac:dyDescent="0.6">
      <c r="A1" s="3" t="s">
        <v>774</v>
      </c>
      <c r="B1" s="3"/>
      <c r="C1" s="3"/>
    </row>
    <row r="2" spans="1:24" ht="21" x14ac:dyDescent="0.5">
      <c r="A2" s="2" t="s">
        <v>772</v>
      </c>
      <c r="B2" s="2"/>
      <c r="C2" s="2"/>
    </row>
    <row r="3" spans="1:24" ht="25" customHeight="1" x14ac:dyDescent="0.5">
      <c r="A3" s="5" t="s">
        <v>680</v>
      </c>
    </row>
    <row r="4" spans="1:24" ht="25" customHeight="1" x14ac:dyDescent="0.5">
      <c r="A4" s="243" t="str">
        <f>Results!A4</f>
        <v>Final Adjustments</v>
      </c>
    </row>
    <row r="6" spans="1:24" x14ac:dyDescent="0.35">
      <c r="A6" s="1" t="s">
        <v>773</v>
      </c>
      <c r="C6" s="421" t="str">
        <f>Results!$C$6</f>
        <v>Health Solutions</v>
      </c>
      <c r="D6" s="241"/>
    </row>
    <row r="7" spans="1:24" x14ac:dyDescent="0.35">
      <c r="A7" s="1" t="s">
        <v>0</v>
      </c>
      <c r="C7" s="35">
        <f>Results!$C$7</f>
        <v>45473</v>
      </c>
      <c r="D7" s="35"/>
      <c r="E7" s="56"/>
      <c r="G7" s="40"/>
      <c r="K7" s="130"/>
      <c r="L7" s="130"/>
      <c r="M7" s="130"/>
    </row>
    <row r="8" spans="1:24" x14ac:dyDescent="0.35">
      <c r="G8" s="40"/>
      <c r="K8" s="40"/>
      <c r="L8" s="40"/>
      <c r="M8" s="40"/>
    </row>
    <row r="9" spans="1:24" x14ac:dyDescent="0.35">
      <c r="A9" s="1" t="s">
        <v>272</v>
      </c>
      <c r="G9" s="40"/>
      <c r="K9" s="40"/>
      <c r="L9" s="40"/>
      <c r="M9" s="40"/>
    </row>
    <row r="10" spans="1:24" ht="15" customHeight="1" x14ac:dyDescent="0.35">
      <c r="A10" s="502" t="s">
        <v>922</v>
      </c>
      <c r="B10" s="502"/>
      <c r="C10" s="502"/>
      <c r="D10" s="502"/>
      <c r="E10" s="502"/>
      <c r="F10" s="502"/>
      <c r="G10" s="502"/>
      <c r="H10" s="502"/>
      <c r="I10" s="502"/>
      <c r="J10" s="64"/>
      <c r="K10" s="40"/>
      <c r="L10" s="40"/>
      <c r="M10" s="40"/>
      <c r="T10" s="65"/>
      <c r="U10" s="65"/>
      <c r="V10" s="65"/>
      <c r="W10" s="65"/>
      <c r="X10" s="65"/>
    </row>
    <row r="11" spans="1:24" ht="15" customHeight="1" x14ac:dyDescent="0.35">
      <c r="A11" s="502"/>
      <c r="B11" s="502"/>
      <c r="C11" s="502"/>
      <c r="D11" s="502"/>
      <c r="E11" s="502"/>
      <c r="F11" s="502"/>
      <c r="G11" s="502"/>
      <c r="H11" s="502"/>
      <c r="I11" s="502"/>
      <c r="J11" s="64"/>
      <c r="K11" s="40"/>
      <c r="L11" s="40"/>
      <c r="M11" s="40"/>
      <c r="T11" s="65"/>
      <c r="U11" s="65"/>
      <c r="V11" s="65"/>
      <c r="W11" s="65"/>
      <c r="X11" s="65"/>
    </row>
    <row r="12" spans="1:24" x14ac:dyDescent="0.35">
      <c r="A12" s="502"/>
      <c r="B12" s="502"/>
      <c r="C12" s="502"/>
      <c r="D12" s="502"/>
      <c r="E12" s="502"/>
      <c r="F12" s="502"/>
      <c r="G12" s="502"/>
      <c r="H12" s="502"/>
      <c r="I12" s="502"/>
      <c r="J12" s="64"/>
      <c r="T12" s="65"/>
      <c r="U12" s="65"/>
      <c r="V12" s="65"/>
      <c r="W12" s="65"/>
      <c r="X12" s="65"/>
    </row>
    <row r="13" spans="1:24" x14ac:dyDescent="0.35">
      <c r="A13" s="189"/>
      <c r="B13" s="189"/>
      <c r="C13" s="189"/>
      <c r="D13" s="189"/>
      <c r="E13" s="189"/>
      <c r="F13" s="189"/>
      <c r="G13" s="189"/>
      <c r="H13" s="189"/>
      <c r="I13" s="189"/>
      <c r="J13" s="64"/>
      <c r="T13" s="65"/>
      <c r="U13" s="65"/>
      <c r="V13" s="65"/>
      <c r="W13" s="65"/>
      <c r="X13" s="65"/>
    </row>
    <row r="14" spans="1:24" ht="15" customHeight="1" x14ac:dyDescent="0.35">
      <c r="A14" s="190"/>
      <c r="B14" s="503">
        <v>1</v>
      </c>
      <c r="C14" s="503"/>
      <c r="D14" s="175">
        <v>2</v>
      </c>
      <c r="E14" s="175">
        <v>3</v>
      </c>
      <c r="F14" s="175">
        <v>4</v>
      </c>
      <c r="G14" s="175">
        <v>5</v>
      </c>
      <c r="H14" s="175">
        <v>6</v>
      </c>
      <c r="I14" s="175">
        <v>7</v>
      </c>
      <c r="J14" s="64"/>
      <c r="T14" s="65"/>
      <c r="U14" s="65"/>
      <c r="V14" s="65"/>
      <c r="W14" s="65"/>
      <c r="X14" s="65"/>
    </row>
    <row r="15" spans="1:24" s="4" customFormat="1" ht="72.5" x14ac:dyDescent="0.35">
      <c r="A15" s="191"/>
      <c r="B15" s="498" t="s">
        <v>591</v>
      </c>
      <c r="C15" s="504"/>
      <c r="D15" s="151" t="s">
        <v>780</v>
      </c>
      <c r="E15" s="192" t="s">
        <v>683</v>
      </c>
      <c r="F15" s="151" t="s">
        <v>784</v>
      </c>
      <c r="G15" s="193" t="s">
        <v>684</v>
      </c>
      <c r="H15" s="192" t="s">
        <v>685</v>
      </c>
      <c r="I15" s="151" t="s">
        <v>686</v>
      </c>
      <c r="J15" s="66"/>
      <c r="T15" s="67"/>
      <c r="U15" s="67"/>
      <c r="V15" s="67"/>
      <c r="W15" s="67"/>
      <c r="X15" s="67"/>
    </row>
    <row r="16" spans="1:24" s="4" customFormat="1" ht="15" customHeight="1" x14ac:dyDescent="0.35">
      <c r="A16" s="182">
        <v>1</v>
      </c>
      <c r="B16" s="493" t="str">
        <f>'Schedule 1C Adjustments'!B15:C15</f>
        <v>Intercompany rents</v>
      </c>
      <c r="C16" s="493"/>
      <c r="D16" s="180">
        <f>'Schedule 1C Adjustments'!F15</f>
        <v>892104</v>
      </c>
      <c r="E16" s="180">
        <f>'Schedule 1C Adjustments'!I15</f>
        <v>811686.14557370916</v>
      </c>
      <c r="F16" s="194">
        <f>IF(D16-E16&lt;0,0,D16-E16)</f>
        <v>80417.85442629084</v>
      </c>
      <c r="G16" s="195">
        <f>'Schedule 1C Adjustments'!L15</f>
        <v>2</v>
      </c>
      <c r="H16" s="473" t="str">
        <f>'Schedule 1C Adjustments'!M15</f>
        <v>5322 - Montebello building</v>
      </c>
      <c r="I16" s="196" t="str">
        <f>'Schedule 1C Adjustments'!N15</f>
        <v>Spanish Peaks Asset Management LLC</v>
      </c>
      <c r="J16" s="66"/>
      <c r="T16" s="67"/>
      <c r="U16" s="67"/>
      <c r="V16" s="67"/>
      <c r="W16" s="67"/>
      <c r="X16" s="67"/>
    </row>
    <row r="17" spans="1:24" s="4" customFormat="1" ht="15" customHeight="1" x14ac:dyDescent="0.35">
      <c r="A17" s="182">
        <f>A16+1</f>
        <v>2</v>
      </c>
      <c r="B17" s="493" t="str">
        <f>'Schedule 1C Adjustments'!B16:C16</f>
        <v>Intercompany rents</v>
      </c>
      <c r="C17" s="493"/>
      <c r="D17" s="180">
        <f>'Schedule 1C Adjustments'!F16</f>
        <v>465948</v>
      </c>
      <c r="E17" s="180">
        <f>'Schedule 1C Adjustments'!I16</f>
        <v>423945.56706143974</v>
      </c>
      <c r="F17" s="194">
        <f t="shared" ref="F17:F25" si="0">IF(D17-E17&lt;0,0,D17-E17)</f>
        <v>42002.432938560261</v>
      </c>
      <c r="G17" s="195">
        <f>'Schedule 1C Adjustments'!L16</f>
        <v>3</v>
      </c>
      <c r="H17" s="473" t="str">
        <f>'Schedule 1C Adjustments'!M16</f>
        <v>5322 - Family Center Counseling, Family Center IOP, Learning Center, Medical Center</v>
      </c>
      <c r="I17" s="196" t="str">
        <f>'Schedule 1C Adjustments'!N16</f>
        <v>Spanish Peaks Asset Management LLC</v>
      </c>
      <c r="J17" s="142"/>
      <c r="T17" s="67"/>
      <c r="U17" s="67"/>
      <c r="V17" s="67"/>
      <c r="W17" s="67"/>
      <c r="X17" s="67"/>
    </row>
    <row r="18" spans="1:24" s="4" customFormat="1" ht="15" customHeight="1" x14ac:dyDescent="0.35">
      <c r="A18" s="182">
        <f t="shared" ref="A18:A31" si="1">A17+1</f>
        <v>3</v>
      </c>
      <c r="B18" s="493" t="str">
        <f>'Schedule 1C Adjustments'!B17:C17</f>
        <v/>
      </c>
      <c r="C18" s="493"/>
      <c r="D18" s="180">
        <f>'Schedule 1C Adjustments'!F17</f>
        <v>0</v>
      </c>
      <c r="E18" s="180">
        <f>'Schedule 1C Adjustments'!I17</f>
        <v>0</v>
      </c>
      <c r="F18" s="194">
        <f t="shared" si="0"/>
        <v>0</v>
      </c>
      <c r="G18" s="195" t="str">
        <f>'Schedule 1C Adjustments'!L17</f>
        <v/>
      </c>
      <c r="H18" s="178" t="str">
        <f>'Schedule 1C Adjustments'!M17</f>
        <v/>
      </c>
      <c r="I18" s="196" t="str">
        <f>'Schedule 1C Adjustments'!N17</f>
        <v/>
      </c>
      <c r="J18" s="66"/>
      <c r="T18" s="67"/>
      <c r="U18" s="67"/>
      <c r="V18" s="67"/>
      <c r="W18" s="67"/>
      <c r="X18" s="67"/>
    </row>
    <row r="19" spans="1:24" s="4" customFormat="1" ht="15" customHeight="1" x14ac:dyDescent="0.35">
      <c r="A19" s="182">
        <f t="shared" si="1"/>
        <v>4</v>
      </c>
      <c r="B19" s="493" t="str">
        <f>'Schedule 1C Adjustments'!B18:C18</f>
        <v/>
      </c>
      <c r="C19" s="493"/>
      <c r="D19" s="180">
        <f>'Schedule 1C Adjustments'!F18</f>
        <v>0</v>
      </c>
      <c r="E19" s="180">
        <f>'Schedule 1C Adjustments'!I18</f>
        <v>0</v>
      </c>
      <c r="F19" s="194">
        <f t="shared" si="0"/>
        <v>0</v>
      </c>
      <c r="G19" s="195" t="str">
        <f>'Schedule 1C Adjustments'!L18</f>
        <v/>
      </c>
      <c r="H19" s="178" t="str">
        <f>'Schedule 1C Adjustments'!M18</f>
        <v/>
      </c>
      <c r="I19" s="196" t="str">
        <f>'Schedule 1C Adjustments'!N18</f>
        <v/>
      </c>
      <c r="J19" s="66"/>
      <c r="T19" s="67"/>
      <c r="U19" s="67"/>
      <c r="V19" s="67"/>
      <c r="W19" s="67"/>
      <c r="X19" s="67"/>
    </row>
    <row r="20" spans="1:24" s="4" customFormat="1" ht="15" customHeight="1" x14ac:dyDescent="0.35">
      <c r="A20" s="182">
        <f t="shared" si="1"/>
        <v>5</v>
      </c>
      <c r="B20" s="493" t="str">
        <f>'Schedule 1C Adjustments'!B19:C19</f>
        <v/>
      </c>
      <c r="C20" s="493"/>
      <c r="D20" s="180">
        <f>'Schedule 1C Adjustments'!F19</f>
        <v>0</v>
      </c>
      <c r="E20" s="180">
        <f>'Schedule 1C Adjustments'!I19</f>
        <v>0</v>
      </c>
      <c r="F20" s="194">
        <f t="shared" si="0"/>
        <v>0</v>
      </c>
      <c r="G20" s="195" t="str">
        <f>'Schedule 1C Adjustments'!L19</f>
        <v/>
      </c>
      <c r="H20" s="178" t="str">
        <f>'Schedule 1C Adjustments'!M19</f>
        <v/>
      </c>
      <c r="I20" s="196" t="str">
        <f>'Schedule 1C Adjustments'!N19</f>
        <v/>
      </c>
      <c r="J20" s="66"/>
      <c r="T20" s="67"/>
      <c r="U20" s="67"/>
      <c r="V20" s="67"/>
      <c r="W20" s="67"/>
      <c r="X20" s="67"/>
    </row>
    <row r="21" spans="1:24" s="4" customFormat="1" ht="15" customHeight="1" x14ac:dyDescent="0.35">
      <c r="A21" s="182">
        <f t="shared" si="1"/>
        <v>6</v>
      </c>
      <c r="B21" s="493" t="str">
        <f>'Schedule 1C Adjustments'!B20:C20</f>
        <v/>
      </c>
      <c r="C21" s="493"/>
      <c r="D21" s="180">
        <f>'Schedule 1C Adjustments'!F20</f>
        <v>0</v>
      </c>
      <c r="E21" s="180">
        <f>'Schedule 1C Adjustments'!I20</f>
        <v>0</v>
      </c>
      <c r="F21" s="194">
        <f t="shared" si="0"/>
        <v>0</v>
      </c>
      <c r="G21" s="195" t="str">
        <f>'Schedule 1C Adjustments'!L20</f>
        <v/>
      </c>
      <c r="H21" s="178" t="str">
        <f>'Schedule 1C Adjustments'!M20</f>
        <v/>
      </c>
      <c r="I21" s="196" t="str">
        <f>'Schedule 1C Adjustments'!N20</f>
        <v/>
      </c>
      <c r="J21" s="66"/>
      <c r="T21" s="67"/>
      <c r="U21" s="67"/>
      <c r="V21" s="67"/>
      <c r="W21" s="67"/>
      <c r="X21" s="67"/>
    </row>
    <row r="22" spans="1:24" s="4" customFormat="1" ht="15" customHeight="1" x14ac:dyDescent="0.35">
      <c r="A22" s="182">
        <f t="shared" si="1"/>
        <v>7</v>
      </c>
      <c r="B22" s="493" t="str">
        <f>'Schedule 1C Adjustments'!B21:C21</f>
        <v/>
      </c>
      <c r="C22" s="493"/>
      <c r="D22" s="180">
        <f>'Schedule 1C Adjustments'!F21</f>
        <v>0</v>
      </c>
      <c r="E22" s="180">
        <f>'Schedule 1C Adjustments'!I21</f>
        <v>0</v>
      </c>
      <c r="F22" s="194">
        <f t="shared" si="0"/>
        <v>0</v>
      </c>
      <c r="G22" s="195" t="str">
        <f>'Schedule 1C Adjustments'!L21</f>
        <v/>
      </c>
      <c r="H22" s="178" t="str">
        <f>'Schedule 1C Adjustments'!M21</f>
        <v/>
      </c>
      <c r="I22" s="196" t="str">
        <f>'Schedule 1C Adjustments'!N21</f>
        <v/>
      </c>
      <c r="J22" s="66"/>
      <c r="T22" s="67"/>
      <c r="U22" s="67"/>
      <c r="V22" s="67"/>
      <c r="W22" s="67"/>
      <c r="X22" s="67"/>
    </row>
    <row r="23" spans="1:24" s="4" customFormat="1" ht="15" customHeight="1" x14ac:dyDescent="0.35">
      <c r="A23" s="182">
        <f t="shared" si="1"/>
        <v>8</v>
      </c>
      <c r="B23" s="493" t="str">
        <f>'Schedule 1C Adjustments'!B22:C22</f>
        <v/>
      </c>
      <c r="C23" s="493"/>
      <c r="D23" s="180">
        <f>'Schedule 1C Adjustments'!F22</f>
        <v>0</v>
      </c>
      <c r="E23" s="180">
        <f>'Schedule 1C Adjustments'!I22</f>
        <v>0</v>
      </c>
      <c r="F23" s="194">
        <f t="shared" si="0"/>
        <v>0</v>
      </c>
      <c r="G23" s="195" t="str">
        <f>'Schedule 1C Adjustments'!L22</f>
        <v/>
      </c>
      <c r="H23" s="178" t="str">
        <f>'Schedule 1C Adjustments'!M22</f>
        <v/>
      </c>
      <c r="I23" s="196" t="str">
        <f>'Schedule 1C Adjustments'!N22</f>
        <v/>
      </c>
      <c r="J23" s="66"/>
      <c r="T23" s="67"/>
      <c r="U23" s="67"/>
      <c r="V23" s="67"/>
      <c r="W23" s="67"/>
      <c r="X23" s="67"/>
    </row>
    <row r="24" spans="1:24" s="4" customFormat="1" ht="15" customHeight="1" x14ac:dyDescent="0.35">
      <c r="A24" s="182">
        <f t="shared" si="1"/>
        <v>9</v>
      </c>
      <c r="B24" s="493" t="str">
        <f>'Schedule 1C Adjustments'!B23:C23</f>
        <v/>
      </c>
      <c r="C24" s="493"/>
      <c r="D24" s="180">
        <f>'Schedule 1C Adjustments'!F23</f>
        <v>0</v>
      </c>
      <c r="E24" s="180">
        <f>'Schedule 1C Adjustments'!I23</f>
        <v>0</v>
      </c>
      <c r="F24" s="194">
        <f t="shared" si="0"/>
        <v>0</v>
      </c>
      <c r="G24" s="195" t="str">
        <f>'Schedule 1C Adjustments'!L23</f>
        <v/>
      </c>
      <c r="H24" s="178" t="str">
        <f>'Schedule 1C Adjustments'!M23</f>
        <v/>
      </c>
      <c r="I24" s="196" t="str">
        <f>'Schedule 1C Adjustments'!N23</f>
        <v/>
      </c>
      <c r="J24" s="66"/>
      <c r="T24" s="67"/>
      <c r="U24" s="67"/>
      <c r="V24" s="67"/>
      <c r="W24" s="67"/>
      <c r="X24" s="67"/>
    </row>
    <row r="25" spans="1:24" s="4" customFormat="1" ht="15" customHeight="1" x14ac:dyDescent="0.35">
      <c r="A25" s="182">
        <f t="shared" si="1"/>
        <v>10</v>
      </c>
      <c r="B25" s="493" t="str">
        <f>'Schedule 1C Adjustments'!B24:C24</f>
        <v/>
      </c>
      <c r="C25" s="493"/>
      <c r="D25" s="180">
        <f>'Schedule 1C Adjustments'!F24</f>
        <v>0</v>
      </c>
      <c r="E25" s="180">
        <f>'Schedule 1C Adjustments'!I24</f>
        <v>0</v>
      </c>
      <c r="F25" s="194">
        <f t="shared" si="0"/>
        <v>0</v>
      </c>
      <c r="G25" s="195" t="str">
        <f>'Schedule 1C Adjustments'!L24</f>
        <v/>
      </c>
      <c r="H25" s="178" t="str">
        <f>'Schedule 1C Adjustments'!M24</f>
        <v/>
      </c>
      <c r="I25" s="196" t="str">
        <f>'Schedule 1C Adjustments'!N24</f>
        <v/>
      </c>
      <c r="J25" s="66"/>
      <c r="T25" s="67"/>
      <c r="U25" s="67"/>
      <c r="V25" s="67"/>
      <c r="W25" s="67"/>
      <c r="X25" s="67"/>
    </row>
    <row r="26" spans="1:24" s="4" customFormat="1" ht="15" customHeight="1" x14ac:dyDescent="0.35">
      <c r="A26" s="182">
        <f t="shared" si="1"/>
        <v>11</v>
      </c>
      <c r="B26" s="318" t="s">
        <v>598</v>
      </c>
      <c r="C26" s="191"/>
      <c r="D26" s="197"/>
      <c r="E26" s="191"/>
      <c r="F26" s="185">
        <f>SUM(F16:F25)</f>
        <v>122420.2873648511</v>
      </c>
      <c r="G26" s="191"/>
      <c r="H26" s="198"/>
      <c r="I26" s="191"/>
      <c r="J26" s="66"/>
      <c r="T26" s="67"/>
      <c r="U26" s="67"/>
      <c r="V26" s="67"/>
      <c r="W26" s="67"/>
      <c r="X26" s="67"/>
    </row>
    <row r="27" spans="1:24" s="4" customFormat="1" ht="15" customHeight="1" x14ac:dyDescent="0.35">
      <c r="A27" s="199"/>
      <c r="B27" s="191"/>
      <c r="C27" s="191"/>
      <c r="D27" s="197"/>
      <c r="E27" s="191"/>
      <c r="F27" s="191"/>
      <c r="G27" s="191"/>
      <c r="H27" s="198"/>
      <c r="I27" s="191"/>
      <c r="J27" s="66"/>
      <c r="T27" s="67"/>
      <c r="U27" s="67"/>
      <c r="V27" s="67"/>
      <c r="W27" s="67"/>
      <c r="X27" s="67"/>
    </row>
    <row r="28" spans="1:24" x14ac:dyDescent="0.35">
      <c r="A28" s="182">
        <v>12</v>
      </c>
      <c r="B28" s="100"/>
      <c r="C28" s="100"/>
      <c r="D28" s="100"/>
      <c r="E28" s="184" t="s">
        <v>184</v>
      </c>
      <c r="F28" s="185">
        <f>SUMIF($G$16:$G$25,2,$F$16:$F$25)</f>
        <v>80417.85442629084</v>
      </c>
      <c r="G28" s="191"/>
      <c r="H28" s="100"/>
      <c r="I28" s="100"/>
    </row>
    <row r="29" spans="1:24" x14ac:dyDescent="0.35">
      <c r="A29" s="182">
        <v>13</v>
      </c>
      <c r="B29" s="100"/>
      <c r="C29" s="100"/>
      <c r="D29" s="100"/>
      <c r="E29" s="184" t="s">
        <v>182</v>
      </c>
      <c r="F29" s="185">
        <f>SUMIF($G$16:$G$25,3,$F$16:$F$25)</f>
        <v>42002.432938560261</v>
      </c>
      <c r="G29" s="191"/>
      <c r="H29" s="100"/>
      <c r="I29" s="100"/>
    </row>
    <row r="30" spans="1:24" x14ac:dyDescent="0.35">
      <c r="A30" s="182">
        <f t="shared" si="1"/>
        <v>14</v>
      </c>
      <c r="B30" s="100"/>
      <c r="C30" s="100"/>
      <c r="D30" s="100"/>
      <c r="E30" s="184" t="s">
        <v>183</v>
      </c>
      <c r="F30" s="185">
        <f>SUMIF($G$16:$G$25,4,$F$16:$F$25)</f>
        <v>0</v>
      </c>
      <c r="G30" s="191"/>
      <c r="H30" s="100"/>
      <c r="I30" s="100"/>
    </row>
    <row r="31" spans="1:24" x14ac:dyDescent="0.35">
      <c r="A31" s="182">
        <f t="shared" si="1"/>
        <v>15</v>
      </c>
      <c r="B31" s="100"/>
      <c r="C31" s="100"/>
      <c r="D31" s="100"/>
      <c r="E31" s="184" t="s">
        <v>185</v>
      </c>
      <c r="F31" s="185">
        <f>SUMIF($G$16:$G$25,5,$F$16:$F$25)</f>
        <v>0</v>
      </c>
      <c r="G31" s="191"/>
      <c r="H31" s="100"/>
      <c r="I31" s="100"/>
    </row>
    <row r="32" spans="1:24" x14ac:dyDescent="0.35">
      <c r="A32" s="100"/>
      <c r="B32" s="100"/>
      <c r="C32" s="100"/>
      <c r="D32" s="100"/>
      <c r="E32" s="100"/>
      <c r="F32" s="186" t="str">
        <f>IF(SUM(F28:F31)&lt;&gt;F26,"error","")</f>
        <v/>
      </c>
      <c r="G32" s="191"/>
      <c r="H32" s="100"/>
      <c r="I32" s="100"/>
    </row>
    <row r="33" spans="1:24" ht="15.65" customHeight="1" x14ac:dyDescent="0.35">
      <c r="A33" s="100"/>
      <c r="B33" s="187"/>
      <c r="C33" s="187"/>
      <c r="D33" s="187"/>
      <c r="E33" s="187"/>
      <c r="F33" s="188" t="s">
        <v>271</v>
      </c>
      <c r="G33" s="188"/>
      <c r="H33" s="187"/>
      <c r="I33" s="187"/>
      <c r="J33" s="64"/>
      <c r="T33" s="65"/>
      <c r="U33" s="65"/>
      <c r="V33" s="65"/>
      <c r="W33" s="65"/>
      <c r="X33" s="65"/>
    </row>
    <row r="34" spans="1:24" x14ac:dyDescent="0.35">
      <c r="A34" s="200"/>
      <c r="B34" s="201"/>
      <c r="C34" s="201"/>
      <c r="D34" s="202"/>
      <c r="E34" s="201"/>
      <c r="F34" s="201"/>
      <c r="G34" s="201"/>
      <c r="H34" s="203"/>
      <c r="I34" s="201"/>
      <c r="J34" s="64"/>
      <c r="T34" s="65"/>
      <c r="U34" s="65"/>
      <c r="V34" s="65"/>
      <c r="W34" s="65"/>
      <c r="X34" s="65"/>
    </row>
    <row r="35" spans="1:24" ht="15.65" customHeight="1" x14ac:dyDescent="0.35">
      <c r="A35" s="501" t="s">
        <v>923</v>
      </c>
      <c r="B35" s="501"/>
      <c r="C35" s="501"/>
      <c r="D35" s="501"/>
      <c r="E35" s="501"/>
      <c r="F35" s="501"/>
      <c r="G35" s="501"/>
      <c r="H35" s="501"/>
      <c r="I35" s="501"/>
      <c r="J35" s="64"/>
      <c r="T35" s="65"/>
      <c r="U35" s="65"/>
      <c r="V35" s="65"/>
      <c r="W35" s="65"/>
      <c r="X35" s="65"/>
    </row>
    <row r="36" spans="1:24" x14ac:dyDescent="0.35">
      <c r="A36" s="501"/>
      <c r="B36" s="501"/>
      <c r="C36" s="501"/>
      <c r="D36" s="501"/>
      <c r="E36" s="501"/>
      <c r="F36" s="501"/>
      <c r="G36" s="501"/>
      <c r="H36" s="501"/>
      <c r="I36" s="501"/>
      <c r="J36" s="64"/>
      <c r="T36" s="65"/>
      <c r="U36" s="65"/>
      <c r="V36" s="65"/>
      <c r="W36" s="65"/>
      <c r="X36" s="65"/>
    </row>
    <row r="37" spans="1:24" x14ac:dyDescent="0.35">
      <c r="A37" s="501"/>
      <c r="B37" s="501"/>
      <c r="C37" s="501"/>
      <c r="D37" s="501"/>
      <c r="E37" s="501"/>
      <c r="F37" s="501"/>
      <c r="G37" s="501"/>
      <c r="H37" s="501"/>
      <c r="I37" s="501"/>
      <c r="J37" s="64"/>
      <c r="T37" s="65"/>
      <c r="U37" s="65"/>
      <c r="V37" s="65"/>
      <c r="W37" s="65"/>
      <c r="X37" s="65"/>
    </row>
    <row r="38" spans="1:24" x14ac:dyDescent="0.35">
      <c r="A38" s="501"/>
      <c r="B38" s="501"/>
      <c r="C38" s="501"/>
      <c r="D38" s="501"/>
      <c r="E38" s="501"/>
      <c r="F38" s="501"/>
      <c r="G38" s="501"/>
      <c r="H38" s="501"/>
      <c r="I38" s="501"/>
      <c r="J38" s="64"/>
      <c r="T38" s="65"/>
      <c r="U38" s="65"/>
      <c r="V38" s="65"/>
      <c r="W38" s="65"/>
      <c r="X38" s="65"/>
    </row>
    <row r="39" spans="1:24" x14ac:dyDescent="0.35">
      <c r="A39" s="501"/>
      <c r="B39" s="501"/>
      <c r="C39" s="501"/>
      <c r="D39" s="501"/>
      <c r="E39" s="501"/>
      <c r="F39" s="501"/>
      <c r="G39" s="501"/>
      <c r="H39" s="501"/>
      <c r="I39" s="501"/>
      <c r="J39" s="64"/>
      <c r="T39" s="65"/>
      <c r="U39" s="65"/>
      <c r="V39" s="65"/>
      <c r="W39" s="65"/>
      <c r="X39" s="65"/>
    </row>
    <row r="40" spans="1:24" x14ac:dyDescent="0.35">
      <c r="A40" s="501"/>
      <c r="B40" s="501"/>
      <c r="C40" s="501"/>
      <c r="D40" s="501"/>
      <c r="E40" s="501"/>
      <c r="F40" s="501"/>
      <c r="G40" s="501"/>
      <c r="H40" s="501"/>
      <c r="I40" s="501"/>
      <c r="J40" s="64"/>
      <c r="T40" s="65"/>
      <c r="U40" s="65"/>
      <c r="V40" s="65"/>
      <c r="W40" s="65"/>
      <c r="X40" s="65"/>
    </row>
    <row r="41" spans="1:24" ht="14.25" customHeight="1" x14ac:dyDescent="0.35">
      <c r="A41" s="100"/>
      <c r="B41" s="100"/>
      <c r="C41" s="100"/>
      <c r="D41" s="100"/>
      <c r="E41" s="100"/>
      <c r="F41" s="100"/>
      <c r="G41" s="100"/>
      <c r="H41" s="113"/>
      <c r="I41" s="100"/>
    </row>
    <row r="42" spans="1:24" x14ac:dyDescent="0.35">
      <c r="A42" s="100"/>
      <c r="B42" s="100"/>
      <c r="C42" s="100"/>
      <c r="D42" s="100"/>
      <c r="E42" s="100"/>
      <c r="F42" s="100"/>
      <c r="G42" s="100"/>
      <c r="H42" s="113"/>
      <c r="I42" s="100"/>
    </row>
    <row r="43" spans="1:24" x14ac:dyDescent="0.35">
      <c r="A43" s="100"/>
      <c r="B43" s="100"/>
      <c r="C43" s="100"/>
      <c r="D43" s="100"/>
      <c r="E43" s="100"/>
      <c r="F43" s="100"/>
      <c r="G43" s="100"/>
      <c r="H43" s="113"/>
      <c r="I43" s="100"/>
    </row>
    <row r="44" spans="1:24" x14ac:dyDescent="0.35">
      <c r="A44" s="100"/>
      <c r="B44" s="100"/>
      <c r="C44" s="100"/>
      <c r="D44" s="100"/>
      <c r="E44" s="100"/>
      <c r="F44" s="100"/>
      <c r="G44" s="100"/>
      <c r="H44" s="113"/>
      <c r="I44" s="100"/>
    </row>
    <row r="45" spans="1:24" x14ac:dyDescent="0.35">
      <c r="A45" s="100"/>
      <c r="B45" s="100"/>
      <c r="C45" s="100"/>
      <c r="D45" s="100"/>
      <c r="E45" s="100"/>
      <c r="F45" s="100"/>
      <c r="G45" s="100"/>
      <c r="H45" s="113"/>
      <c r="I45" s="100"/>
    </row>
    <row r="46" spans="1:24" x14ac:dyDescent="0.35">
      <c r="A46" s="100"/>
      <c r="B46" s="100"/>
      <c r="C46" s="100"/>
      <c r="D46" s="100"/>
      <c r="E46" s="100"/>
      <c r="F46" s="100"/>
      <c r="G46" s="100"/>
      <c r="H46" s="113"/>
      <c r="I46" s="100"/>
    </row>
    <row r="47" spans="1:24" x14ac:dyDescent="0.35">
      <c r="A47" s="100"/>
      <c r="B47" s="100"/>
      <c r="C47" s="100"/>
      <c r="D47" s="100"/>
      <c r="E47" s="100"/>
      <c r="F47" s="100"/>
      <c r="G47" s="100"/>
      <c r="H47" s="113"/>
      <c r="I47" s="100"/>
    </row>
    <row r="48" spans="1:24" x14ac:dyDescent="0.35">
      <c r="A48" s="100"/>
      <c r="B48" s="100"/>
      <c r="C48" s="100"/>
      <c r="D48" s="100"/>
      <c r="E48" s="100"/>
      <c r="F48" s="100"/>
      <c r="G48" s="100"/>
      <c r="H48" s="113"/>
      <c r="I48" s="100"/>
    </row>
    <row r="49" spans="1:9" x14ac:dyDescent="0.35">
      <c r="A49" s="100"/>
      <c r="B49" s="100"/>
      <c r="C49" s="100"/>
      <c r="D49" s="100"/>
      <c r="E49" s="100"/>
      <c r="F49" s="100"/>
      <c r="G49" s="100"/>
      <c r="H49" s="113"/>
      <c r="I49" s="100"/>
    </row>
    <row r="50" spans="1:9" x14ac:dyDescent="0.35">
      <c r="A50" s="100"/>
      <c r="B50" s="100"/>
      <c r="C50" s="100"/>
      <c r="D50" s="100"/>
      <c r="E50" s="100"/>
      <c r="F50" s="100"/>
      <c r="G50" s="100"/>
      <c r="H50" s="113"/>
      <c r="I50" s="100"/>
    </row>
    <row r="51" spans="1:9" x14ac:dyDescent="0.35">
      <c r="A51" s="100"/>
      <c r="B51" s="100"/>
      <c r="C51" s="100"/>
      <c r="D51" s="100"/>
      <c r="E51" s="100"/>
      <c r="F51" s="100"/>
      <c r="G51" s="100"/>
      <c r="H51" s="113"/>
      <c r="I51" s="100"/>
    </row>
    <row r="52" spans="1:9" x14ac:dyDescent="0.35">
      <c r="A52" s="100"/>
      <c r="B52" s="100"/>
      <c r="C52" s="100"/>
      <c r="D52" s="100"/>
      <c r="E52" s="100"/>
      <c r="F52" s="100"/>
      <c r="G52" s="100"/>
      <c r="H52" s="113"/>
      <c r="I52" s="100"/>
    </row>
    <row r="53" spans="1:9" x14ac:dyDescent="0.35">
      <c r="A53" s="100"/>
      <c r="B53" s="100"/>
      <c r="C53" s="100"/>
      <c r="D53" s="100"/>
      <c r="E53" s="100"/>
      <c r="F53" s="100"/>
      <c r="G53" s="100"/>
      <c r="H53" s="113"/>
      <c r="I53" s="100"/>
    </row>
    <row r="54" spans="1:9" x14ac:dyDescent="0.35">
      <c r="A54" s="100"/>
      <c r="B54" s="100"/>
      <c r="C54" s="100"/>
      <c r="D54" s="100"/>
      <c r="E54" s="100"/>
      <c r="F54" s="100"/>
      <c r="G54" s="100"/>
      <c r="H54" s="113"/>
      <c r="I54" s="100"/>
    </row>
    <row r="55" spans="1:9" x14ac:dyDescent="0.35">
      <c r="A55" s="100"/>
      <c r="B55" s="100"/>
      <c r="C55" s="100"/>
      <c r="D55" s="100"/>
      <c r="E55" s="100"/>
      <c r="F55" s="100"/>
      <c r="G55" s="100"/>
      <c r="H55" s="113"/>
      <c r="I55" s="100"/>
    </row>
    <row r="56" spans="1:9" x14ac:dyDescent="0.35">
      <c r="A56" s="100"/>
      <c r="B56" s="100"/>
      <c r="C56" s="100"/>
      <c r="D56" s="100"/>
      <c r="E56" s="100"/>
      <c r="F56" s="100"/>
      <c r="G56" s="100"/>
      <c r="H56" s="113"/>
      <c r="I56" s="100"/>
    </row>
    <row r="57" spans="1:9" x14ac:dyDescent="0.35">
      <c r="A57" s="100"/>
      <c r="B57" s="100"/>
      <c r="C57" s="100"/>
      <c r="D57" s="100"/>
      <c r="E57" s="100"/>
      <c r="F57" s="100"/>
      <c r="G57" s="100"/>
      <c r="H57" s="113"/>
      <c r="I57" s="100"/>
    </row>
    <row r="58" spans="1:9" x14ac:dyDescent="0.35">
      <c r="A58" s="100"/>
      <c r="B58" s="100"/>
      <c r="C58" s="100"/>
      <c r="D58" s="100"/>
      <c r="E58" s="100"/>
      <c r="F58" s="100"/>
      <c r="G58" s="100"/>
      <c r="H58" s="113"/>
      <c r="I58" s="100"/>
    </row>
    <row r="59" spans="1:9" x14ac:dyDescent="0.35">
      <c r="A59" s="100"/>
      <c r="B59" s="100"/>
      <c r="C59" s="100"/>
      <c r="D59" s="100"/>
      <c r="E59" s="100"/>
      <c r="F59" s="100"/>
      <c r="G59" s="100"/>
      <c r="H59" s="113"/>
      <c r="I59" s="100"/>
    </row>
    <row r="60" spans="1:9" x14ac:dyDescent="0.35">
      <c r="A60" s="100"/>
      <c r="B60" s="100"/>
      <c r="C60" s="100"/>
      <c r="D60" s="100"/>
      <c r="E60" s="100"/>
      <c r="F60" s="100"/>
      <c r="G60" s="100"/>
      <c r="H60" s="113"/>
      <c r="I60" s="100"/>
    </row>
    <row r="61" spans="1:9" x14ac:dyDescent="0.35">
      <c r="A61" s="100"/>
      <c r="B61" s="100"/>
      <c r="C61" s="100"/>
      <c r="D61" s="100"/>
      <c r="E61" s="100"/>
      <c r="F61" s="100"/>
      <c r="G61" s="100"/>
      <c r="H61" s="113"/>
      <c r="I61" s="100"/>
    </row>
    <row r="62" spans="1:9" x14ac:dyDescent="0.35">
      <c r="A62" s="100"/>
      <c r="B62" s="100"/>
      <c r="C62" s="100"/>
      <c r="D62" s="100"/>
      <c r="E62" s="100"/>
      <c r="F62" s="100"/>
      <c r="G62" s="100"/>
      <c r="H62" s="113"/>
      <c r="I62" s="100"/>
    </row>
    <row r="63" spans="1:9" x14ac:dyDescent="0.35">
      <c r="A63" s="100"/>
      <c r="B63" s="100"/>
      <c r="C63" s="100"/>
      <c r="D63" s="100"/>
      <c r="E63" s="100"/>
      <c r="F63" s="100"/>
      <c r="G63" s="100"/>
      <c r="H63" s="113"/>
      <c r="I63" s="100"/>
    </row>
    <row r="64" spans="1:9" x14ac:dyDescent="0.35">
      <c r="A64" s="100"/>
      <c r="B64" s="100"/>
      <c r="C64" s="100"/>
      <c r="D64" s="100"/>
      <c r="E64" s="100"/>
      <c r="F64" s="100"/>
      <c r="G64" s="100"/>
      <c r="H64" s="113"/>
      <c r="I64" s="100"/>
    </row>
    <row r="65" spans="1:9" x14ac:dyDescent="0.35">
      <c r="A65" s="100"/>
      <c r="B65" s="100"/>
      <c r="C65" s="100"/>
      <c r="D65" s="100"/>
      <c r="E65" s="100"/>
      <c r="F65" s="100"/>
      <c r="G65" s="100"/>
      <c r="H65" s="113"/>
      <c r="I65" s="100"/>
    </row>
    <row r="66" spans="1:9" x14ac:dyDescent="0.35">
      <c r="A66" s="100"/>
      <c r="B66" s="100"/>
      <c r="C66" s="100"/>
      <c r="D66" s="100"/>
      <c r="E66" s="100"/>
      <c r="F66" s="100"/>
      <c r="G66" s="100"/>
      <c r="H66" s="113"/>
      <c r="I66" s="100"/>
    </row>
    <row r="67" spans="1:9" x14ac:dyDescent="0.35">
      <c r="A67" s="100"/>
      <c r="B67" s="100"/>
      <c r="C67" s="100"/>
      <c r="D67" s="100"/>
      <c r="E67" s="100"/>
      <c r="F67" s="100"/>
      <c r="G67" s="100"/>
      <c r="H67" s="113"/>
      <c r="I67" s="100"/>
    </row>
    <row r="68" spans="1:9" x14ac:dyDescent="0.35">
      <c r="A68" s="100"/>
      <c r="B68" s="100"/>
      <c r="C68" s="100"/>
      <c r="D68" s="100"/>
      <c r="E68" s="100"/>
      <c r="F68" s="100"/>
      <c r="G68" s="100"/>
      <c r="H68" s="113"/>
      <c r="I68" s="100"/>
    </row>
    <row r="69" spans="1:9" x14ac:dyDescent="0.35">
      <c r="A69" s="100"/>
      <c r="B69" s="100"/>
      <c r="C69" s="100"/>
      <c r="D69" s="100"/>
      <c r="E69" s="100"/>
      <c r="F69" s="100"/>
      <c r="G69" s="100"/>
      <c r="H69" s="113"/>
      <c r="I69" s="100"/>
    </row>
    <row r="70" spans="1:9" x14ac:dyDescent="0.35">
      <c r="A70" s="100"/>
      <c r="B70" s="100"/>
      <c r="C70" s="100"/>
      <c r="D70" s="100"/>
      <c r="E70" s="100"/>
      <c r="F70" s="100"/>
      <c r="G70" s="100"/>
      <c r="H70" s="113"/>
      <c r="I70" s="100"/>
    </row>
    <row r="71" spans="1:9" x14ac:dyDescent="0.35">
      <c r="A71" s="100"/>
      <c r="B71" s="100"/>
      <c r="C71" s="100"/>
      <c r="D71" s="100"/>
      <c r="E71" s="100"/>
      <c r="F71" s="100"/>
      <c r="G71" s="100"/>
      <c r="H71" s="113"/>
      <c r="I71" s="100"/>
    </row>
    <row r="72" spans="1:9" x14ac:dyDescent="0.35">
      <c r="A72" s="100"/>
      <c r="B72" s="100"/>
      <c r="C72" s="100"/>
      <c r="D72" s="100"/>
      <c r="E72" s="100"/>
      <c r="F72" s="100"/>
      <c r="G72" s="100"/>
      <c r="H72" s="113"/>
      <c r="I72" s="100"/>
    </row>
    <row r="73" spans="1:9" x14ac:dyDescent="0.35">
      <c r="A73" s="100"/>
      <c r="B73" s="100"/>
      <c r="C73" s="100"/>
      <c r="D73" s="100"/>
      <c r="E73" s="100"/>
      <c r="F73" s="100"/>
      <c r="G73" s="100"/>
      <c r="H73" s="113"/>
      <c r="I73" s="100"/>
    </row>
    <row r="74" spans="1:9" x14ac:dyDescent="0.35">
      <c r="A74" s="100"/>
      <c r="B74" s="100"/>
      <c r="C74" s="100"/>
      <c r="D74" s="100"/>
      <c r="E74" s="100"/>
      <c r="F74" s="100"/>
      <c r="G74" s="100"/>
      <c r="H74" s="113"/>
      <c r="I74" s="100"/>
    </row>
    <row r="75" spans="1:9" x14ac:dyDescent="0.35">
      <c r="A75" s="100"/>
      <c r="B75" s="100"/>
      <c r="C75" s="100"/>
      <c r="D75" s="100"/>
      <c r="E75" s="100"/>
      <c r="F75" s="100"/>
      <c r="G75" s="100"/>
      <c r="H75" s="113"/>
      <c r="I75" s="100"/>
    </row>
    <row r="76" spans="1:9" x14ac:dyDescent="0.35">
      <c r="A76" s="100"/>
      <c r="B76" s="100"/>
      <c r="C76" s="100"/>
      <c r="D76" s="100"/>
      <c r="E76" s="100"/>
      <c r="F76" s="100"/>
      <c r="G76" s="100"/>
      <c r="H76" s="113"/>
      <c r="I76" s="100"/>
    </row>
    <row r="77" spans="1:9" x14ac:dyDescent="0.35">
      <c r="A77" s="100"/>
      <c r="B77" s="100"/>
      <c r="C77" s="100"/>
      <c r="D77" s="100"/>
      <c r="E77" s="100"/>
      <c r="F77" s="100"/>
      <c r="G77" s="100"/>
      <c r="H77" s="113"/>
      <c r="I77" s="100"/>
    </row>
    <row r="78" spans="1:9" x14ac:dyDescent="0.35">
      <c r="A78" s="100"/>
      <c r="B78" s="100"/>
      <c r="C78" s="100"/>
      <c r="D78" s="100"/>
      <c r="E78" s="100"/>
      <c r="F78" s="100"/>
      <c r="G78" s="100"/>
      <c r="H78" s="113"/>
      <c r="I78" s="100"/>
    </row>
    <row r="79" spans="1:9" x14ac:dyDescent="0.35">
      <c r="A79" s="100"/>
      <c r="B79" s="100"/>
      <c r="C79" s="100"/>
      <c r="D79" s="100"/>
      <c r="E79" s="100"/>
      <c r="F79" s="100"/>
      <c r="G79" s="100"/>
      <c r="H79" s="113"/>
      <c r="I79" s="100"/>
    </row>
    <row r="80" spans="1:9"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88" spans="1:9" x14ac:dyDescent="0.35">
      <c r="A88" s="100"/>
      <c r="B88" s="100"/>
      <c r="C88" s="100"/>
      <c r="D88" s="100"/>
      <c r="E88" s="100"/>
      <c r="F88" s="100"/>
      <c r="G88" s="100"/>
      <c r="H88" s="113"/>
      <c r="I88" s="100"/>
    </row>
    <row r="97" spans="7:7" hidden="1" x14ac:dyDescent="0.35">
      <c r="G97">
        <v>2</v>
      </c>
    </row>
    <row r="98" spans="7:7" hidden="1" x14ac:dyDescent="0.35">
      <c r="G98">
        <v>3</v>
      </c>
    </row>
    <row r="99" spans="7:7" hidden="1" x14ac:dyDescent="0.35">
      <c r="G99">
        <v>4</v>
      </c>
    </row>
    <row r="100" spans="7:7" hidden="1" x14ac:dyDescent="0.35">
      <c r="G100">
        <v>5</v>
      </c>
    </row>
  </sheetData>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14">
    <mergeCell ref="B16:C16"/>
    <mergeCell ref="A10:I12"/>
    <mergeCell ref="B14:C14"/>
    <mergeCell ref="B15:C15"/>
    <mergeCell ref="B23:C23"/>
    <mergeCell ref="B24:C24"/>
    <mergeCell ref="B25:C25"/>
    <mergeCell ref="A35:I40"/>
    <mergeCell ref="B17:C17"/>
    <mergeCell ref="B18:C18"/>
    <mergeCell ref="B19:C19"/>
    <mergeCell ref="B20:C20"/>
    <mergeCell ref="B21:C21"/>
    <mergeCell ref="B22:C22"/>
  </mergeCells>
  <pageMargins left="0.7" right="0.7" top="0.75" bottom="0.75" header="0.3" footer="0.3"/>
  <pageSetup orientation="portrait" horizontalDpi="1200" verticalDpi="12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8971D"/>
  </sheetPr>
  <dimension ref="A1:K39"/>
  <sheetViews>
    <sheetView workbookViewId="0"/>
  </sheetViews>
  <sheetFormatPr defaultColWidth="9.1796875" defaultRowHeight="14.5" x14ac:dyDescent="0.35"/>
  <cols>
    <col min="1" max="1" width="4" customWidth="1"/>
    <col min="2" max="2" width="23.26953125" customWidth="1"/>
    <col min="3" max="3" width="34" customWidth="1"/>
    <col min="4" max="4" width="19.453125" customWidth="1"/>
    <col min="5" max="9" width="18.453125" customWidth="1"/>
    <col min="10" max="10" width="9.453125" customWidth="1"/>
    <col min="11" max="11" width="36.1796875" bestFit="1" customWidth="1"/>
  </cols>
  <sheetData>
    <row r="1" spans="1:10" ht="26" x14ac:dyDescent="0.6">
      <c r="A1" s="3" t="s">
        <v>774</v>
      </c>
    </row>
    <row r="2" spans="1:10" ht="21" x14ac:dyDescent="0.5">
      <c r="A2" s="2" t="s">
        <v>772</v>
      </c>
    </row>
    <row r="3" spans="1:10" ht="25" customHeight="1" x14ac:dyDescent="0.5">
      <c r="A3" s="494" t="s">
        <v>681</v>
      </c>
      <c r="B3" s="494"/>
      <c r="C3" s="494"/>
      <c r="D3" s="494"/>
      <c r="E3" s="494"/>
      <c r="F3" s="494"/>
      <c r="G3" s="494"/>
      <c r="H3" s="494"/>
      <c r="I3" s="494"/>
      <c r="J3" s="494"/>
    </row>
    <row r="4" spans="1:10" ht="25" customHeight="1" x14ac:dyDescent="0.5">
      <c r="A4" s="243" t="str">
        <f>Results!A4</f>
        <v>Final Adjustments</v>
      </c>
      <c r="B4" s="361"/>
      <c r="C4" s="361"/>
      <c r="D4" s="361"/>
      <c r="E4" s="361"/>
      <c r="F4" s="361"/>
      <c r="G4" s="361"/>
      <c r="H4" s="361"/>
      <c r="I4" s="361"/>
      <c r="J4" s="361"/>
    </row>
    <row r="6" spans="1:10" x14ac:dyDescent="0.35">
      <c r="A6" s="1" t="s">
        <v>773</v>
      </c>
      <c r="C6" s="421" t="str">
        <f>Results!$C$6</f>
        <v>Health Solutions</v>
      </c>
    </row>
    <row r="7" spans="1:10" x14ac:dyDescent="0.35">
      <c r="A7" s="1" t="s">
        <v>0</v>
      </c>
      <c r="C7" s="35">
        <f>Results!$C$7</f>
        <v>45473</v>
      </c>
      <c r="D7" s="35"/>
    </row>
    <row r="9" spans="1:10" x14ac:dyDescent="0.35">
      <c r="A9" s="1" t="s">
        <v>311</v>
      </c>
    </row>
    <row r="10" spans="1:10" x14ac:dyDescent="0.35">
      <c r="A10" s="1"/>
      <c r="B10" s="82"/>
      <c r="C10" s="82"/>
      <c r="D10" s="82"/>
    </row>
    <row r="11" spans="1:10" x14ac:dyDescent="0.35">
      <c r="A11" s="70"/>
      <c r="B11" s="508">
        <v>1</v>
      </c>
      <c r="C11" s="508"/>
      <c r="D11" s="23">
        <v>2</v>
      </c>
      <c r="E11" s="23">
        <v>3</v>
      </c>
      <c r="F11" s="23">
        <v>4</v>
      </c>
      <c r="G11" s="23">
        <v>5</v>
      </c>
      <c r="H11" s="23">
        <v>6</v>
      </c>
      <c r="I11" s="23">
        <v>7</v>
      </c>
    </row>
    <row r="12" spans="1:10" x14ac:dyDescent="0.35">
      <c r="B12" s="509" t="s">
        <v>178</v>
      </c>
      <c r="C12" s="509"/>
      <c r="D12" s="510" t="s">
        <v>180</v>
      </c>
      <c r="E12" s="511" t="s">
        <v>207</v>
      </c>
      <c r="F12" s="512"/>
      <c r="G12" s="511" t="s">
        <v>210</v>
      </c>
      <c r="H12" s="512"/>
      <c r="I12" s="509" t="s">
        <v>218</v>
      </c>
    </row>
    <row r="13" spans="1:10" ht="30" customHeight="1" x14ac:dyDescent="0.35">
      <c r="B13" s="509"/>
      <c r="C13" s="509"/>
      <c r="D13" s="510"/>
      <c r="E13" s="10" t="s">
        <v>687</v>
      </c>
      <c r="F13" s="10" t="s">
        <v>688</v>
      </c>
      <c r="G13" s="10" t="s">
        <v>687</v>
      </c>
      <c r="H13" s="10" t="s">
        <v>688</v>
      </c>
      <c r="I13" s="509"/>
    </row>
    <row r="14" spans="1:10" x14ac:dyDescent="0.35">
      <c r="A14" s="425" t="s">
        <v>838</v>
      </c>
      <c r="B14" s="204"/>
      <c r="C14" s="204"/>
      <c r="D14" s="204"/>
      <c r="E14" s="204"/>
      <c r="F14" s="204"/>
      <c r="G14" s="204"/>
      <c r="H14" s="204"/>
      <c r="I14" s="204"/>
    </row>
    <row r="15" spans="1:10" x14ac:dyDescent="0.35">
      <c r="A15" s="24">
        <v>1</v>
      </c>
      <c r="B15" s="505" t="s">
        <v>211</v>
      </c>
      <c r="C15" s="505"/>
      <c r="D15" s="24" t="s">
        <v>12</v>
      </c>
      <c r="E15" s="26">
        <f>'Adjusted Schedule 2A'!F74</f>
        <v>3838590.9696926791</v>
      </c>
      <c r="F15" s="26">
        <f>'Adjusted Schedule 2A'!G74</f>
        <v>1184907.1842830805</v>
      </c>
      <c r="G15" s="26">
        <f>'Adjusted Schedule 2A'!J74</f>
        <v>0</v>
      </c>
      <c r="H15" s="26">
        <f>'Adjusted Schedule 2A'!K74</f>
        <v>0</v>
      </c>
      <c r="I15" s="68">
        <f>SUM(E15:H15)</f>
        <v>5023498.1539757596</v>
      </c>
    </row>
    <row r="16" spans="1:10" x14ac:dyDescent="0.35">
      <c r="A16" s="24">
        <v>2</v>
      </c>
      <c r="B16" s="505" t="s">
        <v>213</v>
      </c>
      <c r="C16" s="505"/>
      <c r="D16" s="24" t="s">
        <v>13</v>
      </c>
      <c r="E16" s="26">
        <f>'Adjusted Schedule 2B'!$F$74</f>
        <v>1778772.6383552887</v>
      </c>
      <c r="F16" s="26">
        <f>'Adjusted Schedule 2B'!G74</f>
        <v>549076.59999056731</v>
      </c>
      <c r="G16" s="26">
        <f>'Adjusted Schedule 2B'!$J$74</f>
        <v>186824.56494368202</v>
      </c>
      <c r="H16" s="26">
        <f>'Adjusted Schedule 2B'!K74</f>
        <v>57669.538367108915</v>
      </c>
      <c r="I16" s="68">
        <f>SUM(E16:H16)</f>
        <v>2572343.3416566467</v>
      </c>
    </row>
    <row r="17" spans="1:11" x14ac:dyDescent="0.35">
      <c r="A17" s="24">
        <v>3</v>
      </c>
      <c r="B17" s="505" t="s">
        <v>201</v>
      </c>
      <c r="C17" s="505"/>
      <c r="D17" s="24" t="s">
        <v>14</v>
      </c>
      <c r="E17" s="26">
        <f>'Adjusted Schedule 2C'!$F$74</f>
        <v>25850337.087696463</v>
      </c>
      <c r="F17" s="26">
        <f>'Adjusted Schedule 2C'!G74</f>
        <v>7979555.6164201554</v>
      </c>
      <c r="G17" s="26">
        <f>'Adjusted Schedule 2C'!$J$74</f>
        <v>176870</v>
      </c>
      <c r="H17" s="26">
        <f>'Adjusted Schedule 2C'!K74</f>
        <v>54596.734931861516</v>
      </c>
      <c r="I17" s="68">
        <f>SUM(E17:H17)</f>
        <v>34061359.439048484</v>
      </c>
      <c r="K17" s="48"/>
    </row>
    <row r="18" spans="1:11" x14ac:dyDescent="0.35">
      <c r="A18" s="24">
        <v>4</v>
      </c>
      <c r="B18" s="505" t="s">
        <v>212</v>
      </c>
      <c r="C18" s="505"/>
      <c r="D18" s="24" t="s">
        <v>179</v>
      </c>
      <c r="E18" s="26">
        <f>'Adjusted Schedule 2D'!$F$74</f>
        <v>2417042.6710739257</v>
      </c>
      <c r="F18" s="26">
        <f>'Adjusted Schedule 2D'!G74</f>
        <v>746099.61006174958</v>
      </c>
      <c r="G18" s="26">
        <f>'Adjusted Schedule 2D'!$J$74</f>
        <v>0</v>
      </c>
      <c r="H18" s="26">
        <f>'Adjusted Schedule 2D'!K74</f>
        <v>0</v>
      </c>
      <c r="I18" s="68">
        <f>SUM(E18:H18)</f>
        <v>3163142.2811356755</v>
      </c>
    </row>
    <row r="19" spans="1:11" x14ac:dyDescent="0.35">
      <c r="A19" s="425" t="s">
        <v>791</v>
      </c>
      <c r="B19" s="204"/>
      <c r="C19" s="204"/>
      <c r="D19" s="204"/>
      <c r="E19" s="204"/>
      <c r="F19" s="204"/>
      <c r="G19" s="204"/>
      <c r="H19" s="204"/>
      <c r="I19" s="204"/>
      <c r="J19" s="100"/>
      <c r="K19" s="48"/>
    </row>
    <row r="20" spans="1:11" x14ac:dyDescent="0.35">
      <c r="A20" s="155">
        <v>5</v>
      </c>
      <c r="B20" s="506" t="s">
        <v>792</v>
      </c>
      <c r="C20" s="506"/>
      <c r="D20" s="155" t="s">
        <v>793</v>
      </c>
      <c r="E20" s="26">
        <f>'Adjusted Schedule 2E'!F$74</f>
        <v>0</v>
      </c>
      <c r="F20" s="26">
        <f>'Adjusted Schedule 2E'!G$74</f>
        <v>0</v>
      </c>
      <c r="G20" s="26">
        <f>'Adjusted Schedule 2E'!J$74</f>
        <v>0</v>
      </c>
      <c r="H20" s="26">
        <f>'Adjusted Schedule 2E'!K$74</f>
        <v>0</v>
      </c>
      <c r="I20" s="181">
        <f t="shared" ref="I20:I27" si="0">SUM(E20:H20)</f>
        <v>0</v>
      </c>
      <c r="J20" s="100"/>
      <c r="K20" s="48"/>
    </row>
    <row r="21" spans="1:11" x14ac:dyDescent="0.35">
      <c r="A21" s="155">
        <v>6</v>
      </c>
      <c r="B21" s="506" t="s">
        <v>794</v>
      </c>
      <c r="C21" s="506"/>
      <c r="D21" s="155" t="s">
        <v>795</v>
      </c>
      <c r="E21" s="26">
        <f>'Adjusted Schedule 2F'!F$74</f>
        <v>0</v>
      </c>
      <c r="F21" s="26">
        <f>'Adjusted Schedule 2F'!G$74</f>
        <v>0</v>
      </c>
      <c r="G21" s="26">
        <f>'Adjusted Schedule 2F'!J$74</f>
        <v>0</v>
      </c>
      <c r="H21" s="26">
        <f>'Adjusted Schedule 2F'!K$74</f>
        <v>0</v>
      </c>
      <c r="I21" s="181">
        <f t="shared" si="0"/>
        <v>0</v>
      </c>
      <c r="J21" s="100"/>
      <c r="K21" s="48"/>
    </row>
    <row r="22" spans="1:11" x14ac:dyDescent="0.35">
      <c r="A22" s="155">
        <v>7</v>
      </c>
      <c r="B22" s="506" t="s">
        <v>796</v>
      </c>
      <c r="C22" s="506"/>
      <c r="D22" s="155" t="s">
        <v>797</v>
      </c>
      <c r="E22" s="26">
        <f>'Adjusted Schedule 2G'!F$74</f>
        <v>0</v>
      </c>
      <c r="F22" s="26">
        <f>'Adjusted Schedule 2G'!G$74</f>
        <v>0</v>
      </c>
      <c r="G22" s="26">
        <f>'Adjusted Schedule 2G'!J$74</f>
        <v>0</v>
      </c>
      <c r="H22" s="26">
        <f>'Adjusted Schedule 2G'!K$74</f>
        <v>0</v>
      </c>
      <c r="I22" s="181">
        <f t="shared" si="0"/>
        <v>0</v>
      </c>
      <c r="J22" s="100"/>
      <c r="K22" s="48"/>
    </row>
    <row r="23" spans="1:11" x14ac:dyDescent="0.35">
      <c r="A23" s="155">
        <v>8</v>
      </c>
      <c r="B23" s="506" t="s">
        <v>798</v>
      </c>
      <c r="C23" s="506"/>
      <c r="D23" s="155" t="s">
        <v>799</v>
      </c>
      <c r="E23" s="26">
        <f>'Adjusted Schedule 2H'!F$74</f>
        <v>0</v>
      </c>
      <c r="F23" s="26">
        <f>'Adjusted Schedule 2H'!G$74</f>
        <v>0</v>
      </c>
      <c r="G23" s="26">
        <f>'Adjusted Schedule 2H'!J$74</f>
        <v>0</v>
      </c>
      <c r="H23" s="26">
        <f>'Adjusted Schedule 2H'!K$74</f>
        <v>0</v>
      </c>
      <c r="I23" s="181">
        <f t="shared" si="0"/>
        <v>0</v>
      </c>
      <c r="J23" s="100"/>
      <c r="K23" s="48"/>
    </row>
    <row r="24" spans="1:11" x14ac:dyDescent="0.35">
      <c r="A24" s="155">
        <v>9</v>
      </c>
      <c r="B24" s="506" t="s">
        <v>800</v>
      </c>
      <c r="C24" s="506"/>
      <c r="D24" s="155" t="s">
        <v>801</v>
      </c>
      <c r="E24" s="26">
        <f>'Adjusted Schedule 2I'!F$74</f>
        <v>0</v>
      </c>
      <c r="F24" s="26">
        <f>'Adjusted Schedule 2I'!G$74</f>
        <v>0</v>
      </c>
      <c r="G24" s="26">
        <f>'Adjusted Schedule 2I'!J$74</f>
        <v>0</v>
      </c>
      <c r="H24" s="26">
        <f>'Adjusted Schedule 2I'!K$74</f>
        <v>0</v>
      </c>
      <c r="I24" s="181">
        <f t="shared" si="0"/>
        <v>0</v>
      </c>
      <c r="J24" s="100"/>
      <c r="K24" s="48"/>
    </row>
    <row r="25" spans="1:11" x14ac:dyDescent="0.35">
      <c r="A25" s="155">
        <v>10</v>
      </c>
      <c r="B25" s="506" t="s">
        <v>802</v>
      </c>
      <c r="C25" s="506"/>
      <c r="D25" s="155" t="s">
        <v>803</v>
      </c>
      <c r="E25" s="26">
        <f>'Adjusted Schedule 2J'!F$74</f>
        <v>0</v>
      </c>
      <c r="F25" s="26">
        <f>'Adjusted Schedule 2J'!G$74</f>
        <v>0</v>
      </c>
      <c r="G25" s="26">
        <f>'Adjusted Schedule 2J'!J$74</f>
        <v>0</v>
      </c>
      <c r="H25" s="26">
        <f>'Adjusted Schedule 2J'!K$74</f>
        <v>0</v>
      </c>
      <c r="I25" s="181">
        <f t="shared" si="0"/>
        <v>0</v>
      </c>
      <c r="J25" s="100"/>
      <c r="K25" s="48"/>
    </row>
    <row r="26" spans="1:11" x14ac:dyDescent="0.35">
      <c r="A26" s="155">
        <v>11</v>
      </c>
      <c r="B26" s="506" t="s">
        <v>804</v>
      </c>
      <c r="C26" s="506"/>
      <c r="D26" s="155" t="s">
        <v>805</v>
      </c>
      <c r="E26" s="26">
        <f>'Adjusted Schedule 2K'!F$74</f>
        <v>0</v>
      </c>
      <c r="F26" s="26">
        <f>'Adjusted Schedule 2K'!G$74</f>
        <v>0</v>
      </c>
      <c r="G26" s="26">
        <f>'Adjusted Schedule 2K'!J$74</f>
        <v>0</v>
      </c>
      <c r="H26" s="26">
        <f>'Adjusted Schedule 2K'!K$74</f>
        <v>0</v>
      </c>
      <c r="I26" s="181">
        <f t="shared" si="0"/>
        <v>0</v>
      </c>
      <c r="J26" s="100"/>
      <c r="K26" s="48"/>
    </row>
    <row r="27" spans="1:11" x14ac:dyDescent="0.35">
      <c r="A27" s="155">
        <v>12</v>
      </c>
      <c r="B27" s="506" t="s">
        <v>806</v>
      </c>
      <c r="C27" s="506"/>
      <c r="D27" s="155" t="s">
        <v>807</v>
      </c>
      <c r="E27" s="26">
        <f>'Adjusted Schedule 2L'!F$74</f>
        <v>0</v>
      </c>
      <c r="F27" s="26">
        <f>'Adjusted Schedule 2L'!G$74</f>
        <v>0</v>
      </c>
      <c r="G27" s="26">
        <f>'Adjusted Schedule 2L'!J$74</f>
        <v>0</v>
      </c>
      <c r="H27" s="26">
        <f>'Adjusted Schedule 2L'!K$74</f>
        <v>0</v>
      </c>
      <c r="I27" s="181">
        <f t="shared" si="0"/>
        <v>0</v>
      </c>
      <c r="J27" s="100"/>
      <c r="K27" s="48"/>
    </row>
    <row r="28" spans="1:11" ht="29.25" customHeight="1" x14ac:dyDescent="0.35">
      <c r="A28" s="155">
        <v>13</v>
      </c>
      <c r="B28" s="507" t="s">
        <v>808</v>
      </c>
      <c r="C28" s="507"/>
      <c r="D28" s="155" t="s">
        <v>809</v>
      </c>
      <c r="E28" s="26">
        <f>'Adjusted Schedule 2M'!F$74</f>
        <v>0</v>
      </c>
      <c r="F28" s="26">
        <f>'Adjusted Schedule 2M'!G$74</f>
        <v>0</v>
      </c>
      <c r="G28" s="26">
        <f>'Adjusted Schedule 2M'!J$74</f>
        <v>0</v>
      </c>
      <c r="H28" s="26">
        <f>'Adjusted Schedule 2M'!K$74</f>
        <v>0</v>
      </c>
      <c r="I28" s="181">
        <f>SUM(E28:H28)</f>
        <v>0</v>
      </c>
      <c r="J28" s="100"/>
    </row>
    <row r="29" spans="1:11" x14ac:dyDescent="0.35">
      <c r="A29" s="24">
        <v>5</v>
      </c>
      <c r="E29" s="18">
        <f>SUM(E15:E28)</f>
        <v>33884743.366818361</v>
      </c>
      <c r="F29" s="18">
        <f t="shared" ref="F29:H29" si="1">SUM(F15:F28)</f>
        <v>10459639.010755554</v>
      </c>
      <c r="G29" s="18">
        <f>SUM(G15:G28)</f>
        <v>363694.56494368205</v>
      </c>
      <c r="H29" s="18">
        <f t="shared" si="1"/>
        <v>112266.27329897042</v>
      </c>
    </row>
    <row r="30" spans="1:11" s="57" customFormat="1" ht="12" x14ac:dyDescent="0.3">
      <c r="D30" s="76" t="s">
        <v>216</v>
      </c>
      <c r="E30" s="58">
        <f>'Adjusted Schedule 1'!F92</f>
        <v>33884743.366818361</v>
      </c>
      <c r="G30" s="58">
        <f>'Adjusted Schedule 1'!H92</f>
        <v>363694.56494368205</v>
      </c>
    </row>
    <row r="31" spans="1:11" s="57" customFormat="1" ht="12" x14ac:dyDescent="0.3">
      <c r="D31" s="76" t="s">
        <v>10</v>
      </c>
      <c r="E31" s="59">
        <f>E29-E30</f>
        <v>0</v>
      </c>
      <c r="G31" s="59">
        <f>G29-G30</f>
        <v>0</v>
      </c>
    </row>
    <row r="32" spans="1:11" s="57" customFormat="1" ht="12" x14ac:dyDescent="0.3">
      <c r="D32" s="76"/>
      <c r="E32" s="59"/>
      <c r="G32" s="59"/>
    </row>
    <row r="34" spans="1:10" x14ac:dyDescent="0.35">
      <c r="E34" s="10" t="s">
        <v>218</v>
      </c>
    </row>
    <row r="35" spans="1:10" x14ac:dyDescent="0.35">
      <c r="A35" s="24">
        <v>6</v>
      </c>
      <c r="B35" s="505" t="s">
        <v>219</v>
      </c>
      <c r="C35" s="505"/>
      <c r="D35" s="24" t="s">
        <v>110</v>
      </c>
      <c r="E35" s="26">
        <f>'Adjusted Schedule 3'!M168</f>
        <v>3659366.5359400609</v>
      </c>
      <c r="I35" s="18">
        <f>SUM(I15:I28)+E35</f>
        <v>48479709.751756631</v>
      </c>
      <c r="J35" s="71" t="s">
        <v>3</v>
      </c>
    </row>
    <row r="36" spans="1:10" ht="12.75" customHeight="1" x14ac:dyDescent="0.35">
      <c r="D36" s="76" t="s">
        <v>217</v>
      </c>
      <c r="E36" s="58">
        <f>'Adjusted Schedule 1'!G96</f>
        <v>3659366.5359400613</v>
      </c>
    </row>
    <row r="37" spans="1:10" ht="12.75" customHeight="1" x14ac:dyDescent="0.35">
      <c r="D37" s="76" t="s">
        <v>10</v>
      </c>
      <c r="E37" s="59">
        <f>E35-E36</f>
        <v>0</v>
      </c>
    </row>
    <row r="39" spans="1:10" x14ac:dyDescent="0.35">
      <c r="B39" s="48"/>
    </row>
  </sheetData>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21">
    <mergeCell ref="A3:J3"/>
    <mergeCell ref="B11:C11"/>
    <mergeCell ref="B12:C13"/>
    <mergeCell ref="D12:D13"/>
    <mergeCell ref="E12:F12"/>
    <mergeCell ref="G12:H12"/>
    <mergeCell ref="I12:I13"/>
    <mergeCell ref="B15:C15"/>
    <mergeCell ref="B16:C16"/>
    <mergeCell ref="B17:C17"/>
    <mergeCell ref="B18:C18"/>
    <mergeCell ref="B35:C35"/>
    <mergeCell ref="B20:C20"/>
    <mergeCell ref="B21:C21"/>
    <mergeCell ref="B22:C22"/>
    <mergeCell ref="B23:C23"/>
    <mergeCell ref="B24:C24"/>
    <mergeCell ref="B25:C25"/>
    <mergeCell ref="B26:C26"/>
    <mergeCell ref="B27:C27"/>
    <mergeCell ref="B28:C28"/>
  </mergeCells>
  <pageMargins left="0.7" right="0.7" top="0.75" bottom="0.75" header="0.3" footer="0.3"/>
  <pageSetup orientation="portrait" horizontalDpi="1200" verticalDpi="12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8971D"/>
  </sheetPr>
  <dimension ref="A1:S76"/>
  <sheetViews>
    <sheetView workbookViewId="0"/>
  </sheetViews>
  <sheetFormatPr defaultColWidth="9.1796875" defaultRowHeight="14.5" x14ac:dyDescent="0.35"/>
  <cols>
    <col min="1" max="1" width="9.7265625" customWidth="1"/>
    <col min="2" max="2" width="16" customWidth="1"/>
    <col min="3" max="3" width="19.453125" customWidth="1"/>
    <col min="4" max="4" width="15.453125" customWidth="1"/>
    <col min="5" max="5" width="2.26953125" customWidth="1"/>
    <col min="6" max="8" width="18.54296875" customWidth="1"/>
    <col min="9" max="9" width="2.7265625" customWidth="1"/>
    <col min="10" max="12" width="18.54296875" customWidth="1"/>
    <col min="13" max="13" width="2.7265625" customWidth="1"/>
    <col min="14" max="15" width="12.1796875" customWidth="1"/>
    <col min="16" max="16" width="24.54296875" customWidth="1"/>
  </cols>
  <sheetData>
    <row r="1" spans="1:19" ht="26" x14ac:dyDescent="0.6">
      <c r="A1" s="3" t="s">
        <v>774</v>
      </c>
    </row>
    <row r="2" spans="1:19" ht="21" x14ac:dyDescent="0.5">
      <c r="A2" s="2" t="s">
        <v>772</v>
      </c>
    </row>
    <row r="3" spans="1:19" ht="25" customHeight="1" x14ac:dyDescent="0.5">
      <c r="A3" s="494" t="s">
        <v>682</v>
      </c>
      <c r="B3" s="494"/>
      <c r="C3" s="494"/>
      <c r="D3" s="494"/>
      <c r="E3" s="494"/>
      <c r="F3" s="494"/>
    </row>
    <row r="4" spans="1:19" ht="25" customHeight="1" x14ac:dyDescent="0.5">
      <c r="A4" s="243" t="str">
        <f>Results!A4</f>
        <v>Final Adjustments</v>
      </c>
      <c r="B4" s="361"/>
      <c r="C4" s="361"/>
      <c r="D4" s="361"/>
      <c r="E4" s="361"/>
      <c r="F4" s="361"/>
    </row>
    <row r="5" spans="1:19" x14ac:dyDescent="0.35">
      <c r="A5" s="48"/>
    </row>
    <row r="6" spans="1:19" x14ac:dyDescent="0.35">
      <c r="A6" s="1" t="s">
        <v>773</v>
      </c>
      <c r="C6" s="421" t="str">
        <f>Results!$C$6</f>
        <v>Health Solutions</v>
      </c>
    </row>
    <row r="7" spans="1:19" x14ac:dyDescent="0.35">
      <c r="A7" s="1" t="s">
        <v>0</v>
      </c>
      <c r="C7" s="35">
        <f>Results!$C$7</f>
        <v>45473</v>
      </c>
      <c r="F7" s="35"/>
      <c r="N7" s="130"/>
      <c r="O7" s="130"/>
      <c r="P7" s="130"/>
    </row>
    <row r="8" spans="1:19" x14ac:dyDescent="0.35">
      <c r="N8" s="40"/>
      <c r="O8" s="40"/>
      <c r="P8" s="40"/>
    </row>
    <row r="9" spans="1:19" x14ac:dyDescent="0.35">
      <c r="A9" s="1" t="s">
        <v>253</v>
      </c>
      <c r="B9" s="1" t="s">
        <v>750</v>
      </c>
      <c r="C9" s="1"/>
      <c r="D9" s="119" t="str">
        <f>'Schedule 2A Adjustments'!D8</f>
        <v>Yes</v>
      </c>
      <c r="E9" s="41" t="s">
        <v>259</v>
      </c>
      <c r="N9" s="40"/>
      <c r="O9" s="40"/>
      <c r="P9" s="40"/>
    </row>
    <row r="10" spans="1:19" x14ac:dyDescent="0.35">
      <c r="N10" s="130"/>
      <c r="O10" s="130"/>
      <c r="P10" s="130"/>
    </row>
    <row r="11" spans="1:19" x14ac:dyDescent="0.35">
      <c r="A11" s="1" t="s">
        <v>254</v>
      </c>
      <c r="B11" s="1" t="s">
        <v>256</v>
      </c>
      <c r="C11" s="1"/>
      <c r="N11" s="40"/>
      <c r="O11" s="40"/>
      <c r="P11" s="40"/>
    </row>
    <row r="12" spans="1:19" x14ac:dyDescent="0.35">
      <c r="A12" s="1"/>
      <c r="B12" s="318" t="s">
        <v>598</v>
      </c>
      <c r="C12" s="1"/>
      <c r="N12" s="40"/>
      <c r="O12" s="40"/>
      <c r="P12" s="40"/>
    </row>
    <row r="13" spans="1:19" x14ac:dyDescent="0.35">
      <c r="B13" s="508">
        <v>1</v>
      </c>
      <c r="C13" s="508"/>
      <c r="D13" s="508"/>
      <c r="F13" s="23">
        <v>2</v>
      </c>
      <c r="G13" s="23">
        <v>3</v>
      </c>
      <c r="H13" s="23">
        <v>4</v>
      </c>
      <c r="J13" s="23">
        <v>5</v>
      </c>
      <c r="K13" s="23">
        <v>6</v>
      </c>
      <c r="L13" s="23">
        <v>7</v>
      </c>
      <c r="N13" s="23">
        <v>8</v>
      </c>
      <c r="O13" s="23">
        <v>9</v>
      </c>
      <c r="Q13" s="40"/>
      <c r="R13" s="40"/>
      <c r="S13" s="40"/>
    </row>
    <row r="14" spans="1:19" x14ac:dyDescent="0.35">
      <c r="B14" s="517" t="s">
        <v>612</v>
      </c>
      <c r="C14" s="518"/>
      <c r="D14" s="519"/>
      <c r="F14" s="511" t="s">
        <v>261</v>
      </c>
      <c r="G14" s="516"/>
      <c r="H14" s="512"/>
      <c r="J14" s="511" t="s">
        <v>262</v>
      </c>
      <c r="K14" s="516"/>
      <c r="L14" s="512"/>
      <c r="N14" s="514" t="s">
        <v>692</v>
      </c>
      <c r="O14" s="514" t="s">
        <v>693</v>
      </c>
      <c r="Q14" s="40"/>
      <c r="R14" s="40"/>
      <c r="S14" s="40"/>
    </row>
    <row r="15" spans="1:19" ht="56.25" customHeight="1" x14ac:dyDescent="0.35">
      <c r="B15" s="520"/>
      <c r="C15" s="521"/>
      <c r="D15" s="522"/>
      <c r="F15" s="10" t="s">
        <v>689</v>
      </c>
      <c r="G15" s="151" t="s">
        <v>690</v>
      </c>
      <c r="H15" s="151" t="s">
        <v>691</v>
      </c>
      <c r="I15" s="100"/>
      <c r="J15" s="10" t="s">
        <v>689</v>
      </c>
      <c r="K15" s="151" t="s">
        <v>690</v>
      </c>
      <c r="L15" s="151" t="s">
        <v>691</v>
      </c>
      <c r="N15" s="515"/>
      <c r="O15" s="515"/>
    </row>
    <row r="16" spans="1:19" x14ac:dyDescent="0.35">
      <c r="A16" s="24">
        <v>1</v>
      </c>
      <c r="B16" s="513" t="str">
        <f>'Schedule 2A Adjustments'!B15:D15</f>
        <v>Crisis Living Room</v>
      </c>
      <c r="C16" s="513"/>
      <c r="D16" s="513"/>
      <c r="F16" s="117">
        <f>'Schedule 2A Adjustments'!H15</f>
        <v>2622217.9146693749</v>
      </c>
      <c r="G16" s="68">
        <f>'Schedule 2A Adjustments'!J15</f>
        <v>809433.68813695095</v>
      </c>
      <c r="H16" s="68">
        <f>SUM(F16:G16)</f>
        <v>3431651.602806326</v>
      </c>
      <c r="J16" s="117">
        <f>'Schedule 2A Adjustments'!P15</f>
        <v>0</v>
      </c>
      <c r="K16" s="68">
        <f>'Schedule 2A Adjustments'!R15</f>
        <v>0</v>
      </c>
      <c r="L16" s="68">
        <f>SUM(J16:K16)</f>
        <v>0</v>
      </c>
      <c r="N16" s="120">
        <f>'Schedule 2A Adjustments'!X15</f>
        <v>25.220833333333331</v>
      </c>
      <c r="O16" s="120">
        <f>'Schedule 2A Adjustments'!AA15</f>
        <v>1995</v>
      </c>
    </row>
    <row r="17" spans="1:15" x14ac:dyDescent="0.35">
      <c r="A17" s="24">
        <v>2</v>
      </c>
      <c r="B17" s="513" t="str">
        <f>'Schedule 2A Adjustments'!B16:D16</f>
        <v>Mobile Crisis Services</v>
      </c>
      <c r="C17" s="513"/>
      <c r="D17" s="513"/>
      <c r="F17" s="117">
        <f>'Schedule 2A Adjustments'!H16</f>
        <v>380742.35627589334</v>
      </c>
      <c r="G17" s="68">
        <f>'Schedule 2A Adjustments'!J16</f>
        <v>117528.63404154083</v>
      </c>
      <c r="H17" s="68">
        <f t="shared" ref="H17:H73" si="0">SUM(F17:G17)</f>
        <v>498270.99031743419</v>
      </c>
      <c r="J17" s="117">
        <f>'Schedule 2A Adjustments'!P16</f>
        <v>0</v>
      </c>
      <c r="K17" s="68">
        <f>'Schedule 2A Adjustments'!R16</f>
        <v>0</v>
      </c>
      <c r="L17" s="68">
        <f t="shared" ref="L17:L73" si="1">SUM(J17:K17)</f>
        <v>0</v>
      </c>
      <c r="N17" s="120">
        <f>'Schedule 2A Adjustments'!X16</f>
        <v>3.0500000000000003</v>
      </c>
      <c r="O17" s="120">
        <f>'Schedule 2A Adjustments'!AA16</f>
        <v>302</v>
      </c>
    </row>
    <row r="18" spans="1:15" x14ac:dyDescent="0.35">
      <c r="A18" s="24">
        <v>3</v>
      </c>
      <c r="B18" s="513" t="str">
        <f>'Schedule 2A Adjustments'!B17:D17</f>
        <v>Respite Services</v>
      </c>
      <c r="C18" s="513"/>
      <c r="D18" s="513"/>
      <c r="F18" s="117">
        <f>'Schedule 2A Adjustments'!H17</f>
        <v>835630.69874741067</v>
      </c>
      <c r="G18" s="68">
        <f>'Schedule 2A Adjustments'!J17</f>
        <v>257944.86210458868</v>
      </c>
      <c r="H18" s="68">
        <f t="shared" si="0"/>
        <v>1093575.5608519993</v>
      </c>
      <c r="J18" s="117">
        <f>'Schedule 2A Adjustments'!P17</f>
        <v>0</v>
      </c>
      <c r="K18" s="68">
        <f>'Schedule 2A Adjustments'!R17</f>
        <v>0</v>
      </c>
      <c r="L18" s="68">
        <f t="shared" si="1"/>
        <v>0</v>
      </c>
      <c r="N18" s="120">
        <f>'Schedule 2A Adjustments'!X17</f>
        <v>9.3500000000000014</v>
      </c>
      <c r="O18" s="120">
        <f>'Schedule 2A Adjustments'!AA17</f>
        <v>484</v>
      </c>
    </row>
    <row r="19" spans="1:15" x14ac:dyDescent="0.35">
      <c r="A19" s="24">
        <v>4</v>
      </c>
      <c r="B19" s="513" t="str">
        <f>'Schedule 2A Adjustments'!B18:D18</f>
        <v/>
      </c>
      <c r="C19" s="513"/>
      <c r="D19" s="513"/>
      <c r="F19" s="117">
        <f>'Schedule 2A Adjustments'!H18</f>
        <v>0</v>
      </c>
      <c r="G19" s="68">
        <f>'Schedule 2A Adjustments'!J18</f>
        <v>0</v>
      </c>
      <c r="H19" s="68">
        <f t="shared" si="0"/>
        <v>0</v>
      </c>
      <c r="J19" s="117">
        <f>'Schedule 2A Adjustments'!P18</f>
        <v>0</v>
      </c>
      <c r="K19" s="68">
        <f>'Schedule 2A Adjustments'!R18</f>
        <v>0</v>
      </c>
      <c r="L19" s="68">
        <f t="shared" si="1"/>
        <v>0</v>
      </c>
      <c r="N19" s="120">
        <f>'Schedule 2A Adjustments'!X18</f>
        <v>0</v>
      </c>
      <c r="O19" s="120">
        <f>'Schedule 2A Adjustments'!AA18</f>
        <v>0</v>
      </c>
    </row>
    <row r="20" spans="1:15" x14ac:dyDescent="0.35">
      <c r="A20" s="24">
        <v>5</v>
      </c>
      <c r="B20" s="513" t="str">
        <f>'Schedule 2A Adjustments'!B19:D19</f>
        <v/>
      </c>
      <c r="C20" s="513"/>
      <c r="D20" s="513"/>
      <c r="F20" s="117">
        <f>'Schedule 2A Adjustments'!H19</f>
        <v>0</v>
      </c>
      <c r="G20" s="68">
        <f>'Schedule 2A Adjustments'!J19</f>
        <v>0</v>
      </c>
      <c r="H20" s="68">
        <f t="shared" si="0"/>
        <v>0</v>
      </c>
      <c r="J20" s="117">
        <f>'Schedule 2A Adjustments'!P19</f>
        <v>0</v>
      </c>
      <c r="K20" s="68">
        <f>'Schedule 2A Adjustments'!R19</f>
        <v>0</v>
      </c>
      <c r="L20" s="68">
        <f t="shared" si="1"/>
        <v>0</v>
      </c>
      <c r="N20" s="120">
        <f>'Schedule 2A Adjustments'!X19</f>
        <v>0</v>
      </c>
      <c r="O20" s="120">
        <f>'Schedule 2A Adjustments'!AA19</f>
        <v>0</v>
      </c>
    </row>
    <row r="21" spans="1:15" x14ac:dyDescent="0.35">
      <c r="A21" s="24">
        <v>6</v>
      </c>
      <c r="B21" s="513" t="str">
        <f>'Schedule 2A Adjustments'!B20:D20</f>
        <v/>
      </c>
      <c r="C21" s="513"/>
      <c r="D21" s="513"/>
      <c r="F21" s="117">
        <f>'Schedule 2A Adjustments'!H20</f>
        <v>0</v>
      </c>
      <c r="G21" s="68">
        <f>'Schedule 2A Adjustments'!J20</f>
        <v>0</v>
      </c>
      <c r="H21" s="68">
        <f t="shared" si="0"/>
        <v>0</v>
      </c>
      <c r="J21" s="117">
        <f>'Schedule 2A Adjustments'!P20</f>
        <v>0</v>
      </c>
      <c r="K21" s="68">
        <f>'Schedule 2A Adjustments'!R20</f>
        <v>0</v>
      </c>
      <c r="L21" s="68">
        <f t="shared" si="1"/>
        <v>0</v>
      </c>
      <c r="N21" s="120">
        <f>'Schedule 2A Adjustments'!X20</f>
        <v>0</v>
      </c>
      <c r="O21" s="120">
        <f>'Schedule 2A Adjustments'!AA20</f>
        <v>0</v>
      </c>
    </row>
    <row r="22" spans="1:15" x14ac:dyDescent="0.35">
      <c r="A22" s="24">
        <v>7</v>
      </c>
      <c r="B22" s="513" t="str">
        <f>'Schedule 2A Adjustments'!B21:D21</f>
        <v/>
      </c>
      <c r="C22" s="513"/>
      <c r="D22" s="513"/>
      <c r="F22" s="117">
        <f>'Schedule 2A Adjustments'!H21</f>
        <v>0</v>
      </c>
      <c r="G22" s="68">
        <f>'Schedule 2A Adjustments'!J21</f>
        <v>0</v>
      </c>
      <c r="H22" s="68">
        <f t="shared" si="0"/>
        <v>0</v>
      </c>
      <c r="J22" s="117">
        <f>'Schedule 2A Adjustments'!P21</f>
        <v>0</v>
      </c>
      <c r="K22" s="68">
        <f>'Schedule 2A Adjustments'!R21</f>
        <v>0</v>
      </c>
      <c r="L22" s="68">
        <f t="shared" si="1"/>
        <v>0</v>
      </c>
      <c r="N22" s="120">
        <f>'Schedule 2A Adjustments'!X21</f>
        <v>0</v>
      </c>
      <c r="O22" s="120">
        <f>'Schedule 2A Adjustments'!AA21</f>
        <v>0</v>
      </c>
    </row>
    <row r="23" spans="1:15" x14ac:dyDescent="0.35">
      <c r="A23" s="24">
        <v>8</v>
      </c>
      <c r="B23" s="513" t="str">
        <f>'Schedule 2A Adjustments'!B22:D22</f>
        <v/>
      </c>
      <c r="C23" s="513"/>
      <c r="D23" s="513"/>
      <c r="F23" s="117">
        <f>'Schedule 2A Adjustments'!H22</f>
        <v>0</v>
      </c>
      <c r="G23" s="68">
        <f>'Schedule 2A Adjustments'!J22</f>
        <v>0</v>
      </c>
      <c r="H23" s="68">
        <f t="shared" si="0"/>
        <v>0</v>
      </c>
      <c r="J23" s="117">
        <f>'Schedule 2A Adjustments'!P22</f>
        <v>0</v>
      </c>
      <c r="K23" s="68">
        <f>'Schedule 2A Adjustments'!R22</f>
        <v>0</v>
      </c>
      <c r="L23" s="68">
        <f t="shared" si="1"/>
        <v>0</v>
      </c>
      <c r="N23" s="120">
        <f>'Schedule 2A Adjustments'!X22</f>
        <v>0</v>
      </c>
      <c r="O23" s="120">
        <f>'Schedule 2A Adjustments'!AA22</f>
        <v>0</v>
      </c>
    </row>
    <row r="24" spans="1:15" x14ac:dyDescent="0.35">
      <c r="A24" s="24">
        <v>9</v>
      </c>
      <c r="B24" s="513" t="str">
        <f>'Schedule 2A Adjustments'!B23:D23</f>
        <v/>
      </c>
      <c r="C24" s="513"/>
      <c r="D24" s="513"/>
      <c r="F24" s="117">
        <f>'Schedule 2A Adjustments'!H23</f>
        <v>0</v>
      </c>
      <c r="G24" s="68">
        <f>'Schedule 2A Adjustments'!J23</f>
        <v>0</v>
      </c>
      <c r="H24" s="68">
        <f t="shared" si="0"/>
        <v>0</v>
      </c>
      <c r="J24" s="117">
        <f>'Schedule 2A Adjustments'!P23</f>
        <v>0</v>
      </c>
      <c r="K24" s="68">
        <f>'Schedule 2A Adjustments'!R23</f>
        <v>0</v>
      </c>
      <c r="L24" s="68">
        <f t="shared" si="1"/>
        <v>0</v>
      </c>
      <c r="N24" s="120">
        <f>'Schedule 2A Adjustments'!X23</f>
        <v>0</v>
      </c>
      <c r="O24" s="120">
        <f>'Schedule 2A Adjustments'!AA23</f>
        <v>0</v>
      </c>
    </row>
    <row r="25" spans="1:15" x14ac:dyDescent="0.35">
      <c r="A25" s="24">
        <v>10</v>
      </c>
      <c r="B25" s="513" t="str">
        <f>'Schedule 2A Adjustments'!B24:D24</f>
        <v/>
      </c>
      <c r="C25" s="513"/>
      <c r="D25" s="513"/>
      <c r="F25" s="117">
        <f>'Schedule 2A Adjustments'!H24</f>
        <v>0</v>
      </c>
      <c r="G25" s="68">
        <f>'Schedule 2A Adjustments'!J24</f>
        <v>0</v>
      </c>
      <c r="H25" s="68">
        <f t="shared" si="0"/>
        <v>0</v>
      </c>
      <c r="J25" s="117">
        <f>'Schedule 2A Adjustments'!P24</f>
        <v>0</v>
      </c>
      <c r="K25" s="68">
        <f>'Schedule 2A Adjustments'!R24</f>
        <v>0</v>
      </c>
      <c r="L25" s="68">
        <f t="shared" si="1"/>
        <v>0</v>
      </c>
      <c r="N25" s="120">
        <f>'Schedule 2A Adjustments'!X24</f>
        <v>0</v>
      </c>
      <c r="O25" s="120">
        <f>'Schedule 2A Adjustments'!AA24</f>
        <v>0</v>
      </c>
    </row>
    <row r="26" spans="1:15" x14ac:dyDescent="0.35">
      <c r="A26" s="24">
        <v>11</v>
      </c>
      <c r="B26" s="513" t="str">
        <f>'Schedule 2A Adjustments'!B25:D25</f>
        <v/>
      </c>
      <c r="C26" s="513"/>
      <c r="D26" s="513"/>
      <c r="F26" s="117">
        <f>'Schedule 2A Adjustments'!H25</f>
        <v>0</v>
      </c>
      <c r="G26" s="68">
        <f>'Schedule 2A Adjustments'!J25</f>
        <v>0</v>
      </c>
      <c r="H26" s="68">
        <f t="shared" si="0"/>
        <v>0</v>
      </c>
      <c r="J26" s="117">
        <f>'Schedule 2A Adjustments'!P25</f>
        <v>0</v>
      </c>
      <c r="K26" s="68">
        <f>'Schedule 2A Adjustments'!R25</f>
        <v>0</v>
      </c>
      <c r="L26" s="68">
        <f t="shared" si="1"/>
        <v>0</v>
      </c>
      <c r="N26" s="120">
        <f>'Schedule 2A Adjustments'!X25</f>
        <v>0</v>
      </c>
      <c r="O26" s="120">
        <f>'Schedule 2A Adjustments'!AA25</f>
        <v>0</v>
      </c>
    </row>
    <row r="27" spans="1:15" x14ac:dyDescent="0.35">
      <c r="A27" s="24">
        <v>12</v>
      </c>
      <c r="B27" s="513" t="str">
        <f>'Schedule 2A Adjustments'!B26:D26</f>
        <v/>
      </c>
      <c r="C27" s="513"/>
      <c r="D27" s="513"/>
      <c r="F27" s="117">
        <f>'Schedule 2A Adjustments'!H26</f>
        <v>0</v>
      </c>
      <c r="G27" s="68">
        <f>'Schedule 2A Adjustments'!J26</f>
        <v>0</v>
      </c>
      <c r="H27" s="68">
        <f t="shared" si="0"/>
        <v>0</v>
      </c>
      <c r="J27" s="117">
        <f>'Schedule 2A Adjustments'!P26</f>
        <v>0</v>
      </c>
      <c r="K27" s="68">
        <f>'Schedule 2A Adjustments'!R26</f>
        <v>0</v>
      </c>
      <c r="L27" s="68">
        <f t="shared" si="1"/>
        <v>0</v>
      </c>
      <c r="N27" s="120">
        <f>'Schedule 2A Adjustments'!X26</f>
        <v>0</v>
      </c>
      <c r="O27" s="120">
        <f>'Schedule 2A Adjustments'!AA26</f>
        <v>0</v>
      </c>
    </row>
    <row r="28" spans="1:15" x14ac:dyDescent="0.35">
      <c r="A28" s="24">
        <v>13</v>
      </c>
      <c r="B28" s="513" t="str">
        <f>'Schedule 2A Adjustments'!B27:D27</f>
        <v/>
      </c>
      <c r="C28" s="513"/>
      <c r="D28" s="513"/>
      <c r="F28" s="117">
        <f>'Schedule 2A Adjustments'!H27</f>
        <v>0</v>
      </c>
      <c r="G28" s="68">
        <f>'Schedule 2A Adjustments'!J27</f>
        <v>0</v>
      </c>
      <c r="H28" s="68">
        <f t="shared" si="0"/>
        <v>0</v>
      </c>
      <c r="J28" s="117">
        <f>'Schedule 2A Adjustments'!P27</f>
        <v>0</v>
      </c>
      <c r="K28" s="68">
        <f>'Schedule 2A Adjustments'!R27</f>
        <v>0</v>
      </c>
      <c r="L28" s="68">
        <f t="shared" si="1"/>
        <v>0</v>
      </c>
      <c r="N28" s="120">
        <f>'Schedule 2A Adjustments'!X27</f>
        <v>0</v>
      </c>
      <c r="O28" s="120">
        <f>'Schedule 2A Adjustments'!AA27</f>
        <v>0</v>
      </c>
    </row>
    <row r="29" spans="1:15" x14ac:dyDescent="0.35">
      <c r="A29" s="24">
        <v>14</v>
      </c>
      <c r="B29" s="513" t="str">
        <f>'Schedule 2A Adjustments'!B28:D28</f>
        <v/>
      </c>
      <c r="C29" s="513"/>
      <c r="D29" s="513"/>
      <c r="F29" s="117">
        <f>'Schedule 2A Adjustments'!H28</f>
        <v>0</v>
      </c>
      <c r="G29" s="68">
        <f>'Schedule 2A Adjustments'!J28</f>
        <v>0</v>
      </c>
      <c r="H29" s="68">
        <f t="shared" si="0"/>
        <v>0</v>
      </c>
      <c r="J29" s="117">
        <f>'Schedule 2A Adjustments'!P28</f>
        <v>0</v>
      </c>
      <c r="K29" s="68">
        <f>'Schedule 2A Adjustments'!R28</f>
        <v>0</v>
      </c>
      <c r="L29" s="68">
        <f t="shared" si="1"/>
        <v>0</v>
      </c>
      <c r="N29" s="120">
        <f>'Schedule 2A Adjustments'!X28</f>
        <v>0</v>
      </c>
      <c r="O29" s="120">
        <f>'Schedule 2A Adjustments'!AA28</f>
        <v>0</v>
      </c>
    </row>
    <row r="30" spans="1:15" x14ac:dyDescent="0.35">
      <c r="A30" s="24">
        <v>15</v>
      </c>
      <c r="B30" s="513" t="str">
        <f>'Schedule 2A Adjustments'!B29:D29</f>
        <v/>
      </c>
      <c r="C30" s="513"/>
      <c r="D30" s="513"/>
      <c r="F30" s="117">
        <f>'Schedule 2A Adjustments'!H29</f>
        <v>0</v>
      </c>
      <c r="G30" s="68">
        <f>'Schedule 2A Adjustments'!J29</f>
        <v>0</v>
      </c>
      <c r="H30" s="68">
        <f t="shared" si="0"/>
        <v>0</v>
      </c>
      <c r="J30" s="117">
        <f>'Schedule 2A Adjustments'!P29</f>
        <v>0</v>
      </c>
      <c r="K30" s="68">
        <f>'Schedule 2A Adjustments'!R29</f>
        <v>0</v>
      </c>
      <c r="L30" s="68">
        <f t="shared" si="1"/>
        <v>0</v>
      </c>
      <c r="N30" s="120">
        <f>'Schedule 2A Adjustments'!X29</f>
        <v>0</v>
      </c>
      <c r="O30" s="120">
        <f>'Schedule 2A Adjustments'!AA29</f>
        <v>0</v>
      </c>
    </row>
    <row r="31" spans="1:15" x14ac:dyDescent="0.35">
      <c r="A31" s="24">
        <v>16</v>
      </c>
      <c r="B31" s="513" t="str">
        <f>'Schedule 2A Adjustments'!B30:D30</f>
        <v/>
      </c>
      <c r="C31" s="513"/>
      <c r="D31" s="513"/>
      <c r="F31" s="117">
        <f>'Schedule 2A Adjustments'!H30</f>
        <v>0</v>
      </c>
      <c r="G31" s="68">
        <f>'Schedule 2A Adjustments'!J30</f>
        <v>0</v>
      </c>
      <c r="H31" s="68">
        <f t="shared" si="0"/>
        <v>0</v>
      </c>
      <c r="J31" s="117">
        <f>'Schedule 2A Adjustments'!P30</f>
        <v>0</v>
      </c>
      <c r="K31" s="68">
        <f>'Schedule 2A Adjustments'!R30</f>
        <v>0</v>
      </c>
      <c r="L31" s="68">
        <f t="shared" si="1"/>
        <v>0</v>
      </c>
      <c r="N31" s="120">
        <f>'Schedule 2A Adjustments'!X30</f>
        <v>0</v>
      </c>
      <c r="O31" s="120">
        <f>'Schedule 2A Adjustments'!AA30</f>
        <v>0</v>
      </c>
    </row>
    <row r="32" spans="1:15" x14ac:dyDescent="0.35">
      <c r="A32" s="24">
        <v>17</v>
      </c>
      <c r="B32" s="513" t="str">
        <f>'Schedule 2A Adjustments'!B31:D31</f>
        <v/>
      </c>
      <c r="C32" s="513"/>
      <c r="D32" s="513"/>
      <c r="F32" s="117">
        <f>'Schedule 2A Adjustments'!H31</f>
        <v>0</v>
      </c>
      <c r="G32" s="68">
        <f>'Schedule 2A Adjustments'!J31</f>
        <v>0</v>
      </c>
      <c r="H32" s="68">
        <f t="shared" si="0"/>
        <v>0</v>
      </c>
      <c r="J32" s="117">
        <f>'Schedule 2A Adjustments'!P31</f>
        <v>0</v>
      </c>
      <c r="K32" s="68">
        <f>'Schedule 2A Adjustments'!R31</f>
        <v>0</v>
      </c>
      <c r="L32" s="68">
        <f t="shared" si="1"/>
        <v>0</v>
      </c>
      <c r="N32" s="120">
        <f>'Schedule 2A Adjustments'!X31</f>
        <v>0</v>
      </c>
      <c r="O32" s="120">
        <f>'Schedule 2A Adjustments'!AA31</f>
        <v>0</v>
      </c>
    </row>
    <row r="33" spans="1:15" x14ac:dyDescent="0.35">
      <c r="A33" s="24">
        <v>18</v>
      </c>
      <c r="B33" s="513" t="str">
        <f>'Schedule 2A Adjustments'!B32:D32</f>
        <v/>
      </c>
      <c r="C33" s="513"/>
      <c r="D33" s="513"/>
      <c r="F33" s="117">
        <f>'Schedule 2A Adjustments'!H32</f>
        <v>0</v>
      </c>
      <c r="G33" s="68">
        <f>'Schedule 2A Adjustments'!J32</f>
        <v>0</v>
      </c>
      <c r="H33" s="68">
        <f t="shared" si="0"/>
        <v>0</v>
      </c>
      <c r="J33" s="117">
        <f>'Schedule 2A Adjustments'!P32</f>
        <v>0</v>
      </c>
      <c r="K33" s="68">
        <f>'Schedule 2A Adjustments'!R32</f>
        <v>0</v>
      </c>
      <c r="L33" s="68">
        <f t="shared" si="1"/>
        <v>0</v>
      </c>
      <c r="N33" s="120">
        <f>'Schedule 2A Adjustments'!X32</f>
        <v>0</v>
      </c>
      <c r="O33" s="120">
        <f>'Schedule 2A Adjustments'!AA32</f>
        <v>0</v>
      </c>
    </row>
    <row r="34" spans="1:15" x14ac:dyDescent="0.35">
      <c r="A34" s="24">
        <v>19</v>
      </c>
      <c r="B34" s="513" t="str">
        <f>'Schedule 2A Adjustments'!B33:D33</f>
        <v/>
      </c>
      <c r="C34" s="513"/>
      <c r="D34" s="513"/>
      <c r="F34" s="117">
        <f>'Schedule 2A Adjustments'!H33</f>
        <v>0</v>
      </c>
      <c r="G34" s="68">
        <f>'Schedule 2A Adjustments'!J33</f>
        <v>0</v>
      </c>
      <c r="H34" s="68">
        <f t="shared" si="0"/>
        <v>0</v>
      </c>
      <c r="J34" s="117">
        <f>'Schedule 2A Adjustments'!P33</f>
        <v>0</v>
      </c>
      <c r="K34" s="68">
        <f>'Schedule 2A Adjustments'!R33</f>
        <v>0</v>
      </c>
      <c r="L34" s="68">
        <f t="shared" si="1"/>
        <v>0</v>
      </c>
      <c r="N34" s="120">
        <f>'Schedule 2A Adjustments'!X33</f>
        <v>0</v>
      </c>
      <c r="O34" s="120">
        <f>'Schedule 2A Adjustments'!AA33</f>
        <v>0</v>
      </c>
    </row>
    <row r="35" spans="1:15" x14ac:dyDescent="0.35">
      <c r="A35" s="24">
        <v>20</v>
      </c>
      <c r="B35" s="513" t="str">
        <f>'Schedule 2A Adjustments'!B34:D34</f>
        <v/>
      </c>
      <c r="C35" s="513"/>
      <c r="D35" s="513"/>
      <c r="F35" s="117">
        <f>'Schedule 2A Adjustments'!H34</f>
        <v>0</v>
      </c>
      <c r="G35" s="68">
        <f>'Schedule 2A Adjustments'!J34</f>
        <v>0</v>
      </c>
      <c r="H35" s="68">
        <f t="shared" si="0"/>
        <v>0</v>
      </c>
      <c r="J35" s="117">
        <f>'Schedule 2A Adjustments'!P34</f>
        <v>0</v>
      </c>
      <c r="K35" s="68">
        <f>'Schedule 2A Adjustments'!R34</f>
        <v>0</v>
      </c>
      <c r="L35" s="68">
        <f t="shared" si="1"/>
        <v>0</v>
      </c>
      <c r="N35" s="120">
        <f>'Schedule 2A Adjustments'!X34</f>
        <v>0</v>
      </c>
      <c r="O35" s="120">
        <f>'Schedule 2A Adjustments'!AA34</f>
        <v>0</v>
      </c>
    </row>
    <row r="36" spans="1:15" x14ac:dyDescent="0.35">
      <c r="A36" s="24">
        <v>21</v>
      </c>
      <c r="B36" s="513" t="str">
        <f>'Schedule 2A Adjustments'!B35:D35</f>
        <v/>
      </c>
      <c r="C36" s="513"/>
      <c r="D36" s="513"/>
      <c r="F36" s="117">
        <f>'Schedule 2A Adjustments'!H35</f>
        <v>0</v>
      </c>
      <c r="G36" s="68">
        <f>'Schedule 2A Adjustments'!J35</f>
        <v>0</v>
      </c>
      <c r="H36" s="68">
        <f t="shared" si="0"/>
        <v>0</v>
      </c>
      <c r="J36" s="117">
        <f>'Schedule 2A Adjustments'!P35</f>
        <v>0</v>
      </c>
      <c r="K36" s="68">
        <f>'Schedule 2A Adjustments'!R35</f>
        <v>0</v>
      </c>
      <c r="L36" s="68">
        <f t="shared" si="1"/>
        <v>0</v>
      </c>
      <c r="N36" s="120">
        <f>'Schedule 2A Adjustments'!X35</f>
        <v>0</v>
      </c>
      <c r="O36" s="120">
        <f>'Schedule 2A Adjustments'!AA35</f>
        <v>0</v>
      </c>
    </row>
    <row r="37" spans="1:15" x14ac:dyDescent="0.35">
      <c r="A37" s="24">
        <v>22</v>
      </c>
      <c r="B37" s="513" t="str">
        <f>'Schedule 2A Adjustments'!B36:D36</f>
        <v/>
      </c>
      <c r="C37" s="513"/>
      <c r="D37" s="513"/>
      <c r="F37" s="117">
        <f>'Schedule 2A Adjustments'!H36</f>
        <v>0</v>
      </c>
      <c r="G37" s="68">
        <f>'Schedule 2A Adjustments'!J36</f>
        <v>0</v>
      </c>
      <c r="H37" s="68">
        <f t="shared" si="0"/>
        <v>0</v>
      </c>
      <c r="J37" s="117">
        <f>'Schedule 2A Adjustments'!P36</f>
        <v>0</v>
      </c>
      <c r="K37" s="68">
        <f>'Schedule 2A Adjustments'!R36</f>
        <v>0</v>
      </c>
      <c r="L37" s="68">
        <f t="shared" si="1"/>
        <v>0</v>
      </c>
      <c r="N37" s="120">
        <f>'Schedule 2A Adjustments'!X36</f>
        <v>0</v>
      </c>
      <c r="O37" s="120">
        <f>'Schedule 2A Adjustments'!AA36</f>
        <v>0</v>
      </c>
    </row>
    <row r="38" spans="1:15" x14ac:dyDescent="0.35">
      <c r="A38" s="24">
        <v>23</v>
      </c>
      <c r="B38" s="513" t="str">
        <f>'Schedule 2A Adjustments'!B37:D37</f>
        <v/>
      </c>
      <c r="C38" s="513"/>
      <c r="D38" s="513"/>
      <c r="F38" s="117">
        <f>'Schedule 2A Adjustments'!H37</f>
        <v>0</v>
      </c>
      <c r="G38" s="68">
        <f>'Schedule 2A Adjustments'!J37</f>
        <v>0</v>
      </c>
      <c r="H38" s="68">
        <f t="shared" si="0"/>
        <v>0</v>
      </c>
      <c r="J38" s="117">
        <f>'Schedule 2A Adjustments'!P37</f>
        <v>0</v>
      </c>
      <c r="K38" s="68">
        <f>'Schedule 2A Adjustments'!R37</f>
        <v>0</v>
      </c>
      <c r="L38" s="68">
        <f t="shared" si="1"/>
        <v>0</v>
      </c>
      <c r="N38" s="120">
        <f>'Schedule 2A Adjustments'!X37</f>
        <v>0</v>
      </c>
      <c r="O38" s="120">
        <f>'Schedule 2A Adjustments'!AA37</f>
        <v>0</v>
      </c>
    </row>
    <row r="39" spans="1:15" x14ac:dyDescent="0.35">
      <c r="A39" s="24">
        <v>24</v>
      </c>
      <c r="B39" s="513" t="str">
        <f>'Schedule 2A Adjustments'!B38:D38</f>
        <v/>
      </c>
      <c r="C39" s="513"/>
      <c r="D39" s="513"/>
      <c r="F39" s="117">
        <f>'Schedule 2A Adjustments'!H38</f>
        <v>0</v>
      </c>
      <c r="G39" s="68">
        <f>'Schedule 2A Adjustments'!J38</f>
        <v>0</v>
      </c>
      <c r="H39" s="68">
        <f t="shared" si="0"/>
        <v>0</v>
      </c>
      <c r="J39" s="117">
        <f>'Schedule 2A Adjustments'!P38</f>
        <v>0</v>
      </c>
      <c r="K39" s="68">
        <f>'Schedule 2A Adjustments'!R38</f>
        <v>0</v>
      </c>
      <c r="L39" s="68">
        <f t="shared" si="1"/>
        <v>0</v>
      </c>
      <c r="N39" s="120">
        <f>'Schedule 2A Adjustments'!X38</f>
        <v>0</v>
      </c>
      <c r="O39" s="120">
        <f>'Schedule 2A Adjustments'!AA38</f>
        <v>0</v>
      </c>
    </row>
    <row r="40" spans="1:15" x14ac:dyDescent="0.35">
      <c r="A40" s="24">
        <v>25</v>
      </c>
      <c r="B40" s="513" t="str">
        <f>'Schedule 2A Adjustments'!B39:D39</f>
        <v/>
      </c>
      <c r="C40" s="513"/>
      <c r="D40" s="513"/>
      <c r="F40" s="117">
        <f>'Schedule 2A Adjustments'!H39</f>
        <v>0</v>
      </c>
      <c r="G40" s="68">
        <f>'Schedule 2A Adjustments'!J39</f>
        <v>0</v>
      </c>
      <c r="H40" s="68">
        <f t="shared" si="0"/>
        <v>0</v>
      </c>
      <c r="J40" s="117">
        <f>'Schedule 2A Adjustments'!P39</f>
        <v>0</v>
      </c>
      <c r="K40" s="68">
        <f>'Schedule 2A Adjustments'!R39</f>
        <v>0</v>
      </c>
      <c r="L40" s="68">
        <f t="shared" si="1"/>
        <v>0</v>
      </c>
      <c r="N40" s="120">
        <f>'Schedule 2A Adjustments'!X39</f>
        <v>0</v>
      </c>
      <c r="O40" s="120">
        <f>'Schedule 2A Adjustments'!AA39</f>
        <v>0</v>
      </c>
    </row>
    <row r="41" spans="1:15" x14ac:dyDescent="0.35">
      <c r="A41" s="24">
        <v>26</v>
      </c>
      <c r="B41" s="513" t="str">
        <f>'Schedule 2A Adjustments'!B40:D40</f>
        <v/>
      </c>
      <c r="C41" s="513"/>
      <c r="D41" s="513"/>
      <c r="F41" s="117">
        <f>'Schedule 2A Adjustments'!H40</f>
        <v>0</v>
      </c>
      <c r="G41" s="68">
        <f>'Schedule 2A Adjustments'!J40</f>
        <v>0</v>
      </c>
      <c r="H41" s="68">
        <f t="shared" si="0"/>
        <v>0</v>
      </c>
      <c r="J41" s="117">
        <f>'Schedule 2A Adjustments'!P40</f>
        <v>0</v>
      </c>
      <c r="K41" s="68">
        <f>'Schedule 2A Adjustments'!R40</f>
        <v>0</v>
      </c>
      <c r="L41" s="68">
        <f t="shared" si="1"/>
        <v>0</v>
      </c>
      <c r="N41" s="120">
        <f>'Schedule 2A Adjustments'!X40</f>
        <v>0</v>
      </c>
      <c r="O41" s="120">
        <f>'Schedule 2A Adjustments'!AA40</f>
        <v>0</v>
      </c>
    </row>
    <row r="42" spans="1:15" x14ac:dyDescent="0.35">
      <c r="A42" s="24">
        <v>27</v>
      </c>
      <c r="B42" s="513" t="str">
        <f>'Schedule 2A Adjustments'!B41:D41</f>
        <v/>
      </c>
      <c r="C42" s="513"/>
      <c r="D42" s="513"/>
      <c r="F42" s="117">
        <f>'Schedule 2A Adjustments'!H41</f>
        <v>0</v>
      </c>
      <c r="G42" s="68">
        <f>'Schedule 2A Adjustments'!J41</f>
        <v>0</v>
      </c>
      <c r="H42" s="68">
        <f t="shared" si="0"/>
        <v>0</v>
      </c>
      <c r="J42" s="117">
        <f>'Schedule 2A Adjustments'!P41</f>
        <v>0</v>
      </c>
      <c r="K42" s="68">
        <f>'Schedule 2A Adjustments'!R41</f>
        <v>0</v>
      </c>
      <c r="L42" s="68">
        <f t="shared" si="1"/>
        <v>0</v>
      </c>
      <c r="N42" s="120">
        <f>'Schedule 2A Adjustments'!X41</f>
        <v>0</v>
      </c>
      <c r="O42" s="120">
        <f>'Schedule 2A Adjustments'!AA41</f>
        <v>0</v>
      </c>
    </row>
    <row r="43" spans="1:15" x14ac:dyDescent="0.35">
      <c r="A43" s="24">
        <v>28</v>
      </c>
      <c r="B43" s="513" t="str">
        <f>'Schedule 2A Adjustments'!B42:D42</f>
        <v/>
      </c>
      <c r="C43" s="513"/>
      <c r="D43" s="513"/>
      <c r="F43" s="117">
        <f>'Schedule 2A Adjustments'!H42</f>
        <v>0</v>
      </c>
      <c r="G43" s="68">
        <f>'Schedule 2A Adjustments'!J42</f>
        <v>0</v>
      </c>
      <c r="H43" s="68">
        <f t="shared" si="0"/>
        <v>0</v>
      </c>
      <c r="J43" s="117">
        <f>'Schedule 2A Adjustments'!P42</f>
        <v>0</v>
      </c>
      <c r="K43" s="68">
        <f>'Schedule 2A Adjustments'!R42</f>
        <v>0</v>
      </c>
      <c r="L43" s="68">
        <f t="shared" si="1"/>
        <v>0</v>
      </c>
      <c r="N43" s="120">
        <f>'Schedule 2A Adjustments'!X42</f>
        <v>0</v>
      </c>
      <c r="O43" s="120">
        <f>'Schedule 2A Adjustments'!AA42</f>
        <v>0</v>
      </c>
    </row>
    <row r="44" spans="1:15" x14ac:dyDescent="0.35">
      <c r="A44" s="24">
        <v>29</v>
      </c>
      <c r="B44" s="513" t="str">
        <f>'Schedule 2A Adjustments'!B43:D43</f>
        <v/>
      </c>
      <c r="C44" s="513"/>
      <c r="D44" s="513"/>
      <c r="F44" s="117">
        <f>'Schedule 2A Adjustments'!H43</f>
        <v>0</v>
      </c>
      <c r="G44" s="68">
        <f>'Schedule 2A Adjustments'!J43</f>
        <v>0</v>
      </c>
      <c r="H44" s="68">
        <f t="shared" si="0"/>
        <v>0</v>
      </c>
      <c r="J44" s="117">
        <f>'Schedule 2A Adjustments'!P43</f>
        <v>0</v>
      </c>
      <c r="K44" s="68">
        <f>'Schedule 2A Adjustments'!R43</f>
        <v>0</v>
      </c>
      <c r="L44" s="68">
        <f t="shared" si="1"/>
        <v>0</v>
      </c>
      <c r="N44" s="120">
        <f>'Schedule 2A Adjustments'!X43</f>
        <v>0</v>
      </c>
      <c r="O44" s="120">
        <f>'Schedule 2A Adjustments'!AA43</f>
        <v>0</v>
      </c>
    </row>
    <row r="45" spans="1:15" x14ac:dyDescent="0.35">
      <c r="A45" s="24">
        <v>30</v>
      </c>
      <c r="B45" s="513" t="str">
        <f>'Schedule 2A Adjustments'!B44:D44</f>
        <v/>
      </c>
      <c r="C45" s="513"/>
      <c r="D45" s="513"/>
      <c r="F45" s="117">
        <f>'Schedule 2A Adjustments'!H44</f>
        <v>0</v>
      </c>
      <c r="G45" s="68">
        <f>'Schedule 2A Adjustments'!J44</f>
        <v>0</v>
      </c>
      <c r="H45" s="68">
        <f t="shared" si="0"/>
        <v>0</v>
      </c>
      <c r="J45" s="117">
        <f>'Schedule 2A Adjustments'!P44</f>
        <v>0</v>
      </c>
      <c r="K45" s="68">
        <f>'Schedule 2A Adjustments'!R44</f>
        <v>0</v>
      </c>
      <c r="L45" s="68">
        <f t="shared" si="1"/>
        <v>0</v>
      </c>
      <c r="N45" s="120">
        <f>'Schedule 2A Adjustments'!X44</f>
        <v>0</v>
      </c>
      <c r="O45" s="120">
        <f>'Schedule 2A Adjustments'!AA44</f>
        <v>0</v>
      </c>
    </row>
    <row r="46" spans="1:15" x14ac:dyDescent="0.35">
      <c r="A46" s="24">
        <v>31</v>
      </c>
      <c r="B46" s="513" t="str">
        <f>'Schedule 2A Adjustments'!B45:D45</f>
        <v/>
      </c>
      <c r="C46" s="513"/>
      <c r="D46" s="513"/>
      <c r="F46" s="117">
        <f>'Schedule 2A Adjustments'!H45</f>
        <v>0</v>
      </c>
      <c r="G46" s="68">
        <f>'Schedule 2A Adjustments'!J45</f>
        <v>0</v>
      </c>
      <c r="H46" s="68">
        <f t="shared" si="0"/>
        <v>0</v>
      </c>
      <c r="J46" s="117">
        <f>'Schedule 2A Adjustments'!P45</f>
        <v>0</v>
      </c>
      <c r="K46" s="68">
        <f>'Schedule 2A Adjustments'!R45</f>
        <v>0</v>
      </c>
      <c r="L46" s="68">
        <f t="shared" si="1"/>
        <v>0</v>
      </c>
      <c r="N46" s="120">
        <f>'Schedule 2A Adjustments'!X45</f>
        <v>0</v>
      </c>
      <c r="O46" s="120">
        <f>'Schedule 2A Adjustments'!AA45</f>
        <v>0</v>
      </c>
    </row>
    <row r="47" spans="1:15" x14ac:dyDescent="0.35">
      <c r="A47" s="24">
        <v>32</v>
      </c>
      <c r="B47" s="513" t="str">
        <f>'Schedule 2A Adjustments'!B46:D46</f>
        <v/>
      </c>
      <c r="C47" s="513"/>
      <c r="D47" s="513"/>
      <c r="F47" s="117">
        <f>'Schedule 2A Adjustments'!H46</f>
        <v>0</v>
      </c>
      <c r="G47" s="68">
        <f>'Schedule 2A Adjustments'!J46</f>
        <v>0</v>
      </c>
      <c r="H47" s="68">
        <f t="shared" si="0"/>
        <v>0</v>
      </c>
      <c r="J47" s="117">
        <f>'Schedule 2A Adjustments'!P46</f>
        <v>0</v>
      </c>
      <c r="K47" s="68">
        <f>'Schedule 2A Adjustments'!R46</f>
        <v>0</v>
      </c>
      <c r="L47" s="68">
        <f t="shared" si="1"/>
        <v>0</v>
      </c>
      <c r="N47" s="120">
        <f>'Schedule 2A Adjustments'!X46</f>
        <v>0</v>
      </c>
      <c r="O47" s="120">
        <f>'Schedule 2A Adjustments'!AA46</f>
        <v>0</v>
      </c>
    </row>
    <row r="48" spans="1:15" x14ac:dyDescent="0.35">
      <c r="A48" s="24">
        <v>33</v>
      </c>
      <c r="B48" s="513" t="str">
        <f>'Schedule 2A Adjustments'!B47:D47</f>
        <v/>
      </c>
      <c r="C48" s="513"/>
      <c r="D48" s="513"/>
      <c r="F48" s="117">
        <f>'Schedule 2A Adjustments'!H47</f>
        <v>0</v>
      </c>
      <c r="G48" s="68">
        <f>'Schedule 2A Adjustments'!J47</f>
        <v>0</v>
      </c>
      <c r="H48" s="68">
        <f t="shared" si="0"/>
        <v>0</v>
      </c>
      <c r="J48" s="117">
        <f>'Schedule 2A Adjustments'!P47</f>
        <v>0</v>
      </c>
      <c r="K48" s="68">
        <f>'Schedule 2A Adjustments'!R47</f>
        <v>0</v>
      </c>
      <c r="L48" s="68">
        <f t="shared" si="1"/>
        <v>0</v>
      </c>
      <c r="N48" s="120">
        <f>'Schedule 2A Adjustments'!X47</f>
        <v>0</v>
      </c>
      <c r="O48" s="120">
        <f>'Schedule 2A Adjustments'!AA47</f>
        <v>0</v>
      </c>
    </row>
    <row r="49" spans="1:15" x14ac:dyDescent="0.35">
      <c r="A49" s="24">
        <v>34</v>
      </c>
      <c r="B49" s="513" t="str">
        <f>'Schedule 2A Adjustments'!B48:D48</f>
        <v/>
      </c>
      <c r="C49" s="513"/>
      <c r="D49" s="513"/>
      <c r="F49" s="117">
        <f>'Schedule 2A Adjustments'!H48</f>
        <v>0</v>
      </c>
      <c r="G49" s="68">
        <f>'Schedule 2A Adjustments'!J48</f>
        <v>0</v>
      </c>
      <c r="H49" s="68">
        <f t="shared" si="0"/>
        <v>0</v>
      </c>
      <c r="J49" s="117">
        <f>'Schedule 2A Adjustments'!P48</f>
        <v>0</v>
      </c>
      <c r="K49" s="68">
        <f>'Schedule 2A Adjustments'!R48</f>
        <v>0</v>
      </c>
      <c r="L49" s="68">
        <f t="shared" si="1"/>
        <v>0</v>
      </c>
      <c r="N49" s="120">
        <f>'Schedule 2A Adjustments'!X48</f>
        <v>0</v>
      </c>
      <c r="O49" s="120">
        <f>'Schedule 2A Adjustments'!AA48</f>
        <v>0</v>
      </c>
    </row>
    <row r="50" spans="1:15" x14ac:dyDescent="0.35">
      <c r="A50" s="24">
        <v>35</v>
      </c>
      <c r="B50" s="513" t="str">
        <f>'Schedule 2A Adjustments'!B49:D49</f>
        <v/>
      </c>
      <c r="C50" s="513"/>
      <c r="D50" s="513"/>
      <c r="F50" s="117">
        <f>'Schedule 2A Adjustments'!H49</f>
        <v>0</v>
      </c>
      <c r="G50" s="68">
        <f>'Schedule 2A Adjustments'!J49</f>
        <v>0</v>
      </c>
      <c r="H50" s="68">
        <f t="shared" si="0"/>
        <v>0</v>
      </c>
      <c r="J50" s="117">
        <f>'Schedule 2A Adjustments'!P49</f>
        <v>0</v>
      </c>
      <c r="K50" s="68">
        <f>'Schedule 2A Adjustments'!R49</f>
        <v>0</v>
      </c>
      <c r="L50" s="68">
        <f t="shared" si="1"/>
        <v>0</v>
      </c>
      <c r="N50" s="120">
        <f>'Schedule 2A Adjustments'!X49</f>
        <v>0</v>
      </c>
      <c r="O50" s="120">
        <f>'Schedule 2A Adjustments'!AA49</f>
        <v>0</v>
      </c>
    </row>
    <row r="51" spans="1:15" x14ac:dyDescent="0.35">
      <c r="A51" s="24">
        <v>36</v>
      </c>
      <c r="B51" s="513" t="str">
        <f>'Schedule 2A Adjustments'!B50:D50</f>
        <v/>
      </c>
      <c r="C51" s="513"/>
      <c r="D51" s="513"/>
      <c r="F51" s="117">
        <f>'Schedule 2A Adjustments'!H50</f>
        <v>0</v>
      </c>
      <c r="G51" s="68">
        <f>'Schedule 2A Adjustments'!J50</f>
        <v>0</v>
      </c>
      <c r="H51" s="68">
        <f t="shared" si="0"/>
        <v>0</v>
      </c>
      <c r="J51" s="117">
        <f>'Schedule 2A Adjustments'!P50</f>
        <v>0</v>
      </c>
      <c r="K51" s="68">
        <f>'Schedule 2A Adjustments'!R50</f>
        <v>0</v>
      </c>
      <c r="L51" s="68">
        <f t="shared" si="1"/>
        <v>0</v>
      </c>
      <c r="N51" s="120">
        <f>'Schedule 2A Adjustments'!X50</f>
        <v>0</v>
      </c>
      <c r="O51" s="120">
        <f>'Schedule 2A Adjustments'!AA50</f>
        <v>0</v>
      </c>
    </row>
    <row r="52" spans="1:15" x14ac:dyDescent="0.35">
      <c r="A52" s="24">
        <v>37</v>
      </c>
      <c r="B52" s="513" t="str">
        <f>'Schedule 2A Adjustments'!B51:D51</f>
        <v/>
      </c>
      <c r="C52" s="513"/>
      <c r="D52" s="513"/>
      <c r="F52" s="117">
        <f>'Schedule 2A Adjustments'!H51</f>
        <v>0</v>
      </c>
      <c r="G52" s="68">
        <f>'Schedule 2A Adjustments'!J51</f>
        <v>0</v>
      </c>
      <c r="H52" s="68">
        <f t="shared" si="0"/>
        <v>0</v>
      </c>
      <c r="J52" s="117">
        <f>'Schedule 2A Adjustments'!P51</f>
        <v>0</v>
      </c>
      <c r="K52" s="68">
        <f>'Schedule 2A Adjustments'!R51</f>
        <v>0</v>
      </c>
      <c r="L52" s="68">
        <f t="shared" si="1"/>
        <v>0</v>
      </c>
      <c r="N52" s="120">
        <f>'Schedule 2A Adjustments'!X51</f>
        <v>0</v>
      </c>
      <c r="O52" s="120">
        <f>'Schedule 2A Adjustments'!AA51</f>
        <v>0</v>
      </c>
    </row>
    <row r="53" spans="1:15" x14ac:dyDescent="0.35">
      <c r="A53" s="24">
        <v>38</v>
      </c>
      <c r="B53" s="513" t="str">
        <f>'Schedule 2A Adjustments'!B52:D52</f>
        <v/>
      </c>
      <c r="C53" s="513"/>
      <c r="D53" s="513"/>
      <c r="F53" s="117">
        <f>'Schedule 2A Adjustments'!H52</f>
        <v>0</v>
      </c>
      <c r="G53" s="68">
        <f>'Schedule 2A Adjustments'!J52</f>
        <v>0</v>
      </c>
      <c r="H53" s="68">
        <f t="shared" si="0"/>
        <v>0</v>
      </c>
      <c r="J53" s="117">
        <f>'Schedule 2A Adjustments'!P52</f>
        <v>0</v>
      </c>
      <c r="K53" s="68">
        <f>'Schedule 2A Adjustments'!R52</f>
        <v>0</v>
      </c>
      <c r="L53" s="68">
        <f t="shared" si="1"/>
        <v>0</v>
      </c>
      <c r="N53" s="120">
        <f>'Schedule 2A Adjustments'!X52</f>
        <v>0</v>
      </c>
      <c r="O53" s="120">
        <f>'Schedule 2A Adjustments'!AA52</f>
        <v>0</v>
      </c>
    </row>
    <row r="54" spans="1:15" x14ac:dyDescent="0.35">
      <c r="A54" s="24">
        <v>39</v>
      </c>
      <c r="B54" s="513" t="str">
        <f>'Schedule 2A Adjustments'!B53:D53</f>
        <v/>
      </c>
      <c r="C54" s="513"/>
      <c r="D54" s="513"/>
      <c r="F54" s="117">
        <f>'Schedule 2A Adjustments'!H53</f>
        <v>0</v>
      </c>
      <c r="G54" s="68">
        <f>'Schedule 2A Adjustments'!J53</f>
        <v>0</v>
      </c>
      <c r="H54" s="68">
        <f t="shared" si="0"/>
        <v>0</v>
      </c>
      <c r="J54" s="117">
        <f>'Schedule 2A Adjustments'!P53</f>
        <v>0</v>
      </c>
      <c r="K54" s="68">
        <f>'Schedule 2A Adjustments'!R53</f>
        <v>0</v>
      </c>
      <c r="L54" s="68">
        <f t="shared" si="1"/>
        <v>0</v>
      </c>
      <c r="N54" s="120">
        <f>'Schedule 2A Adjustments'!X53</f>
        <v>0</v>
      </c>
      <c r="O54" s="120">
        <f>'Schedule 2A Adjustments'!AA53</f>
        <v>0</v>
      </c>
    </row>
    <row r="55" spans="1:15" x14ac:dyDescent="0.35">
      <c r="A55" s="24">
        <v>40</v>
      </c>
      <c r="B55" s="513" t="str">
        <f>'Schedule 2A Adjustments'!B54:D54</f>
        <v/>
      </c>
      <c r="C55" s="513"/>
      <c r="D55" s="513"/>
      <c r="F55" s="117">
        <f>'Schedule 2A Adjustments'!H54</f>
        <v>0</v>
      </c>
      <c r="G55" s="68">
        <f>'Schedule 2A Adjustments'!J54</f>
        <v>0</v>
      </c>
      <c r="H55" s="68">
        <f t="shared" si="0"/>
        <v>0</v>
      </c>
      <c r="J55" s="117">
        <f>'Schedule 2A Adjustments'!P54</f>
        <v>0</v>
      </c>
      <c r="K55" s="68">
        <f>'Schedule 2A Adjustments'!R54</f>
        <v>0</v>
      </c>
      <c r="L55" s="68">
        <f t="shared" si="1"/>
        <v>0</v>
      </c>
      <c r="N55" s="120">
        <f>'Schedule 2A Adjustments'!X54</f>
        <v>0</v>
      </c>
      <c r="O55" s="120">
        <f>'Schedule 2A Adjustments'!AA54</f>
        <v>0</v>
      </c>
    </row>
    <row r="56" spans="1:15" x14ac:dyDescent="0.35">
      <c r="A56" s="24">
        <v>41</v>
      </c>
      <c r="B56" s="513" t="str">
        <f>'Schedule 2A Adjustments'!B55:D55</f>
        <v/>
      </c>
      <c r="C56" s="513"/>
      <c r="D56" s="513"/>
      <c r="F56" s="117">
        <f>'Schedule 2A Adjustments'!H55</f>
        <v>0</v>
      </c>
      <c r="G56" s="68">
        <f>'Schedule 2A Adjustments'!J55</f>
        <v>0</v>
      </c>
      <c r="H56" s="68">
        <f t="shared" si="0"/>
        <v>0</v>
      </c>
      <c r="J56" s="117">
        <f>'Schedule 2A Adjustments'!P55</f>
        <v>0</v>
      </c>
      <c r="K56" s="68">
        <f>'Schedule 2A Adjustments'!R55</f>
        <v>0</v>
      </c>
      <c r="L56" s="68">
        <f t="shared" si="1"/>
        <v>0</v>
      </c>
      <c r="N56" s="120">
        <f>'Schedule 2A Adjustments'!X55</f>
        <v>0</v>
      </c>
      <c r="O56" s="120">
        <f>'Schedule 2A Adjustments'!AA55</f>
        <v>0</v>
      </c>
    </row>
    <row r="57" spans="1:15" x14ac:dyDescent="0.35">
      <c r="A57" s="24">
        <v>42</v>
      </c>
      <c r="B57" s="513" t="str">
        <f>'Schedule 2A Adjustments'!B56:D56</f>
        <v/>
      </c>
      <c r="C57" s="513"/>
      <c r="D57" s="513"/>
      <c r="F57" s="117">
        <f>'Schedule 2A Adjustments'!H56</f>
        <v>0</v>
      </c>
      <c r="G57" s="68">
        <f>'Schedule 2A Adjustments'!J56</f>
        <v>0</v>
      </c>
      <c r="H57" s="68">
        <f t="shared" si="0"/>
        <v>0</v>
      </c>
      <c r="J57" s="117">
        <f>'Schedule 2A Adjustments'!P56</f>
        <v>0</v>
      </c>
      <c r="K57" s="68">
        <f>'Schedule 2A Adjustments'!R56</f>
        <v>0</v>
      </c>
      <c r="L57" s="68">
        <f t="shared" si="1"/>
        <v>0</v>
      </c>
      <c r="N57" s="120">
        <f>'Schedule 2A Adjustments'!X56</f>
        <v>0</v>
      </c>
      <c r="O57" s="120">
        <f>'Schedule 2A Adjustments'!AA56</f>
        <v>0</v>
      </c>
    </row>
    <row r="58" spans="1:15" x14ac:dyDescent="0.35">
      <c r="A58" s="24">
        <v>43</v>
      </c>
      <c r="B58" s="513" t="str">
        <f>'Schedule 2A Adjustments'!B57:D57</f>
        <v/>
      </c>
      <c r="C58" s="513"/>
      <c r="D58" s="513"/>
      <c r="F58" s="117">
        <f>'Schedule 2A Adjustments'!H57</f>
        <v>0</v>
      </c>
      <c r="G58" s="68">
        <f>'Schedule 2A Adjustments'!J57</f>
        <v>0</v>
      </c>
      <c r="H58" s="68">
        <f t="shared" si="0"/>
        <v>0</v>
      </c>
      <c r="J58" s="117">
        <f>'Schedule 2A Adjustments'!P57</f>
        <v>0</v>
      </c>
      <c r="K58" s="68">
        <f>'Schedule 2A Adjustments'!R57</f>
        <v>0</v>
      </c>
      <c r="L58" s="68">
        <f t="shared" si="1"/>
        <v>0</v>
      </c>
      <c r="N58" s="120">
        <f>'Schedule 2A Adjustments'!X57</f>
        <v>0</v>
      </c>
      <c r="O58" s="120">
        <f>'Schedule 2A Adjustments'!AA57</f>
        <v>0</v>
      </c>
    </row>
    <row r="59" spans="1:15" x14ac:dyDescent="0.35">
      <c r="A59" s="24">
        <v>44</v>
      </c>
      <c r="B59" s="513" t="str">
        <f>'Schedule 2A Adjustments'!B58:D58</f>
        <v/>
      </c>
      <c r="C59" s="513"/>
      <c r="D59" s="513"/>
      <c r="F59" s="117">
        <f>'Schedule 2A Adjustments'!H58</f>
        <v>0</v>
      </c>
      <c r="G59" s="68">
        <f>'Schedule 2A Adjustments'!J58</f>
        <v>0</v>
      </c>
      <c r="H59" s="68">
        <f t="shared" si="0"/>
        <v>0</v>
      </c>
      <c r="J59" s="117">
        <f>'Schedule 2A Adjustments'!P58</f>
        <v>0</v>
      </c>
      <c r="K59" s="68">
        <f>'Schedule 2A Adjustments'!R58</f>
        <v>0</v>
      </c>
      <c r="L59" s="68">
        <f t="shared" si="1"/>
        <v>0</v>
      </c>
      <c r="N59" s="120">
        <f>'Schedule 2A Adjustments'!X58</f>
        <v>0</v>
      </c>
      <c r="O59" s="120">
        <f>'Schedule 2A Adjustments'!AA58</f>
        <v>0</v>
      </c>
    </row>
    <row r="60" spans="1:15" x14ac:dyDescent="0.35">
      <c r="A60" s="24">
        <v>45</v>
      </c>
      <c r="B60" s="513" t="str">
        <f>'Schedule 2A Adjustments'!B59:D59</f>
        <v/>
      </c>
      <c r="C60" s="513"/>
      <c r="D60" s="513"/>
      <c r="F60" s="117">
        <f>'Schedule 2A Adjustments'!H59</f>
        <v>0</v>
      </c>
      <c r="G60" s="68">
        <f>'Schedule 2A Adjustments'!J59</f>
        <v>0</v>
      </c>
      <c r="H60" s="68">
        <f t="shared" si="0"/>
        <v>0</v>
      </c>
      <c r="J60" s="117">
        <f>'Schedule 2A Adjustments'!P59</f>
        <v>0</v>
      </c>
      <c r="K60" s="68">
        <f>'Schedule 2A Adjustments'!R59</f>
        <v>0</v>
      </c>
      <c r="L60" s="68">
        <f t="shared" si="1"/>
        <v>0</v>
      </c>
      <c r="N60" s="120">
        <f>'Schedule 2A Adjustments'!X59</f>
        <v>0</v>
      </c>
      <c r="O60" s="120">
        <f>'Schedule 2A Adjustments'!AA59</f>
        <v>0</v>
      </c>
    </row>
    <row r="61" spans="1:15" x14ac:dyDescent="0.35">
      <c r="A61" s="24">
        <v>46</v>
      </c>
      <c r="B61" s="513" t="str">
        <f>'Schedule 2A Adjustments'!B60:D60</f>
        <v/>
      </c>
      <c r="C61" s="513"/>
      <c r="D61" s="513"/>
      <c r="F61" s="117">
        <f>'Schedule 2A Adjustments'!H60</f>
        <v>0</v>
      </c>
      <c r="G61" s="68">
        <f>'Schedule 2A Adjustments'!J60</f>
        <v>0</v>
      </c>
      <c r="H61" s="68">
        <f t="shared" si="0"/>
        <v>0</v>
      </c>
      <c r="J61" s="117">
        <f>'Schedule 2A Adjustments'!P60</f>
        <v>0</v>
      </c>
      <c r="K61" s="68">
        <f>'Schedule 2A Adjustments'!R60</f>
        <v>0</v>
      </c>
      <c r="L61" s="68">
        <f t="shared" si="1"/>
        <v>0</v>
      </c>
      <c r="N61" s="120">
        <f>'Schedule 2A Adjustments'!X60</f>
        <v>0</v>
      </c>
      <c r="O61" s="120">
        <f>'Schedule 2A Adjustments'!AA60</f>
        <v>0</v>
      </c>
    </row>
    <row r="62" spans="1:15" x14ac:dyDescent="0.35">
      <c r="A62" s="24">
        <v>47</v>
      </c>
      <c r="B62" s="513" t="str">
        <f>'Schedule 2A Adjustments'!B61:D61</f>
        <v/>
      </c>
      <c r="C62" s="513"/>
      <c r="D62" s="513"/>
      <c r="F62" s="117">
        <f>'Schedule 2A Adjustments'!H61</f>
        <v>0</v>
      </c>
      <c r="G62" s="68">
        <f>'Schedule 2A Adjustments'!J61</f>
        <v>0</v>
      </c>
      <c r="H62" s="68">
        <f t="shared" si="0"/>
        <v>0</v>
      </c>
      <c r="J62" s="117">
        <f>'Schedule 2A Adjustments'!P61</f>
        <v>0</v>
      </c>
      <c r="K62" s="68">
        <f>'Schedule 2A Adjustments'!R61</f>
        <v>0</v>
      </c>
      <c r="L62" s="68">
        <f t="shared" si="1"/>
        <v>0</v>
      </c>
      <c r="N62" s="120">
        <f>'Schedule 2A Adjustments'!X61</f>
        <v>0</v>
      </c>
      <c r="O62" s="120">
        <f>'Schedule 2A Adjustments'!AA61</f>
        <v>0</v>
      </c>
    </row>
    <row r="63" spans="1:15" x14ac:dyDescent="0.35">
      <c r="A63" s="24">
        <v>48</v>
      </c>
      <c r="B63" s="513" t="str">
        <f>'Schedule 2A Adjustments'!B62:D62</f>
        <v/>
      </c>
      <c r="C63" s="513"/>
      <c r="D63" s="513"/>
      <c r="F63" s="117">
        <f>'Schedule 2A Adjustments'!H62</f>
        <v>0</v>
      </c>
      <c r="G63" s="68">
        <f>'Schedule 2A Adjustments'!J62</f>
        <v>0</v>
      </c>
      <c r="H63" s="68">
        <f t="shared" si="0"/>
        <v>0</v>
      </c>
      <c r="J63" s="117">
        <f>'Schedule 2A Adjustments'!P62</f>
        <v>0</v>
      </c>
      <c r="K63" s="68">
        <f>'Schedule 2A Adjustments'!R62</f>
        <v>0</v>
      </c>
      <c r="L63" s="68">
        <f t="shared" si="1"/>
        <v>0</v>
      </c>
      <c r="N63" s="120">
        <f>'Schedule 2A Adjustments'!X62</f>
        <v>0</v>
      </c>
      <c r="O63" s="120">
        <f>'Schedule 2A Adjustments'!AA62</f>
        <v>0</v>
      </c>
    </row>
    <row r="64" spans="1:15" x14ac:dyDescent="0.35">
      <c r="A64" s="24">
        <v>49</v>
      </c>
      <c r="B64" s="513" t="str">
        <f>'Schedule 2A Adjustments'!B63:D63</f>
        <v/>
      </c>
      <c r="C64" s="513"/>
      <c r="D64" s="513"/>
      <c r="F64" s="117">
        <f>'Schedule 2A Adjustments'!H63</f>
        <v>0</v>
      </c>
      <c r="G64" s="68">
        <f>'Schedule 2A Adjustments'!J63</f>
        <v>0</v>
      </c>
      <c r="H64" s="68">
        <f t="shared" si="0"/>
        <v>0</v>
      </c>
      <c r="J64" s="117">
        <f>'Schedule 2A Adjustments'!P63</f>
        <v>0</v>
      </c>
      <c r="K64" s="68">
        <f>'Schedule 2A Adjustments'!R63</f>
        <v>0</v>
      </c>
      <c r="L64" s="68">
        <f t="shared" si="1"/>
        <v>0</v>
      </c>
      <c r="N64" s="120">
        <f>'Schedule 2A Adjustments'!X63</f>
        <v>0</v>
      </c>
      <c r="O64" s="120">
        <f>'Schedule 2A Adjustments'!AA63</f>
        <v>0</v>
      </c>
    </row>
    <row r="65" spans="1:15" x14ac:dyDescent="0.35">
      <c r="A65" s="24">
        <v>50</v>
      </c>
      <c r="B65" s="513" t="str">
        <f>'Schedule 2A Adjustments'!B64:D64</f>
        <v/>
      </c>
      <c r="C65" s="513"/>
      <c r="D65" s="513"/>
      <c r="F65" s="117">
        <f>'Schedule 2A Adjustments'!H64</f>
        <v>0</v>
      </c>
      <c r="G65" s="68">
        <f>'Schedule 2A Adjustments'!J64</f>
        <v>0</v>
      </c>
      <c r="H65" s="68">
        <f t="shared" si="0"/>
        <v>0</v>
      </c>
      <c r="J65" s="117">
        <f>'Schedule 2A Adjustments'!P64</f>
        <v>0</v>
      </c>
      <c r="K65" s="68">
        <f>'Schedule 2A Adjustments'!R64</f>
        <v>0</v>
      </c>
      <c r="L65" s="68">
        <f t="shared" si="1"/>
        <v>0</v>
      </c>
      <c r="N65" s="120">
        <f>'Schedule 2A Adjustments'!X64</f>
        <v>0</v>
      </c>
      <c r="O65" s="120">
        <f>'Schedule 2A Adjustments'!AA64</f>
        <v>0</v>
      </c>
    </row>
    <row r="66" spans="1:15" x14ac:dyDescent="0.35">
      <c r="A66" s="24">
        <v>51</v>
      </c>
      <c r="B66" s="513" t="str">
        <f>'Schedule 2A Adjustments'!B65:D65</f>
        <v/>
      </c>
      <c r="C66" s="513"/>
      <c r="D66" s="513"/>
      <c r="F66" s="117">
        <f>'Schedule 2A Adjustments'!H65</f>
        <v>0</v>
      </c>
      <c r="G66" s="68">
        <f>'Schedule 2A Adjustments'!J65</f>
        <v>0</v>
      </c>
      <c r="H66" s="68">
        <f t="shared" si="0"/>
        <v>0</v>
      </c>
      <c r="J66" s="117">
        <f>'Schedule 2A Adjustments'!P65</f>
        <v>0</v>
      </c>
      <c r="K66" s="68">
        <f>'Schedule 2A Adjustments'!R65</f>
        <v>0</v>
      </c>
      <c r="L66" s="68">
        <f t="shared" si="1"/>
        <v>0</v>
      </c>
      <c r="N66" s="120">
        <f>'Schedule 2A Adjustments'!X65</f>
        <v>0</v>
      </c>
      <c r="O66" s="120">
        <f>'Schedule 2A Adjustments'!AA65</f>
        <v>0</v>
      </c>
    </row>
    <row r="67" spans="1:15" x14ac:dyDescent="0.35">
      <c r="A67" s="24">
        <v>52</v>
      </c>
      <c r="B67" s="513" t="str">
        <f>'Schedule 2A Adjustments'!B66:D66</f>
        <v/>
      </c>
      <c r="C67" s="513"/>
      <c r="D67" s="513"/>
      <c r="F67" s="117">
        <f>'Schedule 2A Adjustments'!H66</f>
        <v>0</v>
      </c>
      <c r="G67" s="68">
        <f>'Schedule 2A Adjustments'!J66</f>
        <v>0</v>
      </c>
      <c r="H67" s="68">
        <f t="shared" si="0"/>
        <v>0</v>
      </c>
      <c r="J67" s="117">
        <f>'Schedule 2A Adjustments'!P66</f>
        <v>0</v>
      </c>
      <c r="K67" s="68">
        <f>'Schedule 2A Adjustments'!R66</f>
        <v>0</v>
      </c>
      <c r="L67" s="68">
        <f t="shared" si="1"/>
        <v>0</v>
      </c>
      <c r="N67" s="120">
        <f>'Schedule 2A Adjustments'!X66</f>
        <v>0</v>
      </c>
      <c r="O67" s="120">
        <f>'Schedule 2A Adjustments'!AA66</f>
        <v>0</v>
      </c>
    </row>
    <row r="68" spans="1:15" x14ac:dyDescent="0.35">
      <c r="A68" s="24">
        <v>53</v>
      </c>
      <c r="B68" s="513" t="str">
        <f>'Schedule 2A Adjustments'!B67:D67</f>
        <v/>
      </c>
      <c r="C68" s="513"/>
      <c r="D68" s="513"/>
      <c r="F68" s="117">
        <f>'Schedule 2A Adjustments'!H67</f>
        <v>0</v>
      </c>
      <c r="G68" s="68">
        <f>'Schedule 2A Adjustments'!J67</f>
        <v>0</v>
      </c>
      <c r="H68" s="68">
        <f t="shared" si="0"/>
        <v>0</v>
      </c>
      <c r="J68" s="117">
        <f>'Schedule 2A Adjustments'!P67</f>
        <v>0</v>
      </c>
      <c r="K68" s="68">
        <f>'Schedule 2A Adjustments'!R67</f>
        <v>0</v>
      </c>
      <c r="L68" s="68">
        <f t="shared" si="1"/>
        <v>0</v>
      </c>
      <c r="N68" s="120">
        <f>'Schedule 2A Adjustments'!X67</f>
        <v>0</v>
      </c>
      <c r="O68" s="120">
        <f>'Schedule 2A Adjustments'!AA67</f>
        <v>0</v>
      </c>
    </row>
    <row r="69" spans="1:15" x14ac:dyDescent="0.35">
      <c r="A69" s="24">
        <v>54</v>
      </c>
      <c r="B69" s="513" t="str">
        <f>'Schedule 2A Adjustments'!B68:D68</f>
        <v/>
      </c>
      <c r="C69" s="513"/>
      <c r="D69" s="513"/>
      <c r="F69" s="117">
        <f>'Schedule 2A Adjustments'!H68</f>
        <v>0</v>
      </c>
      <c r="G69" s="68">
        <f>'Schedule 2A Adjustments'!J68</f>
        <v>0</v>
      </c>
      <c r="H69" s="68">
        <f t="shared" si="0"/>
        <v>0</v>
      </c>
      <c r="J69" s="117">
        <f>'Schedule 2A Adjustments'!P68</f>
        <v>0</v>
      </c>
      <c r="K69" s="68">
        <f>'Schedule 2A Adjustments'!R68</f>
        <v>0</v>
      </c>
      <c r="L69" s="68">
        <f t="shared" si="1"/>
        <v>0</v>
      </c>
      <c r="N69" s="120">
        <f>'Schedule 2A Adjustments'!X68</f>
        <v>0</v>
      </c>
      <c r="O69" s="120">
        <f>'Schedule 2A Adjustments'!AA68</f>
        <v>0</v>
      </c>
    </row>
    <row r="70" spans="1:15" x14ac:dyDescent="0.35">
      <c r="A70" s="24">
        <v>55</v>
      </c>
      <c r="B70" s="513" t="str">
        <f>'Schedule 2A Adjustments'!B69:D69</f>
        <v/>
      </c>
      <c r="C70" s="513"/>
      <c r="D70" s="513"/>
      <c r="F70" s="117">
        <f>'Schedule 2A Adjustments'!H69</f>
        <v>0</v>
      </c>
      <c r="G70" s="68">
        <f>'Schedule 2A Adjustments'!J69</f>
        <v>0</v>
      </c>
      <c r="H70" s="68">
        <f t="shared" si="0"/>
        <v>0</v>
      </c>
      <c r="J70" s="117">
        <f>'Schedule 2A Adjustments'!P69</f>
        <v>0</v>
      </c>
      <c r="K70" s="68">
        <f>'Schedule 2A Adjustments'!R69</f>
        <v>0</v>
      </c>
      <c r="L70" s="68">
        <f t="shared" si="1"/>
        <v>0</v>
      </c>
      <c r="N70" s="120">
        <f>'Schedule 2A Adjustments'!X69</f>
        <v>0</v>
      </c>
      <c r="O70" s="120">
        <f>'Schedule 2A Adjustments'!AA69</f>
        <v>0</v>
      </c>
    </row>
    <row r="71" spans="1:15" x14ac:dyDescent="0.35">
      <c r="A71" s="24">
        <v>56</v>
      </c>
      <c r="B71" s="513" t="str">
        <f>'Schedule 2A Adjustments'!B70:D70</f>
        <v/>
      </c>
      <c r="C71" s="513"/>
      <c r="D71" s="513"/>
      <c r="F71" s="117">
        <f>'Schedule 2A Adjustments'!H70</f>
        <v>0</v>
      </c>
      <c r="G71" s="68">
        <f>'Schedule 2A Adjustments'!J70</f>
        <v>0</v>
      </c>
      <c r="H71" s="68">
        <f t="shared" si="0"/>
        <v>0</v>
      </c>
      <c r="J71" s="117">
        <f>'Schedule 2A Adjustments'!P70</f>
        <v>0</v>
      </c>
      <c r="K71" s="68">
        <f>'Schedule 2A Adjustments'!R70</f>
        <v>0</v>
      </c>
      <c r="L71" s="68">
        <f t="shared" si="1"/>
        <v>0</v>
      </c>
      <c r="N71" s="120">
        <f>'Schedule 2A Adjustments'!X70</f>
        <v>0</v>
      </c>
      <c r="O71" s="120">
        <f>'Schedule 2A Adjustments'!AA70</f>
        <v>0</v>
      </c>
    </row>
    <row r="72" spans="1:15" x14ac:dyDescent="0.35">
      <c r="A72" s="24">
        <v>57</v>
      </c>
      <c r="B72" s="513" t="str">
        <f>'Schedule 2A Adjustments'!B71:D71</f>
        <v/>
      </c>
      <c r="C72" s="513"/>
      <c r="D72" s="513"/>
      <c r="F72" s="117">
        <f>'Schedule 2A Adjustments'!H71</f>
        <v>0</v>
      </c>
      <c r="G72" s="68">
        <f>'Schedule 2A Adjustments'!J71</f>
        <v>0</v>
      </c>
      <c r="H72" s="68">
        <f t="shared" si="0"/>
        <v>0</v>
      </c>
      <c r="J72" s="117">
        <f>'Schedule 2A Adjustments'!P71</f>
        <v>0</v>
      </c>
      <c r="K72" s="68">
        <f>'Schedule 2A Adjustments'!R71</f>
        <v>0</v>
      </c>
      <c r="L72" s="68">
        <f t="shared" si="1"/>
        <v>0</v>
      </c>
      <c r="N72" s="120">
        <f>'Schedule 2A Adjustments'!X71</f>
        <v>0</v>
      </c>
      <c r="O72" s="120">
        <f>'Schedule 2A Adjustments'!AA71</f>
        <v>0</v>
      </c>
    </row>
    <row r="73" spans="1:15" x14ac:dyDescent="0.35">
      <c r="A73" s="24">
        <v>58</v>
      </c>
      <c r="B73" s="513" t="str">
        <f>'Schedule 2A Adjustments'!B72:D72</f>
        <v/>
      </c>
      <c r="C73" s="513"/>
      <c r="D73" s="513"/>
      <c r="F73" s="117">
        <f>'Schedule 2A Adjustments'!H72</f>
        <v>0</v>
      </c>
      <c r="G73" s="68">
        <f>'Schedule 2A Adjustments'!J72</f>
        <v>0</v>
      </c>
      <c r="H73" s="68">
        <f t="shared" si="0"/>
        <v>0</v>
      </c>
      <c r="J73" s="117">
        <f>'Schedule 2A Adjustments'!P72</f>
        <v>0</v>
      </c>
      <c r="K73" s="68">
        <f>'Schedule 2A Adjustments'!R72</f>
        <v>0</v>
      </c>
      <c r="L73" s="68">
        <f t="shared" si="1"/>
        <v>0</v>
      </c>
      <c r="N73" s="120">
        <f>'Schedule 2A Adjustments'!X72</f>
        <v>0</v>
      </c>
      <c r="O73" s="120">
        <f>'Schedule 2A Adjustments'!AA72</f>
        <v>0</v>
      </c>
    </row>
    <row r="74" spans="1:15" x14ac:dyDescent="0.35">
      <c r="A74" s="24">
        <v>59</v>
      </c>
      <c r="F74" s="18">
        <f>SUM(F16:F73)</f>
        <v>3838590.9696926791</v>
      </c>
      <c r="G74" s="18">
        <f t="shared" ref="G74" si="2">SUM(G16:G73)</f>
        <v>1184907.1842830805</v>
      </c>
      <c r="H74" s="18">
        <f>SUM(H16:H73)</f>
        <v>5023498.1539757596</v>
      </c>
      <c r="J74" s="18">
        <f>SUM(J16:J73)</f>
        <v>0</v>
      </c>
      <c r="K74" s="18">
        <f t="shared" ref="K74:L74" si="3">SUM(K16:K73)</f>
        <v>0</v>
      </c>
      <c r="L74" s="18">
        <f t="shared" si="3"/>
        <v>0</v>
      </c>
      <c r="O74" s="83" t="s">
        <v>313</v>
      </c>
    </row>
    <row r="75" spans="1:15" ht="15" thickBot="1" x14ac:dyDescent="0.4">
      <c r="H75" s="37" t="s">
        <v>257</v>
      </c>
      <c r="L75" s="37" t="s">
        <v>258</v>
      </c>
    </row>
    <row r="76" spans="1:15" ht="16" thickBot="1" x14ac:dyDescent="0.4">
      <c r="A76" s="24">
        <v>60</v>
      </c>
      <c r="B76" s="143" t="s">
        <v>463</v>
      </c>
      <c r="C76" s="72"/>
      <c r="E76" s="72"/>
      <c r="F76" s="75">
        <f>H74+L74</f>
        <v>5023498.1539757596</v>
      </c>
      <c r="I76" s="74"/>
      <c r="J76" s="74"/>
      <c r="K76" s="74"/>
      <c r="L76" s="74"/>
      <c r="N76" s="72"/>
      <c r="O76" s="72"/>
    </row>
  </sheetData>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5">
    <mergeCell ref="B20:D20"/>
    <mergeCell ref="A3:F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orientation="portrait" horizontalDpi="1200" verticalDpi="12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8971D"/>
  </sheetPr>
  <dimension ref="A1:O76"/>
  <sheetViews>
    <sheetView workbookViewId="0"/>
  </sheetViews>
  <sheetFormatPr defaultColWidth="9.1796875" defaultRowHeight="14.5" x14ac:dyDescent="0.35"/>
  <cols>
    <col min="1" max="1" width="9.54296875" customWidth="1"/>
    <col min="2" max="2" width="16" customWidth="1"/>
    <col min="3" max="3" width="22.5429687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5" width="12" customWidth="1"/>
  </cols>
  <sheetData>
    <row r="1" spans="1:15" ht="26" x14ac:dyDescent="0.6">
      <c r="A1" s="3" t="s">
        <v>774</v>
      </c>
    </row>
    <row r="2" spans="1:15" ht="21" x14ac:dyDescent="0.5">
      <c r="A2" s="2" t="s">
        <v>772</v>
      </c>
    </row>
    <row r="3" spans="1:15" ht="25" customHeight="1" x14ac:dyDescent="0.5">
      <c r="A3" s="494" t="s">
        <v>694</v>
      </c>
      <c r="B3" s="494"/>
      <c r="C3" s="494"/>
      <c r="D3" s="494"/>
      <c r="E3" s="494"/>
      <c r="F3" s="494"/>
      <c r="G3" s="494"/>
      <c r="H3" s="494"/>
    </row>
    <row r="4" spans="1:15" ht="25" customHeight="1" x14ac:dyDescent="0.5">
      <c r="A4" s="243" t="str">
        <f>Results!A4</f>
        <v>Final Adjustments</v>
      </c>
      <c r="B4" s="361"/>
      <c r="C4" s="361"/>
      <c r="D4" s="361"/>
      <c r="E4" s="361"/>
      <c r="F4" s="361"/>
      <c r="G4" s="361"/>
      <c r="H4" s="361"/>
    </row>
    <row r="6" spans="1:15" x14ac:dyDescent="0.35">
      <c r="A6" s="1" t="s">
        <v>773</v>
      </c>
      <c r="C6" s="421" t="str">
        <f>Results!$C$6</f>
        <v>Health Solutions</v>
      </c>
    </row>
    <row r="7" spans="1:15" x14ac:dyDescent="0.35">
      <c r="A7" s="1" t="s">
        <v>0</v>
      </c>
      <c r="C7" s="35">
        <f>Results!$C$7</f>
        <v>45473</v>
      </c>
      <c r="F7" s="35"/>
    </row>
    <row r="9" spans="1:15" x14ac:dyDescent="0.35">
      <c r="A9" s="1" t="s">
        <v>253</v>
      </c>
      <c r="B9" s="1" t="s">
        <v>751</v>
      </c>
      <c r="C9" s="1"/>
      <c r="F9" s="119" t="str">
        <f>'Schedule 2B Adjustments'!F8</f>
        <v>Yes</v>
      </c>
      <c r="G9" s="41" t="s">
        <v>259</v>
      </c>
    </row>
    <row r="11" spans="1:15" x14ac:dyDescent="0.35">
      <c r="A11" s="1" t="s">
        <v>254</v>
      </c>
      <c r="B11" s="1" t="s">
        <v>256</v>
      </c>
      <c r="C11" s="1"/>
    </row>
    <row r="12" spans="1:15" x14ac:dyDescent="0.35">
      <c r="B12" s="318" t="s">
        <v>598</v>
      </c>
    </row>
    <row r="13" spans="1:15" x14ac:dyDescent="0.35">
      <c r="B13" s="508">
        <v>1</v>
      </c>
      <c r="C13" s="508"/>
      <c r="D13" s="508"/>
      <c r="F13" s="23">
        <v>2</v>
      </c>
      <c r="G13" s="23">
        <v>3</v>
      </c>
      <c r="H13" s="23">
        <v>4</v>
      </c>
      <c r="J13" s="23">
        <v>5</v>
      </c>
      <c r="K13" s="23">
        <v>6</v>
      </c>
      <c r="L13" s="23">
        <v>7</v>
      </c>
      <c r="N13" s="23">
        <v>8</v>
      </c>
      <c r="O13" s="23">
        <v>9</v>
      </c>
    </row>
    <row r="14" spans="1:15" ht="15" customHeight="1" x14ac:dyDescent="0.35">
      <c r="B14" s="517" t="s">
        <v>612</v>
      </c>
      <c r="C14" s="518"/>
      <c r="D14" s="519"/>
      <c r="F14" s="511" t="s">
        <v>261</v>
      </c>
      <c r="G14" s="516"/>
      <c r="H14" s="512"/>
      <c r="J14" s="511" t="s">
        <v>262</v>
      </c>
      <c r="K14" s="516"/>
      <c r="L14" s="512"/>
      <c r="N14" s="514" t="s">
        <v>692</v>
      </c>
      <c r="O14" s="514" t="s">
        <v>693</v>
      </c>
    </row>
    <row r="15" spans="1:15" ht="55.5" customHeight="1" x14ac:dyDescent="0.35">
      <c r="B15" s="520"/>
      <c r="C15" s="521"/>
      <c r="D15" s="522"/>
      <c r="E15" s="48"/>
      <c r="F15" s="10" t="s">
        <v>689</v>
      </c>
      <c r="G15" s="151" t="s">
        <v>690</v>
      </c>
      <c r="H15" s="151" t="s">
        <v>691</v>
      </c>
      <c r="I15" s="100"/>
      <c r="J15" s="10" t="s">
        <v>689</v>
      </c>
      <c r="K15" s="151" t="s">
        <v>690</v>
      </c>
      <c r="L15" s="151" t="s">
        <v>691</v>
      </c>
      <c r="M15" s="48"/>
      <c r="N15" s="515"/>
      <c r="O15" s="515"/>
    </row>
    <row r="16" spans="1:15" x14ac:dyDescent="0.35">
      <c r="A16" s="24">
        <v>1</v>
      </c>
      <c r="B16" s="513" t="str">
        <f>'Schedule 2B Adjustments'!B15:D15</f>
        <v>Care Coordination</v>
      </c>
      <c r="C16" s="513"/>
      <c r="D16" s="513"/>
      <c r="F16" s="117">
        <f>'Schedule 2B Adjustments'!H15</f>
        <v>1422601.4866123446</v>
      </c>
      <c r="G16" s="181">
        <f>'Schedule 2B Adjustments'!J15</f>
        <v>439132.67528832651</v>
      </c>
      <c r="H16" s="181">
        <f>SUM(F16:G16)</f>
        <v>1861734.1619006712</v>
      </c>
      <c r="I16" s="100"/>
      <c r="J16" s="180">
        <f>'Schedule 2B Adjustments'!P15</f>
        <v>0</v>
      </c>
      <c r="K16" s="181">
        <f>'Schedule 2B Adjustments'!R15</f>
        <v>0</v>
      </c>
      <c r="L16" s="68">
        <f>SUM(J16:K16)</f>
        <v>0</v>
      </c>
      <c r="N16" s="120">
        <f>'Schedule 2B Adjustments'!X15</f>
        <v>13.112500000000004</v>
      </c>
      <c r="O16" s="120">
        <f>'Schedule 2B Adjustments'!AA15</f>
        <v>3747</v>
      </c>
    </row>
    <row r="17" spans="1:15" x14ac:dyDescent="0.35">
      <c r="A17" s="24">
        <v>2</v>
      </c>
      <c r="B17" s="513" t="str">
        <f>'Schedule 2B Adjustments'!B16:D16</f>
        <v>Temple Buell Early Childhood grant</v>
      </c>
      <c r="C17" s="513"/>
      <c r="D17" s="513"/>
      <c r="F17" s="117">
        <f>'Schedule 2B Adjustments'!H16</f>
        <v>0</v>
      </c>
      <c r="G17" s="181">
        <f>'Schedule 2B Adjustments'!J16</f>
        <v>0</v>
      </c>
      <c r="H17" s="68">
        <f t="shared" ref="H17:H73" si="0">SUM(F17:G17)</f>
        <v>0</v>
      </c>
      <c r="J17" s="180">
        <f>'Schedule 2B Adjustments'!P16</f>
        <v>186824.56494368202</v>
      </c>
      <c r="K17" s="181">
        <f>'Schedule 2B Adjustments'!R16</f>
        <v>57669.538367108915</v>
      </c>
      <c r="L17" s="68">
        <f t="shared" ref="L17:L73" si="1">SUM(J17:K17)</f>
        <v>244494.10331079093</v>
      </c>
      <c r="N17" s="120">
        <f>'Schedule 2B Adjustments'!X16</f>
        <v>2.2166666666666668</v>
      </c>
      <c r="O17" s="120">
        <f>'Schedule 2B Adjustments'!AA16</f>
        <v>37</v>
      </c>
    </row>
    <row r="18" spans="1:15" x14ac:dyDescent="0.35">
      <c r="A18" s="24">
        <v>3</v>
      </c>
      <c r="B18" s="513" t="str">
        <f>'Schedule 2B Adjustments'!B17:D17</f>
        <v>Competancy Restoration</v>
      </c>
      <c r="C18" s="513"/>
      <c r="D18" s="513"/>
      <c r="F18" s="117">
        <f>'Schedule 2B Adjustments'!H17</f>
        <v>67986.968693358358</v>
      </c>
      <c r="G18" s="181">
        <f>'Schedule 2B Adjustments'!J17</f>
        <v>20986.410971742258</v>
      </c>
      <c r="H18" s="68">
        <f t="shared" si="0"/>
        <v>88973.379665100612</v>
      </c>
      <c r="J18" s="180">
        <f>'Schedule 2B Adjustments'!P17</f>
        <v>0</v>
      </c>
      <c r="K18" s="181">
        <f>'Schedule 2B Adjustments'!R17</f>
        <v>0</v>
      </c>
      <c r="L18" s="68">
        <f t="shared" si="1"/>
        <v>0</v>
      </c>
      <c r="N18" s="120">
        <f>'Schedule 2B Adjustments'!X17</f>
        <v>0.97166666666666668</v>
      </c>
      <c r="O18" s="120">
        <f>'Schedule 2B Adjustments'!AA17</f>
        <v>57</v>
      </c>
    </row>
    <row r="19" spans="1:15" x14ac:dyDescent="0.35">
      <c r="A19" s="24">
        <v>4</v>
      </c>
      <c r="B19" s="513" t="str">
        <f>'Schedule 2B Adjustments'!B18:D18</f>
        <v>Housing</v>
      </c>
      <c r="C19" s="513"/>
      <c r="D19" s="513"/>
      <c r="F19" s="117">
        <f>'Schedule 2B Adjustments'!H18</f>
        <v>288184.18304958567</v>
      </c>
      <c r="G19" s="181">
        <f>'Schedule 2B Adjustments'!J18</f>
        <v>88957.513730498598</v>
      </c>
      <c r="H19" s="68">
        <f t="shared" si="0"/>
        <v>377141.69678008428</v>
      </c>
      <c r="J19" s="180">
        <f>'Schedule 2B Adjustments'!P18</f>
        <v>0</v>
      </c>
      <c r="K19" s="181">
        <f>'Schedule 2B Adjustments'!R18</f>
        <v>0</v>
      </c>
      <c r="L19" s="68">
        <f t="shared" si="1"/>
        <v>0</v>
      </c>
      <c r="N19" s="120">
        <f>'Schedule 2B Adjustments'!X18</f>
        <v>2.7833333333333332</v>
      </c>
      <c r="O19" s="120">
        <f>'Schedule 2B Adjustments'!AA18</f>
        <v>128</v>
      </c>
    </row>
    <row r="20" spans="1:15" x14ac:dyDescent="0.35">
      <c r="A20" s="24">
        <v>5</v>
      </c>
      <c r="B20" s="513" t="str">
        <f>'Schedule 2B Adjustments'!B19:D19</f>
        <v/>
      </c>
      <c r="C20" s="513"/>
      <c r="D20" s="513"/>
      <c r="F20" s="117">
        <f>'Schedule 2B Adjustments'!H19</f>
        <v>0</v>
      </c>
      <c r="G20" s="181">
        <f>'Schedule 2B Adjustments'!J19</f>
        <v>0</v>
      </c>
      <c r="H20" s="68">
        <f t="shared" si="0"/>
        <v>0</v>
      </c>
      <c r="J20" s="180">
        <f>'Schedule 2B Adjustments'!P19</f>
        <v>0</v>
      </c>
      <c r="K20" s="181">
        <f>'Schedule 2B Adjustments'!R19</f>
        <v>0</v>
      </c>
      <c r="L20" s="68">
        <f t="shared" si="1"/>
        <v>0</v>
      </c>
      <c r="N20" s="120">
        <f>'Schedule 2B Adjustments'!X19</f>
        <v>0</v>
      </c>
      <c r="O20" s="120">
        <f>'Schedule 2B Adjustments'!AA19</f>
        <v>0</v>
      </c>
    </row>
    <row r="21" spans="1:15" x14ac:dyDescent="0.35">
      <c r="A21" s="24">
        <v>6</v>
      </c>
      <c r="B21" s="513" t="str">
        <f>'Schedule 2B Adjustments'!B20:D20</f>
        <v/>
      </c>
      <c r="C21" s="513"/>
      <c r="D21" s="513"/>
      <c r="F21" s="117">
        <f>'Schedule 2B Adjustments'!H20</f>
        <v>0</v>
      </c>
      <c r="G21" s="181">
        <f>'Schedule 2B Adjustments'!J20</f>
        <v>0</v>
      </c>
      <c r="H21" s="68">
        <f t="shared" si="0"/>
        <v>0</v>
      </c>
      <c r="J21" s="180">
        <f>'Schedule 2B Adjustments'!P20</f>
        <v>0</v>
      </c>
      <c r="K21" s="181">
        <f>'Schedule 2B Adjustments'!R20</f>
        <v>0</v>
      </c>
      <c r="L21" s="68">
        <f t="shared" si="1"/>
        <v>0</v>
      </c>
      <c r="N21" s="120">
        <f>'Schedule 2B Adjustments'!X20</f>
        <v>0</v>
      </c>
      <c r="O21" s="120">
        <f>'Schedule 2B Adjustments'!AA20</f>
        <v>0</v>
      </c>
    </row>
    <row r="22" spans="1:15" x14ac:dyDescent="0.35">
      <c r="A22" s="24">
        <v>7</v>
      </c>
      <c r="B22" s="513" t="str">
        <f>'Schedule 2B Adjustments'!B21:D21</f>
        <v/>
      </c>
      <c r="C22" s="513"/>
      <c r="D22" s="513"/>
      <c r="F22" s="117">
        <f>'Schedule 2B Adjustments'!H21</f>
        <v>0</v>
      </c>
      <c r="G22" s="181">
        <f>'Schedule 2B Adjustments'!J21</f>
        <v>0</v>
      </c>
      <c r="H22" s="68">
        <f t="shared" si="0"/>
        <v>0</v>
      </c>
      <c r="J22" s="180">
        <f>'Schedule 2B Adjustments'!P21</f>
        <v>0</v>
      </c>
      <c r="K22" s="181">
        <f>'Schedule 2B Adjustments'!R21</f>
        <v>0</v>
      </c>
      <c r="L22" s="68">
        <f t="shared" si="1"/>
        <v>0</v>
      </c>
      <c r="N22" s="120">
        <f>'Schedule 2B Adjustments'!X21</f>
        <v>0</v>
      </c>
      <c r="O22" s="120">
        <f>'Schedule 2B Adjustments'!AA21</f>
        <v>0</v>
      </c>
    </row>
    <row r="23" spans="1:15" x14ac:dyDescent="0.35">
      <c r="A23" s="24">
        <v>8</v>
      </c>
      <c r="B23" s="513" t="str">
        <f>'Schedule 2B Adjustments'!B22:D22</f>
        <v/>
      </c>
      <c r="C23" s="513"/>
      <c r="D23" s="513"/>
      <c r="F23" s="117">
        <f>'Schedule 2B Adjustments'!H22</f>
        <v>0</v>
      </c>
      <c r="G23" s="181">
        <f>'Schedule 2B Adjustments'!J22</f>
        <v>0</v>
      </c>
      <c r="H23" s="68">
        <f t="shared" si="0"/>
        <v>0</v>
      </c>
      <c r="J23" s="180">
        <f>'Schedule 2B Adjustments'!P22</f>
        <v>0</v>
      </c>
      <c r="K23" s="181">
        <f>'Schedule 2B Adjustments'!R22</f>
        <v>0</v>
      </c>
      <c r="L23" s="68">
        <f t="shared" si="1"/>
        <v>0</v>
      </c>
      <c r="N23" s="120">
        <f>'Schedule 2B Adjustments'!X22</f>
        <v>0</v>
      </c>
      <c r="O23" s="120">
        <f>'Schedule 2B Adjustments'!AA22</f>
        <v>0</v>
      </c>
    </row>
    <row r="24" spans="1:15" x14ac:dyDescent="0.35">
      <c r="A24" s="24">
        <v>9</v>
      </c>
      <c r="B24" s="513" t="str">
        <f>'Schedule 2B Adjustments'!B23:D23</f>
        <v/>
      </c>
      <c r="C24" s="513"/>
      <c r="D24" s="513"/>
      <c r="F24" s="117">
        <f>'Schedule 2B Adjustments'!H23</f>
        <v>0</v>
      </c>
      <c r="G24" s="181">
        <f>'Schedule 2B Adjustments'!J23</f>
        <v>0</v>
      </c>
      <c r="H24" s="68">
        <f t="shared" si="0"/>
        <v>0</v>
      </c>
      <c r="J24" s="180">
        <f>'Schedule 2B Adjustments'!P23</f>
        <v>0</v>
      </c>
      <c r="K24" s="181">
        <f>'Schedule 2B Adjustments'!R23</f>
        <v>0</v>
      </c>
      <c r="L24" s="68">
        <f t="shared" si="1"/>
        <v>0</v>
      </c>
      <c r="N24" s="120">
        <f>'Schedule 2B Adjustments'!X23</f>
        <v>0</v>
      </c>
      <c r="O24" s="120">
        <f>'Schedule 2B Adjustments'!AA23</f>
        <v>0</v>
      </c>
    </row>
    <row r="25" spans="1:15" x14ac:dyDescent="0.35">
      <c r="A25" s="24">
        <v>10</v>
      </c>
      <c r="B25" s="513" t="str">
        <f>'Schedule 2B Adjustments'!B24:D24</f>
        <v/>
      </c>
      <c r="C25" s="513"/>
      <c r="D25" s="513"/>
      <c r="F25" s="117">
        <f>'Schedule 2B Adjustments'!H24</f>
        <v>0</v>
      </c>
      <c r="G25" s="181">
        <f>'Schedule 2B Adjustments'!J24</f>
        <v>0</v>
      </c>
      <c r="H25" s="68">
        <f t="shared" si="0"/>
        <v>0</v>
      </c>
      <c r="J25" s="180">
        <f>'Schedule 2B Adjustments'!P24</f>
        <v>0</v>
      </c>
      <c r="K25" s="181">
        <f>'Schedule 2B Adjustments'!R24</f>
        <v>0</v>
      </c>
      <c r="L25" s="68">
        <f t="shared" si="1"/>
        <v>0</v>
      </c>
      <c r="N25" s="120">
        <f>'Schedule 2B Adjustments'!X24</f>
        <v>0</v>
      </c>
      <c r="O25" s="120">
        <f>'Schedule 2B Adjustments'!AA24</f>
        <v>0</v>
      </c>
    </row>
    <row r="26" spans="1:15" x14ac:dyDescent="0.35">
      <c r="A26" s="24">
        <v>11</v>
      </c>
      <c r="B26" s="513" t="str">
        <f>'Schedule 2B Adjustments'!B25:D25</f>
        <v/>
      </c>
      <c r="C26" s="513"/>
      <c r="D26" s="513"/>
      <c r="F26" s="117">
        <f>'Schedule 2B Adjustments'!H25</f>
        <v>0</v>
      </c>
      <c r="G26" s="181">
        <f>'Schedule 2B Adjustments'!J25</f>
        <v>0</v>
      </c>
      <c r="H26" s="68">
        <f t="shared" si="0"/>
        <v>0</v>
      </c>
      <c r="J26" s="180">
        <f>'Schedule 2B Adjustments'!P25</f>
        <v>0</v>
      </c>
      <c r="K26" s="181">
        <f>'Schedule 2B Adjustments'!R25</f>
        <v>0</v>
      </c>
      <c r="L26" s="68">
        <f t="shared" si="1"/>
        <v>0</v>
      </c>
      <c r="N26" s="120">
        <f>'Schedule 2B Adjustments'!X25</f>
        <v>0</v>
      </c>
      <c r="O26" s="120">
        <f>'Schedule 2B Adjustments'!AA25</f>
        <v>0</v>
      </c>
    </row>
    <row r="27" spans="1:15" x14ac:dyDescent="0.35">
      <c r="A27" s="24">
        <v>12</v>
      </c>
      <c r="B27" s="513" t="str">
        <f>'Schedule 2B Adjustments'!B26:D26</f>
        <v/>
      </c>
      <c r="C27" s="513"/>
      <c r="D27" s="513"/>
      <c r="F27" s="117">
        <f>'Schedule 2B Adjustments'!H26</f>
        <v>0</v>
      </c>
      <c r="G27" s="181">
        <f>'Schedule 2B Adjustments'!J26</f>
        <v>0</v>
      </c>
      <c r="H27" s="68">
        <f t="shared" si="0"/>
        <v>0</v>
      </c>
      <c r="J27" s="180">
        <f>'Schedule 2B Adjustments'!P26</f>
        <v>0</v>
      </c>
      <c r="K27" s="181">
        <f>'Schedule 2B Adjustments'!R26</f>
        <v>0</v>
      </c>
      <c r="L27" s="68">
        <f t="shared" si="1"/>
        <v>0</v>
      </c>
      <c r="N27" s="120">
        <f>'Schedule 2B Adjustments'!X26</f>
        <v>0</v>
      </c>
      <c r="O27" s="120">
        <f>'Schedule 2B Adjustments'!AA26</f>
        <v>0</v>
      </c>
    </row>
    <row r="28" spans="1:15" x14ac:dyDescent="0.35">
      <c r="A28" s="24">
        <v>13</v>
      </c>
      <c r="B28" s="513" t="str">
        <f>'Schedule 2B Adjustments'!B27:D27</f>
        <v/>
      </c>
      <c r="C28" s="513"/>
      <c r="D28" s="513"/>
      <c r="F28" s="117">
        <f>'Schedule 2B Adjustments'!H27</f>
        <v>0</v>
      </c>
      <c r="G28" s="181">
        <f>'Schedule 2B Adjustments'!J27</f>
        <v>0</v>
      </c>
      <c r="H28" s="68">
        <f t="shared" si="0"/>
        <v>0</v>
      </c>
      <c r="J28" s="180">
        <f>'Schedule 2B Adjustments'!P27</f>
        <v>0</v>
      </c>
      <c r="K28" s="181">
        <f>'Schedule 2B Adjustments'!R27</f>
        <v>0</v>
      </c>
      <c r="L28" s="68">
        <f t="shared" si="1"/>
        <v>0</v>
      </c>
      <c r="N28" s="120">
        <f>'Schedule 2B Adjustments'!X27</f>
        <v>0</v>
      </c>
      <c r="O28" s="120">
        <f>'Schedule 2B Adjustments'!AA27</f>
        <v>0</v>
      </c>
    </row>
    <row r="29" spans="1:15" x14ac:dyDescent="0.35">
      <c r="A29" s="24">
        <v>14</v>
      </c>
      <c r="B29" s="513" t="str">
        <f>'Schedule 2B Adjustments'!B28:D28</f>
        <v/>
      </c>
      <c r="C29" s="513"/>
      <c r="D29" s="513"/>
      <c r="F29" s="117">
        <f>'Schedule 2B Adjustments'!H28</f>
        <v>0</v>
      </c>
      <c r="G29" s="181">
        <f>'Schedule 2B Adjustments'!J28</f>
        <v>0</v>
      </c>
      <c r="H29" s="68">
        <f t="shared" si="0"/>
        <v>0</v>
      </c>
      <c r="J29" s="180">
        <f>'Schedule 2B Adjustments'!P28</f>
        <v>0</v>
      </c>
      <c r="K29" s="181">
        <f>'Schedule 2B Adjustments'!R28</f>
        <v>0</v>
      </c>
      <c r="L29" s="68">
        <f t="shared" si="1"/>
        <v>0</v>
      </c>
      <c r="N29" s="120">
        <f>'Schedule 2B Adjustments'!X28</f>
        <v>0</v>
      </c>
      <c r="O29" s="120">
        <f>'Schedule 2B Adjustments'!AA28</f>
        <v>0</v>
      </c>
    </row>
    <row r="30" spans="1:15" x14ac:dyDescent="0.35">
      <c r="A30" s="24">
        <v>15</v>
      </c>
      <c r="B30" s="513" t="str">
        <f>'Schedule 2B Adjustments'!B29:D29</f>
        <v/>
      </c>
      <c r="C30" s="513"/>
      <c r="D30" s="513"/>
      <c r="F30" s="117">
        <f>'Schedule 2B Adjustments'!H29</f>
        <v>0</v>
      </c>
      <c r="G30" s="181">
        <f>'Schedule 2B Adjustments'!J29</f>
        <v>0</v>
      </c>
      <c r="H30" s="68">
        <f t="shared" si="0"/>
        <v>0</v>
      </c>
      <c r="J30" s="180">
        <f>'Schedule 2B Adjustments'!P29</f>
        <v>0</v>
      </c>
      <c r="K30" s="181">
        <f>'Schedule 2B Adjustments'!R29</f>
        <v>0</v>
      </c>
      <c r="L30" s="68">
        <f t="shared" si="1"/>
        <v>0</v>
      </c>
      <c r="N30" s="120">
        <f>'Schedule 2B Adjustments'!X29</f>
        <v>0</v>
      </c>
      <c r="O30" s="120">
        <f>'Schedule 2B Adjustments'!AA29</f>
        <v>0</v>
      </c>
    </row>
    <row r="31" spans="1:15" x14ac:dyDescent="0.35">
      <c r="A31" s="24">
        <v>16</v>
      </c>
      <c r="B31" s="513" t="str">
        <f>'Schedule 2B Adjustments'!B30:D30</f>
        <v/>
      </c>
      <c r="C31" s="513"/>
      <c r="D31" s="513"/>
      <c r="F31" s="117">
        <f>'Schedule 2B Adjustments'!H30</f>
        <v>0</v>
      </c>
      <c r="G31" s="181">
        <f>'Schedule 2B Adjustments'!J30</f>
        <v>0</v>
      </c>
      <c r="H31" s="68">
        <f t="shared" si="0"/>
        <v>0</v>
      </c>
      <c r="J31" s="180">
        <f>'Schedule 2B Adjustments'!P30</f>
        <v>0</v>
      </c>
      <c r="K31" s="181">
        <f>'Schedule 2B Adjustments'!R30</f>
        <v>0</v>
      </c>
      <c r="L31" s="68">
        <f t="shared" si="1"/>
        <v>0</v>
      </c>
      <c r="N31" s="120">
        <f>'Schedule 2B Adjustments'!X30</f>
        <v>0</v>
      </c>
      <c r="O31" s="120">
        <f>'Schedule 2B Adjustments'!AA30</f>
        <v>0</v>
      </c>
    </row>
    <row r="32" spans="1:15" x14ac:dyDescent="0.35">
      <c r="A32" s="24">
        <v>17</v>
      </c>
      <c r="B32" s="513" t="str">
        <f>'Schedule 2B Adjustments'!B31:D31</f>
        <v/>
      </c>
      <c r="C32" s="513"/>
      <c r="D32" s="513"/>
      <c r="F32" s="117">
        <f>'Schedule 2B Adjustments'!H31</f>
        <v>0</v>
      </c>
      <c r="G32" s="181">
        <f>'Schedule 2B Adjustments'!J31</f>
        <v>0</v>
      </c>
      <c r="H32" s="68">
        <f t="shared" si="0"/>
        <v>0</v>
      </c>
      <c r="J32" s="180">
        <f>'Schedule 2B Adjustments'!P31</f>
        <v>0</v>
      </c>
      <c r="K32" s="181">
        <f>'Schedule 2B Adjustments'!R31</f>
        <v>0</v>
      </c>
      <c r="L32" s="68">
        <f t="shared" si="1"/>
        <v>0</v>
      </c>
      <c r="N32" s="120">
        <f>'Schedule 2B Adjustments'!X31</f>
        <v>0</v>
      </c>
      <c r="O32" s="120">
        <f>'Schedule 2B Adjustments'!AA31</f>
        <v>0</v>
      </c>
    </row>
    <row r="33" spans="1:15" x14ac:dyDescent="0.35">
      <c r="A33" s="24">
        <v>18</v>
      </c>
      <c r="B33" s="513" t="str">
        <f>'Schedule 2B Adjustments'!B32:D32</f>
        <v/>
      </c>
      <c r="C33" s="513"/>
      <c r="D33" s="513"/>
      <c r="F33" s="117">
        <f>'Schedule 2B Adjustments'!H32</f>
        <v>0</v>
      </c>
      <c r="G33" s="181">
        <f>'Schedule 2B Adjustments'!J32</f>
        <v>0</v>
      </c>
      <c r="H33" s="68">
        <f t="shared" si="0"/>
        <v>0</v>
      </c>
      <c r="J33" s="180">
        <f>'Schedule 2B Adjustments'!P32</f>
        <v>0</v>
      </c>
      <c r="K33" s="181">
        <f>'Schedule 2B Adjustments'!R32</f>
        <v>0</v>
      </c>
      <c r="L33" s="68">
        <f t="shared" si="1"/>
        <v>0</v>
      </c>
      <c r="N33" s="120">
        <f>'Schedule 2B Adjustments'!X32</f>
        <v>0</v>
      </c>
      <c r="O33" s="120">
        <f>'Schedule 2B Adjustments'!AA32</f>
        <v>0</v>
      </c>
    </row>
    <row r="34" spans="1:15" x14ac:dyDescent="0.35">
      <c r="A34" s="24">
        <v>19</v>
      </c>
      <c r="B34" s="513" t="str">
        <f>'Schedule 2B Adjustments'!B33:D33</f>
        <v/>
      </c>
      <c r="C34" s="513"/>
      <c r="D34" s="513"/>
      <c r="F34" s="117">
        <f>'Schedule 2B Adjustments'!H33</f>
        <v>0</v>
      </c>
      <c r="G34" s="181">
        <f>'Schedule 2B Adjustments'!J33</f>
        <v>0</v>
      </c>
      <c r="H34" s="68">
        <f t="shared" si="0"/>
        <v>0</v>
      </c>
      <c r="J34" s="180">
        <f>'Schedule 2B Adjustments'!P33</f>
        <v>0</v>
      </c>
      <c r="K34" s="181">
        <f>'Schedule 2B Adjustments'!R33</f>
        <v>0</v>
      </c>
      <c r="L34" s="68">
        <f t="shared" si="1"/>
        <v>0</v>
      </c>
      <c r="N34" s="120">
        <f>'Schedule 2B Adjustments'!X33</f>
        <v>0</v>
      </c>
      <c r="O34" s="120">
        <f>'Schedule 2B Adjustments'!AA33</f>
        <v>0</v>
      </c>
    </row>
    <row r="35" spans="1:15" x14ac:dyDescent="0.35">
      <c r="A35" s="24">
        <v>20</v>
      </c>
      <c r="B35" s="513" t="str">
        <f>'Schedule 2B Adjustments'!B34:D34</f>
        <v/>
      </c>
      <c r="C35" s="513"/>
      <c r="D35" s="513"/>
      <c r="F35" s="117">
        <f>'Schedule 2B Adjustments'!H34</f>
        <v>0</v>
      </c>
      <c r="G35" s="181">
        <f>'Schedule 2B Adjustments'!J34</f>
        <v>0</v>
      </c>
      <c r="H35" s="68">
        <f t="shared" si="0"/>
        <v>0</v>
      </c>
      <c r="J35" s="180">
        <f>'Schedule 2B Adjustments'!P34</f>
        <v>0</v>
      </c>
      <c r="K35" s="181">
        <f>'Schedule 2B Adjustments'!R34</f>
        <v>0</v>
      </c>
      <c r="L35" s="68">
        <f t="shared" si="1"/>
        <v>0</v>
      </c>
      <c r="N35" s="120">
        <f>'Schedule 2B Adjustments'!X34</f>
        <v>0</v>
      </c>
      <c r="O35" s="120">
        <f>'Schedule 2B Adjustments'!AA34</f>
        <v>0</v>
      </c>
    </row>
    <row r="36" spans="1:15" x14ac:dyDescent="0.35">
      <c r="A36" s="24">
        <v>21</v>
      </c>
      <c r="B36" s="513" t="str">
        <f>'Schedule 2B Adjustments'!B35:D35</f>
        <v/>
      </c>
      <c r="C36" s="513"/>
      <c r="D36" s="513"/>
      <c r="F36" s="117">
        <f>'Schedule 2B Adjustments'!H35</f>
        <v>0</v>
      </c>
      <c r="G36" s="181">
        <f>'Schedule 2B Adjustments'!J35</f>
        <v>0</v>
      </c>
      <c r="H36" s="68">
        <f t="shared" si="0"/>
        <v>0</v>
      </c>
      <c r="J36" s="180">
        <f>'Schedule 2B Adjustments'!P35</f>
        <v>0</v>
      </c>
      <c r="K36" s="181">
        <f>'Schedule 2B Adjustments'!R35</f>
        <v>0</v>
      </c>
      <c r="L36" s="68">
        <f t="shared" si="1"/>
        <v>0</v>
      </c>
      <c r="N36" s="120">
        <f>'Schedule 2B Adjustments'!X35</f>
        <v>0</v>
      </c>
      <c r="O36" s="120">
        <f>'Schedule 2B Adjustments'!AA35</f>
        <v>0</v>
      </c>
    </row>
    <row r="37" spans="1:15" x14ac:dyDescent="0.35">
      <c r="A37" s="24">
        <v>22</v>
      </c>
      <c r="B37" s="513" t="str">
        <f>'Schedule 2B Adjustments'!B36:D36</f>
        <v/>
      </c>
      <c r="C37" s="513"/>
      <c r="D37" s="513"/>
      <c r="F37" s="117">
        <f>'Schedule 2B Adjustments'!H36</f>
        <v>0</v>
      </c>
      <c r="G37" s="181">
        <f>'Schedule 2B Adjustments'!J36</f>
        <v>0</v>
      </c>
      <c r="H37" s="68">
        <f t="shared" si="0"/>
        <v>0</v>
      </c>
      <c r="J37" s="180">
        <f>'Schedule 2B Adjustments'!P36</f>
        <v>0</v>
      </c>
      <c r="K37" s="181">
        <f>'Schedule 2B Adjustments'!R36</f>
        <v>0</v>
      </c>
      <c r="L37" s="68">
        <f t="shared" si="1"/>
        <v>0</v>
      </c>
      <c r="N37" s="120">
        <f>'Schedule 2B Adjustments'!X36</f>
        <v>0</v>
      </c>
      <c r="O37" s="120">
        <f>'Schedule 2B Adjustments'!AA36</f>
        <v>0</v>
      </c>
    </row>
    <row r="38" spans="1:15" x14ac:dyDescent="0.35">
      <c r="A38" s="24">
        <v>23</v>
      </c>
      <c r="B38" s="513" t="str">
        <f>'Schedule 2B Adjustments'!B37:D37</f>
        <v/>
      </c>
      <c r="C38" s="513"/>
      <c r="D38" s="513"/>
      <c r="F38" s="117">
        <f>'Schedule 2B Adjustments'!H37</f>
        <v>0</v>
      </c>
      <c r="G38" s="181">
        <f>'Schedule 2B Adjustments'!J37</f>
        <v>0</v>
      </c>
      <c r="H38" s="68">
        <f t="shared" si="0"/>
        <v>0</v>
      </c>
      <c r="J38" s="180">
        <f>'Schedule 2B Adjustments'!P37</f>
        <v>0</v>
      </c>
      <c r="K38" s="181">
        <f>'Schedule 2B Adjustments'!R37</f>
        <v>0</v>
      </c>
      <c r="L38" s="68">
        <f t="shared" si="1"/>
        <v>0</v>
      </c>
      <c r="N38" s="120">
        <f>'Schedule 2B Adjustments'!X37</f>
        <v>0</v>
      </c>
      <c r="O38" s="120">
        <f>'Schedule 2B Adjustments'!AA37</f>
        <v>0</v>
      </c>
    </row>
    <row r="39" spans="1:15" x14ac:dyDescent="0.35">
      <c r="A39" s="24">
        <v>24</v>
      </c>
      <c r="B39" s="513" t="str">
        <f>'Schedule 2B Adjustments'!B38:D38</f>
        <v/>
      </c>
      <c r="C39" s="513"/>
      <c r="D39" s="513"/>
      <c r="F39" s="117">
        <f>'Schedule 2B Adjustments'!H38</f>
        <v>0</v>
      </c>
      <c r="G39" s="181">
        <f>'Schedule 2B Adjustments'!J38</f>
        <v>0</v>
      </c>
      <c r="H39" s="68">
        <f t="shared" si="0"/>
        <v>0</v>
      </c>
      <c r="J39" s="180">
        <f>'Schedule 2B Adjustments'!P38</f>
        <v>0</v>
      </c>
      <c r="K39" s="181">
        <f>'Schedule 2B Adjustments'!R38</f>
        <v>0</v>
      </c>
      <c r="L39" s="68">
        <f t="shared" si="1"/>
        <v>0</v>
      </c>
      <c r="N39" s="120">
        <f>'Schedule 2B Adjustments'!X38</f>
        <v>0</v>
      </c>
      <c r="O39" s="120">
        <f>'Schedule 2B Adjustments'!AA38</f>
        <v>0</v>
      </c>
    </row>
    <row r="40" spans="1:15" x14ac:dyDescent="0.35">
      <c r="A40" s="24">
        <v>25</v>
      </c>
      <c r="B40" s="513" t="str">
        <f>'Schedule 2B Adjustments'!B39:D39</f>
        <v/>
      </c>
      <c r="C40" s="513"/>
      <c r="D40" s="513"/>
      <c r="F40" s="117">
        <f>'Schedule 2B Adjustments'!H39</f>
        <v>0</v>
      </c>
      <c r="G40" s="181">
        <f>'Schedule 2B Adjustments'!J39</f>
        <v>0</v>
      </c>
      <c r="H40" s="68">
        <f t="shared" si="0"/>
        <v>0</v>
      </c>
      <c r="J40" s="180">
        <f>'Schedule 2B Adjustments'!P39</f>
        <v>0</v>
      </c>
      <c r="K40" s="181">
        <f>'Schedule 2B Adjustments'!R39</f>
        <v>0</v>
      </c>
      <c r="L40" s="68">
        <f t="shared" si="1"/>
        <v>0</v>
      </c>
      <c r="N40" s="120">
        <f>'Schedule 2B Adjustments'!X39</f>
        <v>0</v>
      </c>
      <c r="O40" s="120">
        <f>'Schedule 2B Adjustments'!AA39</f>
        <v>0</v>
      </c>
    </row>
    <row r="41" spans="1:15" x14ac:dyDescent="0.35">
      <c r="A41" s="24">
        <v>26</v>
      </c>
      <c r="B41" s="513" t="str">
        <f>'Schedule 2B Adjustments'!B40:D40</f>
        <v/>
      </c>
      <c r="C41" s="513"/>
      <c r="D41" s="513"/>
      <c r="F41" s="117">
        <f>'Schedule 2B Adjustments'!H40</f>
        <v>0</v>
      </c>
      <c r="G41" s="181">
        <f>'Schedule 2B Adjustments'!J40</f>
        <v>0</v>
      </c>
      <c r="H41" s="68">
        <f t="shared" si="0"/>
        <v>0</v>
      </c>
      <c r="J41" s="180">
        <f>'Schedule 2B Adjustments'!P40</f>
        <v>0</v>
      </c>
      <c r="K41" s="181">
        <f>'Schedule 2B Adjustments'!R40</f>
        <v>0</v>
      </c>
      <c r="L41" s="68">
        <f t="shared" si="1"/>
        <v>0</v>
      </c>
      <c r="N41" s="120">
        <f>'Schedule 2B Adjustments'!X40</f>
        <v>0</v>
      </c>
      <c r="O41" s="120">
        <f>'Schedule 2B Adjustments'!AA40</f>
        <v>0</v>
      </c>
    </row>
    <row r="42" spans="1:15" x14ac:dyDescent="0.35">
      <c r="A42" s="24">
        <v>27</v>
      </c>
      <c r="B42" s="513" t="str">
        <f>'Schedule 2B Adjustments'!B41:D41</f>
        <v/>
      </c>
      <c r="C42" s="513"/>
      <c r="D42" s="513"/>
      <c r="F42" s="117">
        <f>'Schedule 2B Adjustments'!H41</f>
        <v>0</v>
      </c>
      <c r="G42" s="181">
        <f>'Schedule 2B Adjustments'!J41</f>
        <v>0</v>
      </c>
      <c r="H42" s="68">
        <f t="shared" si="0"/>
        <v>0</v>
      </c>
      <c r="J42" s="180">
        <f>'Schedule 2B Adjustments'!P41</f>
        <v>0</v>
      </c>
      <c r="K42" s="181">
        <f>'Schedule 2B Adjustments'!R41</f>
        <v>0</v>
      </c>
      <c r="L42" s="68">
        <f t="shared" si="1"/>
        <v>0</v>
      </c>
      <c r="N42" s="120">
        <f>'Schedule 2B Adjustments'!X41</f>
        <v>0</v>
      </c>
      <c r="O42" s="120">
        <f>'Schedule 2B Adjustments'!AA41</f>
        <v>0</v>
      </c>
    </row>
    <row r="43" spans="1:15" x14ac:dyDescent="0.35">
      <c r="A43" s="24">
        <v>28</v>
      </c>
      <c r="B43" s="513" t="str">
        <f>'Schedule 2B Adjustments'!B42:D42</f>
        <v/>
      </c>
      <c r="C43" s="513"/>
      <c r="D43" s="513"/>
      <c r="F43" s="117">
        <f>'Schedule 2B Adjustments'!H42</f>
        <v>0</v>
      </c>
      <c r="G43" s="181">
        <f>'Schedule 2B Adjustments'!J42</f>
        <v>0</v>
      </c>
      <c r="H43" s="68">
        <f t="shared" si="0"/>
        <v>0</v>
      </c>
      <c r="J43" s="180">
        <f>'Schedule 2B Adjustments'!P42</f>
        <v>0</v>
      </c>
      <c r="K43" s="181">
        <f>'Schedule 2B Adjustments'!R42</f>
        <v>0</v>
      </c>
      <c r="L43" s="68">
        <f t="shared" si="1"/>
        <v>0</v>
      </c>
      <c r="N43" s="120">
        <f>'Schedule 2B Adjustments'!X42</f>
        <v>0</v>
      </c>
      <c r="O43" s="120">
        <f>'Schedule 2B Adjustments'!AA42</f>
        <v>0</v>
      </c>
    </row>
    <row r="44" spans="1:15" x14ac:dyDescent="0.35">
      <c r="A44" s="24">
        <v>29</v>
      </c>
      <c r="B44" s="513" t="str">
        <f>'Schedule 2B Adjustments'!B43:D43</f>
        <v/>
      </c>
      <c r="C44" s="513"/>
      <c r="D44" s="513"/>
      <c r="F44" s="117">
        <f>'Schedule 2B Adjustments'!H43</f>
        <v>0</v>
      </c>
      <c r="G44" s="181">
        <f>'Schedule 2B Adjustments'!J43</f>
        <v>0</v>
      </c>
      <c r="H44" s="68">
        <f t="shared" si="0"/>
        <v>0</v>
      </c>
      <c r="J44" s="180">
        <f>'Schedule 2B Adjustments'!P43</f>
        <v>0</v>
      </c>
      <c r="K44" s="181">
        <f>'Schedule 2B Adjustments'!R43</f>
        <v>0</v>
      </c>
      <c r="L44" s="68">
        <f t="shared" si="1"/>
        <v>0</v>
      </c>
      <c r="N44" s="120">
        <f>'Schedule 2B Adjustments'!X43</f>
        <v>0</v>
      </c>
      <c r="O44" s="120">
        <f>'Schedule 2B Adjustments'!AA43</f>
        <v>0</v>
      </c>
    </row>
    <row r="45" spans="1:15" x14ac:dyDescent="0.35">
      <c r="A45" s="24">
        <v>30</v>
      </c>
      <c r="B45" s="513" t="str">
        <f>'Schedule 2B Adjustments'!B44:D44</f>
        <v/>
      </c>
      <c r="C45" s="513"/>
      <c r="D45" s="513"/>
      <c r="F45" s="117">
        <f>'Schedule 2B Adjustments'!H44</f>
        <v>0</v>
      </c>
      <c r="G45" s="181">
        <f>'Schedule 2B Adjustments'!J44</f>
        <v>0</v>
      </c>
      <c r="H45" s="68">
        <f t="shared" si="0"/>
        <v>0</v>
      </c>
      <c r="J45" s="180">
        <f>'Schedule 2B Adjustments'!P44</f>
        <v>0</v>
      </c>
      <c r="K45" s="181">
        <f>'Schedule 2B Adjustments'!R44</f>
        <v>0</v>
      </c>
      <c r="L45" s="68">
        <f t="shared" si="1"/>
        <v>0</v>
      </c>
      <c r="N45" s="120">
        <f>'Schedule 2B Adjustments'!X44</f>
        <v>0</v>
      </c>
      <c r="O45" s="120">
        <f>'Schedule 2B Adjustments'!AA44</f>
        <v>0</v>
      </c>
    </row>
    <row r="46" spans="1:15" x14ac:dyDescent="0.35">
      <c r="A46" s="24">
        <v>31</v>
      </c>
      <c r="B46" s="513" t="str">
        <f>'Schedule 2B Adjustments'!B45:D45</f>
        <v/>
      </c>
      <c r="C46" s="513"/>
      <c r="D46" s="513"/>
      <c r="F46" s="117">
        <f>'Schedule 2B Adjustments'!H45</f>
        <v>0</v>
      </c>
      <c r="G46" s="181">
        <f>'Schedule 2B Adjustments'!J45</f>
        <v>0</v>
      </c>
      <c r="H46" s="68">
        <f t="shared" si="0"/>
        <v>0</v>
      </c>
      <c r="J46" s="180">
        <f>'Schedule 2B Adjustments'!P45</f>
        <v>0</v>
      </c>
      <c r="K46" s="181">
        <f>'Schedule 2B Adjustments'!R45</f>
        <v>0</v>
      </c>
      <c r="L46" s="68">
        <f t="shared" si="1"/>
        <v>0</v>
      </c>
      <c r="N46" s="120">
        <f>'Schedule 2B Adjustments'!X45</f>
        <v>0</v>
      </c>
      <c r="O46" s="120">
        <f>'Schedule 2B Adjustments'!AA45</f>
        <v>0</v>
      </c>
    </row>
    <row r="47" spans="1:15" x14ac:dyDescent="0.35">
      <c r="A47" s="24">
        <v>32</v>
      </c>
      <c r="B47" s="513" t="str">
        <f>'Schedule 2B Adjustments'!B46:D46</f>
        <v/>
      </c>
      <c r="C47" s="513"/>
      <c r="D47" s="513"/>
      <c r="F47" s="117">
        <f>'Schedule 2B Adjustments'!H46</f>
        <v>0</v>
      </c>
      <c r="G47" s="181">
        <f>'Schedule 2B Adjustments'!J46</f>
        <v>0</v>
      </c>
      <c r="H47" s="68">
        <f t="shared" si="0"/>
        <v>0</v>
      </c>
      <c r="J47" s="180">
        <f>'Schedule 2B Adjustments'!P46</f>
        <v>0</v>
      </c>
      <c r="K47" s="181">
        <f>'Schedule 2B Adjustments'!R46</f>
        <v>0</v>
      </c>
      <c r="L47" s="68">
        <f t="shared" si="1"/>
        <v>0</v>
      </c>
      <c r="N47" s="120">
        <f>'Schedule 2B Adjustments'!X46</f>
        <v>0</v>
      </c>
      <c r="O47" s="120">
        <f>'Schedule 2B Adjustments'!AA46</f>
        <v>0</v>
      </c>
    </row>
    <row r="48" spans="1:15" x14ac:dyDescent="0.35">
      <c r="A48" s="24">
        <v>33</v>
      </c>
      <c r="B48" s="513" t="str">
        <f>'Schedule 2B Adjustments'!B47:D47</f>
        <v/>
      </c>
      <c r="C48" s="513"/>
      <c r="D48" s="513"/>
      <c r="F48" s="117">
        <f>'Schedule 2B Adjustments'!H47</f>
        <v>0</v>
      </c>
      <c r="G48" s="181">
        <f>'Schedule 2B Adjustments'!J47</f>
        <v>0</v>
      </c>
      <c r="H48" s="68">
        <f t="shared" si="0"/>
        <v>0</v>
      </c>
      <c r="J48" s="180">
        <f>'Schedule 2B Adjustments'!P47</f>
        <v>0</v>
      </c>
      <c r="K48" s="181">
        <f>'Schedule 2B Adjustments'!R47</f>
        <v>0</v>
      </c>
      <c r="L48" s="68">
        <f t="shared" si="1"/>
        <v>0</v>
      </c>
      <c r="N48" s="120">
        <f>'Schedule 2B Adjustments'!X47</f>
        <v>0</v>
      </c>
      <c r="O48" s="120">
        <f>'Schedule 2B Adjustments'!AA47</f>
        <v>0</v>
      </c>
    </row>
    <row r="49" spans="1:15" x14ac:dyDescent="0.35">
      <c r="A49" s="24">
        <v>34</v>
      </c>
      <c r="B49" s="513" t="str">
        <f>'Schedule 2B Adjustments'!B48:D48</f>
        <v/>
      </c>
      <c r="C49" s="513"/>
      <c r="D49" s="513"/>
      <c r="F49" s="117">
        <f>'Schedule 2B Adjustments'!H48</f>
        <v>0</v>
      </c>
      <c r="G49" s="181">
        <f>'Schedule 2B Adjustments'!J48</f>
        <v>0</v>
      </c>
      <c r="H49" s="68">
        <f t="shared" si="0"/>
        <v>0</v>
      </c>
      <c r="J49" s="180">
        <f>'Schedule 2B Adjustments'!P48</f>
        <v>0</v>
      </c>
      <c r="K49" s="181">
        <f>'Schedule 2B Adjustments'!R48</f>
        <v>0</v>
      </c>
      <c r="L49" s="68">
        <f t="shared" si="1"/>
        <v>0</v>
      </c>
      <c r="N49" s="120">
        <f>'Schedule 2B Adjustments'!X48</f>
        <v>0</v>
      </c>
      <c r="O49" s="120">
        <f>'Schedule 2B Adjustments'!AA48</f>
        <v>0</v>
      </c>
    </row>
    <row r="50" spans="1:15" x14ac:dyDescent="0.35">
      <c r="A50" s="24">
        <v>35</v>
      </c>
      <c r="B50" s="513" t="str">
        <f>'Schedule 2B Adjustments'!B49:D49</f>
        <v/>
      </c>
      <c r="C50" s="513"/>
      <c r="D50" s="513"/>
      <c r="F50" s="117">
        <f>'Schedule 2B Adjustments'!H49</f>
        <v>0</v>
      </c>
      <c r="G50" s="181">
        <f>'Schedule 2B Adjustments'!J49</f>
        <v>0</v>
      </c>
      <c r="H50" s="68">
        <f t="shared" si="0"/>
        <v>0</v>
      </c>
      <c r="J50" s="180">
        <f>'Schedule 2B Adjustments'!P49</f>
        <v>0</v>
      </c>
      <c r="K50" s="181">
        <f>'Schedule 2B Adjustments'!R49</f>
        <v>0</v>
      </c>
      <c r="L50" s="68">
        <f t="shared" si="1"/>
        <v>0</v>
      </c>
      <c r="N50" s="120">
        <f>'Schedule 2B Adjustments'!X49</f>
        <v>0</v>
      </c>
      <c r="O50" s="120">
        <f>'Schedule 2B Adjustments'!AA49</f>
        <v>0</v>
      </c>
    </row>
    <row r="51" spans="1:15" x14ac:dyDescent="0.35">
      <c r="A51" s="24">
        <v>36</v>
      </c>
      <c r="B51" s="513" t="str">
        <f>'Schedule 2B Adjustments'!B50:D50</f>
        <v/>
      </c>
      <c r="C51" s="513"/>
      <c r="D51" s="513"/>
      <c r="F51" s="117">
        <f>'Schedule 2B Adjustments'!H50</f>
        <v>0</v>
      </c>
      <c r="G51" s="181">
        <f>'Schedule 2B Adjustments'!J50</f>
        <v>0</v>
      </c>
      <c r="H51" s="68">
        <f t="shared" si="0"/>
        <v>0</v>
      </c>
      <c r="J51" s="180">
        <f>'Schedule 2B Adjustments'!P50</f>
        <v>0</v>
      </c>
      <c r="K51" s="181">
        <f>'Schedule 2B Adjustments'!R50</f>
        <v>0</v>
      </c>
      <c r="L51" s="68">
        <f t="shared" si="1"/>
        <v>0</v>
      </c>
      <c r="N51" s="120">
        <f>'Schedule 2B Adjustments'!X50</f>
        <v>0</v>
      </c>
      <c r="O51" s="120">
        <f>'Schedule 2B Adjustments'!AA50</f>
        <v>0</v>
      </c>
    </row>
    <row r="52" spans="1:15" x14ac:dyDescent="0.35">
      <c r="A52" s="24">
        <v>37</v>
      </c>
      <c r="B52" s="513" t="str">
        <f>'Schedule 2B Adjustments'!B51:D51</f>
        <v/>
      </c>
      <c r="C52" s="513"/>
      <c r="D52" s="513"/>
      <c r="F52" s="117">
        <f>'Schedule 2B Adjustments'!H51</f>
        <v>0</v>
      </c>
      <c r="G52" s="181">
        <f>'Schedule 2B Adjustments'!J51</f>
        <v>0</v>
      </c>
      <c r="H52" s="68">
        <f t="shared" si="0"/>
        <v>0</v>
      </c>
      <c r="J52" s="180">
        <f>'Schedule 2B Adjustments'!P51</f>
        <v>0</v>
      </c>
      <c r="K52" s="181">
        <f>'Schedule 2B Adjustments'!R51</f>
        <v>0</v>
      </c>
      <c r="L52" s="68">
        <f t="shared" si="1"/>
        <v>0</v>
      </c>
      <c r="N52" s="120">
        <f>'Schedule 2B Adjustments'!X51</f>
        <v>0</v>
      </c>
      <c r="O52" s="120">
        <f>'Schedule 2B Adjustments'!AA51</f>
        <v>0</v>
      </c>
    </row>
    <row r="53" spans="1:15" x14ac:dyDescent="0.35">
      <c r="A53" s="24">
        <v>38</v>
      </c>
      <c r="B53" s="513" t="str">
        <f>'Schedule 2B Adjustments'!B52:D52</f>
        <v/>
      </c>
      <c r="C53" s="513"/>
      <c r="D53" s="513"/>
      <c r="F53" s="117">
        <f>'Schedule 2B Adjustments'!H52</f>
        <v>0</v>
      </c>
      <c r="G53" s="181">
        <f>'Schedule 2B Adjustments'!J52</f>
        <v>0</v>
      </c>
      <c r="H53" s="68">
        <f t="shared" si="0"/>
        <v>0</v>
      </c>
      <c r="J53" s="180">
        <f>'Schedule 2B Adjustments'!P52</f>
        <v>0</v>
      </c>
      <c r="K53" s="181">
        <f>'Schedule 2B Adjustments'!R52</f>
        <v>0</v>
      </c>
      <c r="L53" s="68">
        <f t="shared" si="1"/>
        <v>0</v>
      </c>
      <c r="N53" s="120">
        <f>'Schedule 2B Adjustments'!X52</f>
        <v>0</v>
      </c>
      <c r="O53" s="120">
        <f>'Schedule 2B Adjustments'!AA52</f>
        <v>0</v>
      </c>
    </row>
    <row r="54" spans="1:15" x14ac:dyDescent="0.35">
      <c r="A54" s="24">
        <v>39</v>
      </c>
      <c r="B54" s="513" t="str">
        <f>'Schedule 2B Adjustments'!B53:D53</f>
        <v/>
      </c>
      <c r="C54" s="513"/>
      <c r="D54" s="513"/>
      <c r="F54" s="117">
        <f>'Schedule 2B Adjustments'!H53</f>
        <v>0</v>
      </c>
      <c r="G54" s="181">
        <f>'Schedule 2B Adjustments'!J53</f>
        <v>0</v>
      </c>
      <c r="H54" s="68">
        <f t="shared" si="0"/>
        <v>0</v>
      </c>
      <c r="J54" s="180">
        <f>'Schedule 2B Adjustments'!P53</f>
        <v>0</v>
      </c>
      <c r="K54" s="181">
        <f>'Schedule 2B Adjustments'!R53</f>
        <v>0</v>
      </c>
      <c r="L54" s="68">
        <f t="shared" si="1"/>
        <v>0</v>
      </c>
      <c r="N54" s="120">
        <f>'Schedule 2B Adjustments'!X53</f>
        <v>0</v>
      </c>
      <c r="O54" s="120">
        <f>'Schedule 2B Adjustments'!AA53</f>
        <v>0</v>
      </c>
    </row>
    <row r="55" spans="1:15" x14ac:dyDescent="0.35">
      <c r="A55" s="24">
        <v>40</v>
      </c>
      <c r="B55" s="513" t="str">
        <f>'Schedule 2B Adjustments'!B54:D54</f>
        <v/>
      </c>
      <c r="C55" s="513"/>
      <c r="D55" s="513"/>
      <c r="F55" s="117">
        <f>'Schedule 2B Adjustments'!H54</f>
        <v>0</v>
      </c>
      <c r="G55" s="181">
        <f>'Schedule 2B Adjustments'!J54</f>
        <v>0</v>
      </c>
      <c r="H55" s="68">
        <f t="shared" si="0"/>
        <v>0</v>
      </c>
      <c r="J55" s="180">
        <f>'Schedule 2B Adjustments'!P54</f>
        <v>0</v>
      </c>
      <c r="K55" s="181">
        <f>'Schedule 2B Adjustments'!R54</f>
        <v>0</v>
      </c>
      <c r="L55" s="68">
        <f t="shared" si="1"/>
        <v>0</v>
      </c>
      <c r="N55" s="120">
        <f>'Schedule 2B Adjustments'!X54</f>
        <v>0</v>
      </c>
      <c r="O55" s="120">
        <f>'Schedule 2B Adjustments'!AA54</f>
        <v>0</v>
      </c>
    </row>
    <row r="56" spans="1:15" x14ac:dyDescent="0.35">
      <c r="A56" s="24">
        <v>41</v>
      </c>
      <c r="B56" s="513" t="str">
        <f>'Schedule 2B Adjustments'!B55:D55</f>
        <v/>
      </c>
      <c r="C56" s="513"/>
      <c r="D56" s="513"/>
      <c r="F56" s="117">
        <f>'Schedule 2B Adjustments'!H55</f>
        <v>0</v>
      </c>
      <c r="G56" s="181">
        <f>'Schedule 2B Adjustments'!J55</f>
        <v>0</v>
      </c>
      <c r="H56" s="68">
        <f t="shared" si="0"/>
        <v>0</v>
      </c>
      <c r="J56" s="180">
        <f>'Schedule 2B Adjustments'!P55</f>
        <v>0</v>
      </c>
      <c r="K56" s="181">
        <f>'Schedule 2B Adjustments'!R55</f>
        <v>0</v>
      </c>
      <c r="L56" s="68">
        <f t="shared" si="1"/>
        <v>0</v>
      </c>
      <c r="N56" s="120">
        <f>'Schedule 2B Adjustments'!X55</f>
        <v>0</v>
      </c>
      <c r="O56" s="120">
        <f>'Schedule 2B Adjustments'!AA55</f>
        <v>0</v>
      </c>
    </row>
    <row r="57" spans="1:15" x14ac:dyDescent="0.35">
      <c r="A57" s="24">
        <v>42</v>
      </c>
      <c r="B57" s="513" t="str">
        <f>'Schedule 2B Adjustments'!B56:D56</f>
        <v/>
      </c>
      <c r="C57" s="513"/>
      <c r="D57" s="513"/>
      <c r="F57" s="117">
        <f>'Schedule 2B Adjustments'!H56</f>
        <v>0</v>
      </c>
      <c r="G57" s="181">
        <f>'Schedule 2B Adjustments'!J56</f>
        <v>0</v>
      </c>
      <c r="H57" s="68">
        <f t="shared" si="0"/>
        <v>0</v>
      </c>
      <c r="J57" s="180">
        <f>'Schedule 2B Adjustments'!P56</f>
        <v>0</v>
      </c>
      <c r="K57" s="181">
        <f>'Schedule 2B Adjustments'!R56</f>
        <v>0</v>
      </c>
      <c r="L57" s="68">
        <f t="shared" si="1"/>
        <v>0</v>
      </c>
      <c r="N57" s="120">
        <f>'Schedule 2B Adjustments'!X56</f>
        <v>0</v>
      </c>
      <c r="O57" s="120">
        <f>'Schedule 2B Adjustments'!AA56</f>
        <v>0</v>
      </c>
    </row>
    <row r="58" spans="1:15" x14ac:dyDescent="0.35">
      <c r="A58" s="24">
        <v>43</v>
      </c>
      <c r="B58" s="513" t="str">
        <f>'Schedule 2B Adjustments'!B57:D57</f>
        <v/>
      </c>
      <c r="C58" s="513"/>
      <c r="D58" s="513"/>
      <c r="F58" s="117">
        <f>'Schedule 2B Adjustments'!H57</f>
        <v>0</v>
      </c>
      <c r="G58" s="181">
        <f>'Schedule 2B Adjustments'!J57</f>
        <v>0</v>
      </c>
      <c r="H58" s="68">
        <f t="shared" si="0"/>
        <v>0</v>
      </c>
      <c r="J58" s="180">
        <f>'Schedule 2B Adjustments'!P57</f>
        <v>0</v>
      </c>
      <c r="K58" s="181">
        <f>'Schedule 2B Adjustments'!R57</f>
        <v>0</v>
      </c>
      <c r="L58" s="68">
        <f t="shared" si="1"/>
        <v>0</v>
      </c>
      <c r="N58" s="120">
        <f>'Schedule 2B Adjustments'!X57</f>
        <v>0</v>
      </c>
      <c r="O58" s="120">
        <f>'Schedule 2B Adjustments'!AA57</f>
        <v>0</v>
      </c>
    </row>
    <row r="59" spans="1:15" x14ac:dyDescent="0.35">
      <c r="A59" s="24">
        <v>44</v>
      </c>
      <c r="B59" s="513" t="str">
        <f>'Schedule 2B Adjustments'!B58:D58</f>
        <v/>
      </c>
      <c r="C59" s="513"/>
      <c r="D59" s="513"/>
      <c r="F59" s="117">
        <f>'Schedule 2B Adjustments'!H58</f>
        <v>0</v>
      </c>
      <c r="G59" s="181">
        <f>'Schedule 2B Adjustments'!J58</f>
        <v>0</v>
      </c>
      <c r="H59" s="68">
        <f t="shared" si="0"/>
        <v>0</v>
      </c>
      <c r="J59" s="180">
        <f>'Schedule 2B Adjustments'!P58</f>
        <v>0</v>
      </c>
      <c r="K59" s="181">
        <f>'Schedule 2B Adjustments'!R58</f>
        <v>0</v>
      </c>
      <c r="L59" s="68">
        <f t="shared" si="1"/>
        <v>0</v>
      </c>
      <c r="N59" s="120">
        <f>'Schedule 2B Adjustments'!X58</f>
        <v>0</v>
      </c>
      <c r="O59" s="120">
        <f>'Schedule 2B Adjustments'!AA58</f>
        <v>0</v>
      </c>
    </row>
    <row r="60" spans="1:15" x14ac:dyDescent="0.35">
      <c r="A60" s="24">
        <v>45</v>
      </c>
      <c r="B60" s="513" t="str">
        <f>'Schedule 2B Adjustments'!B59:D59</f>
        <v/>
      </c>
      <c r="C60" s="513"/>
      <c r="D60" s="513"/>
      <c r="F60" s="117">
        <f>'Schedule 2B Adjustments'!H59</f>
        <v>0</v>
      </c>
      <c r="G60" s="181">
        <f>'Schedule 2B Adjustments'!J59</f>
        <v>0</v>
      </c>
      <c r="H60" s="68">
        <f t="shared" si="0"/>
        <v>0</v>
      </c>
      <c r="J60" s="180">
        <f>'Schedule 2B Adjustments'!P59</f>
        <v>0</v>
      </c>
      <c r="K60" s="181">
        <f>'Schedule 2B Adjustments'!R59</f>
        <v>0</v>
      </c>
      <c r="L60" s="68">
        <f t="shared" si="1"/>
        <v>0</v>
      </c>
      <c r="N60" s="120">
        <f>'Schedule 2B Adjustments'!X59</f>
        <v>0</v>
      </c>
      <c r="O60" s="120">
        <f>'Schedule 2B Adjustments'!AA59</f>
        <v>0</v>
      </c>
    </row>
    <row r="61" spans="1:15" x14ac:dyDescent="0.35">
      <c r="A61" s="24">
        <v>46</v>
      </c>
      <c r="B61" s="513" t="str">
        <f>'Schedule 2B Adjustments'!B60:D60</f>
        <v/>
      </c>
      <c r="C61" s="513"/>
      <c r="D61" s="513"/>
      <c r="F61" s="117">
        <f>'Schedule 2B Adjustments'!H60</f>
        <v>0</v>
      </c>
      <c r="G61" s="181">
        <f>'Schedule 2B Adjustments'!J60</f>
        <v>0</v>
      </c>
      <c r="H61" s="68">
        <f t="shared" si="0"/>
        <v>0</v>
      </c>
      <c r="J61" s="180">
        <f>'Schedule 2B Adjustments'!P60</f>
        <v>0</v>
      </c>
      <c r="K61" s="181">
        <f>'Schedule 2B Adjustments'!R60</f>
        <v>0</v>
      </c>
      <c r="L61" s="68">
        <f t="shared" si="1"/>
        <v>0</v>
      </c>
      <c r="N61" s="120">
        <f>'Schedule 2B Adjustments'!X60</f>
        <v>0</v>
      </c>
      <c r="O61" s="120">
        <f>'Schedule 2B Adjustments'!AA60</f>
        <v>0</v>
      </c>
    </row>
    <row r="62" spans="1:15" x14ac:dyDescent="0.35">
      <c r="A62" s="24">
        <v>47</v>
      </c>
      <c r="B62" s="513" t="str">
        <f>'Schedule 2B Adjustments'!B61:D61</f>
        <v/>
      </c>
      <c r="C62" s="513"/>
      <c r="D62" s="513"/>
      <c r="F62" s="117">
        <f>'Schedule 2B Adjustments'!H61</f>
        <v>0</v>
      </c>
      <c r="G62" s="181">
        <f>'Schedule 2B Adjustments'!J61</f>
        <v>0</v>
      </c>
      <c r="H62" s="68">
        <f t="shared" si="0"/>
        <v>0</v>
      </c>
      <c r="J62" s="180">
        <f>'Schedule 2B Adjustments'!P61</f>
        <v>0</v>
      </c>
      <c r="K62" s="181">
        <f>'Schedule 2B Adjustments'!R61</f>
        <v>0</v>
      </c>
      <c r="L62" s="68">
        <f t="shared" si="1"/>
        <v>0</v>
      </c>
      <c r="N62" s="120">
        <f>'Schedule 2B Adjustments'!X61</f>
        <v>0</v>
      </c>
      <c r="O62" s="120">
        <f>'Schedule 2B Adjustments'!AA61</f>
        <v>0</v>
      </c>
    </row>
    <row r="63" spans="1:15" x14ac:dyDescent="0.35">
      <c r="A63" s="24">
        <v>48</v>
      </c>
      <c r="B63" s="513" t="str">
        <f>'Schedule 2B Adjustments'!B62:D62</f>
        <v/>
      </c>
      <c r="C63" s="513"/>
      <c r="D63" s="513"/>
      <c r="F63" s="117">
        <f>'Schedule 2B Adjustments'!H62</f>
        <v>0</v>
      </c>
      <c r="G63" s="181">
        <f>'Schedule 2B Adjustments'!J62</f>
        <v>0</v>
      </c>
      <c r="H63" s="68">
        <f t="shared" si="0"/>
        <v>0</v>
      </c>
      <c r="J63" s="180">
        <f>'Schedule 2B Adjustments'!P62</f>
        <v>0</v>
      </c>
      <c r="K63" s="181">
        <f>'Schedule 2B Adjustments'!R62</f>
        <v>0</v>
      </c>
      <c r="L63" s="68">
        <f t="shared" si="1"/>
        <v>0</v>
      </c>
      <c r="N63" s="120">
        <f>'Schedule 2B Adjustments'!X62</f>
        <v>0</v>
      </c>
      <c r="O63" s="120">
        <f>'Schedule 2B Adjustments'!AA62</f>
        <v>0</v>
      </c>
    </row>
    <row r="64" spans="1:15" x14ac:dyDescent="0.35">
      <c r="A64" s="24">
        <v>49</v>
      </c>
      <c r="B64" s="513" t="str">
        <f>'Schedule 2B Adjustments'!B63:D63</f>
        <v/>
      </c>
      <c r="C64" s="513"/>
      <c r="D64" s="513"/>
      <c r="F64" s="117">
        <f>'Schedule 2B Adjustments'!H63</f>
        <v>0</v>
      </c>
      <c r="G64" s="181">
        <f>'Schedule 2B Adjustments'!J63</f>
        <v>0</v>
      </c>
      <c r="H64" s="68">
        <f t="shared" si="0"/>
        <v>0</v>
      </c>
      <c r="J64" s="180">
        <f>'Schedule 2B Adjustments'!P63</f>
        <v>0</v>
      </c>
      <c r="K64" s="181">
        <f>'Schedule 2B Adjustments'!R63</f>
        <v>0</v>
      </c>
      <c r="L64" s="68">
        <f t="shared" si="1"/>
        <v>0</v>
      </c>
      <c r="N64" s="120">
        <f>'Schedule 2B Adjustments'!X63</f>
        <v>0</v>
      </c>
      <c r="O64" s="120">
        <f>'Schedule 2B Adjustments'!AA63</f>
        <v>0</v>
      </c>
    </row>
    <row r="65" spans="1:15" x14ac:dyDescent="0.35">
      <c r="A65" s="24">
        <v>50</v>
      </c>
      <c r="B65" s="513" t="str">
        <f>'Schedule 2B Adjustments'!B64:D64</f>
        <v/>
      </c>
      <c r="C65" s="513"/>
      <c r="D65" s="513"/>
      <c r="F65" s="117">
        <f>'Schedule 2B Adjustments'!H64</f>
        <v>0</v>
      </c>
      <c r="G65" s="181">
        <f>'Schedule 2B Adjustments'!J64</f>
        <v>0</v>
      </c>
      <c r="H65" s="68">
        <f t="shared" si="0"/>
        <v>0</v>
      </c>
      <c r="J65" s="180">
        <f>'Schedule 2B Adjustments'!P64</f>
        <v>0</v>
      </c>
      <c r="K65" s="181">
        <f>'Schedule 2B Adjustments'!R64</f>
        <v>0</v>
      </c>
      <c r="L65" s="68">
        <f t="shared" si="1"/>
        <v>0</v>
      </c>
      <c r="N65" s="120">
        <f>'Schedule 2B Adjustments'!X64</f>
        <v>0</v>
      </c>
      <c r="O65" s="120">
        <f>'Schedule 2B Adjustments'!AA64</f>
        <v>0</v>
      </c>
    </row>
    <row r="66" spans="1:15" x14ac:dyDescent="0.35">
      <c r="A66" s="24">
        <v>51</v>
      </c>
      <c r="B66" s="513" t="str">
        <f>'Schedule 2B Adjustments'!B65:D65</f>
        <v/>
      </c>
      <c r="C66" s="513"/>
      <c r="D66" s="513"/>
      <c r="F66" s="117">
        <f>'Schedule 2B Adjustments'!H65</f>
        <v>0</v>
      </c>
      <c r="G66" s="181">
        <f>'Schedule 2B Adjustments'!J65</f>
        <v>0</v>
      </c>
      <c r="H66" s="68">
        <f t="shared" si="0"/>
        <v>0</v>
      </c>
      <c r="J66" s="180">
        <f>'Schedule 2B Adjustments'!P65</f>
        <v>0</v>
      </c>
      <c r="K66" s="181">
        <f>'Schedule 2B Adjustments'!R65</f>
        <v>0</v>
      </c>
      <c r="L66" s="68">
        <f t="shared" si="1"/>
        <v>0</v>
      </c>
      <c r="N66" s="120">
        <f>'Schedule 2B Adjustments'!X65</f>
        <v>0</v>
      </c>
      <c r="O66" s="120">
        <f>'Schedule 2B Adjustments'!AA65</f>
        <v>0</v>
      </c>
    </row>
    <row r="67" spans="1:15" x14ac:dyDescent="0.35">
      <c r="A67" s="24">
        <v>52</v>
      </c>
      <c r="B67" s="513" t="str">
        <f>'Schedule 2B Adjustments'!B66:D66</f>
        <v/>
      </c>
      <c r="C67" s="513"/>
      <c r="D67" s="513"/>
      <c r="F67" s="117">
        <f>'Schedule 2B Adjustments'!H66</f>
        <v>0</v>
      </c>
      <c r="G67" s="181">
        <f>'Schedule 2B Adjustments'!J66</f>
        <v>0</v>
      </c>
      <c r="H67" s="68">
        <f t="shared" si="0"/>
        <v>0</v>
      </c>
      <c r="J67" s="180">
        <f>'Schedule 2B Adjustments'!P66</f>
        <v>0</v>
      </c>
      <c r="K67" s="181">
        <f>'Schedule 2B Adjustments'!R66</f>
        <v>0</v>
      </c>
      <c r="L67" s="68">
        <f t="shared" si="1"/>
        <v>0</v>
      </c>
      <c r="N67" s="120">
        <f>'Schedule 2B Adjustments'!X66</f>
        <v>0</v>
      </c>
      <c r="O67" s="120">
        <f>'Schedule 2B Adjustments'!AA66</f>
        <v>0</v>
      </c>
    </row>
    <row r="68" spans="1:15" x14ac:dyDescent="0.35">
      <c r="A68" s="24">
        <v>53</v>
      </c>
      <c r="B68" s="513" t="str">
        <f>'Schedule 2B Adjustments'!B67:D67</f>
        <v/>
      </c>
      <c r="C68" s="513"/>
      <c r="D68" s="513"/>
      <c r="F68" s="117">
        <f>'Schedule 2B Adjustments'!H67</f>
        <v>0</v>
      </c>
      <c r="G68" s="181">
        <f>'Schedule 2B Adjustments'!J67</f>
        <v>0</v>
      </c>
      <c r="H68" s="68">
        <f t="shared" si="0"/>
        <v>0</v>
      </c>
      <c r="J68" s="180">
        <f>'Schedule 2B Adjustments'!P67</f>
        <v>0</v>
      </c>
      <c r="K68" s="181">
        <f>'Schedule 2B Adjustments'!R67</f>
        <v>0</v>
      </c>
      <c r="L68" s="68">
        <f t="shared" si="1"/>
        <v>0</v>
      </c>
      <c r="N68" s="120">
        <f>'Schedule 2B Adjustments'!X67</f>
        <v>0</v>
      </c>
      <c r="O68" s="120">
        <f>'Schedule 2B Adjustments'!AA67</f>
        <v>0</v>
      </c>
    </row>
    <row r="69" spans="1:15" x14ac:dyDescent="0.35">
      <c r="A69" s="24">
        <v>54</v>
      </c>
      <c r="B69" s="513" t="str">
        <f>'Schedule 2B Adjustments'!B68:D68</f>
        <v/>
      </c>
      <c r="C69" s="513"/>
      <c r="D69" s="513"/>
      <c r="F69" s="117">
        <f>'Schedule 2B Adjustments'!H68</f>
        <v>0</v>
      </c>
      <c r="G69" s="181">
        <f>'Schedule 2B Adjustments'!J68</f>
        <v>0</v>
      </c>
      <c r="H69" s="68">
        <f t="shared" si="0"/>
        <v>0</v>
      </c>
      <c r="J69" s="180">
        <f>'Schedule 2B Adjustments'!P68</f>
        <v>0</v>
      </c>
      <c r="K69" s="181">
        <f>'Schedule 2B Adjustments'!R68</f>
        <v>0</v>
      </c>
      <c r="L69" s="68">
        <f t="shared" si="1"/>
        <v>0</v>
      </c>
      <c r="N69" s="120">
        <f>'Schedule 2B Adjustments'!X68</f>
        <v>0</v>
      </c>
      <c r="O69" s="120">
        <f>'Schedule 2B Adjustments'!AA68</f>
        <v>0</v>
      </c>
    </row>
    <row r="70" spans="1:15" x14ac:dyDescent="0.35">
      <c r="A70" s="24">
        <v>55</v>
      </c>
      <c r="B70" s="513" t="str">
        <f>'Schedule 2B Adjustments'!B69:D69</f>
        <v/>
      </c>
      <c r="C70" s="513"/>
      <c r="D70" s="513"/>
      <c r="F70" s="117">
        <f>'Schedule 2B Adjustments'!H69</f>
        <v>0</v>
      </c>
      <c r="G70" s="181">
        <f>'Schedule 2B Adjustments'!J69</f>
        <v>0</v>
      </c>
      <c r="H70" s="68">
        <f t="shared" si="0"/>
        <v>0</v>
      </c>
      <c r="J70" s="180">
        <f>'Schedule 2B Adjustments'!P69</f>
        <v>0</v>
      </c>
      <c r="K70" s="181">
        <f>'Schedule 2B Adjustments'!R69</f>
        <v>0</v>
      </c>
      <c r="L70" s="68">
        <f t="shared" si="1"/>
        <v>0</v>
      </c>
      <c r="N70" s="120">
        <f>'Schedule 2B Adjustments'!X69</f>
        <v>0</v>
      </c>
      <c r="O70" s="120">
        <f>'Schedule 2B Adjustments'!AA69</f>
        <v>0</v>
      </c>
    </row>
    <row r="71" spans="1:15" x14ac:dyDescent="0.35">
      <c r="A71" s="24">
        <v>56</v>
      </c>
      <c r="B71" s="513" t="str">
        <f>'Schedule 2B Adjustments'!B70:D70</f>
        <v/>
      </c>
      <c r="C71" s="513"/>
      <c r="D71" s="513"/>
      <c r="F71" s="117">
        <f>'Schedule 2B Adjustments'!H70</f>
        <v>0</v>
      </c>
      <c r="G71" s="181">
        <f>'Schedule 2B Adjustments'!J70</f>
        <v>0</v>
      </c>
      <c r="H71" s="68">
        <f t="shared" si="0"/>
        <v>0</v>
      </c>
      <c r="J71" s="180">
        <f>'Schedule 2B Adjustments'!P70</f>
        <v>0</v>
      </c>
      <c r="K71" s="181">
        <f>'Schedule 2B Adjustments'!R70</f>
        <v>0</v>
      </c>
      <c r="L71" s="68">
        <f t="shared" si="1"/>
        <v>0</v>
      </c>
      <c r="N71" s="120">
        <f>'Schedule 2B Adjustments'!X70</f>
        <v>0</v>
      </c>
      <c r="O71" s="120">
        <f>'Schedule 2B Adjustments'!AA70</f>
        <v>0</v>
      </c>
    </row>
    <row r="72" spans="1:15" x14ac:dyDescent="0.35">
      <c r="A72" s="24">
        <v>57</v>
      </c>
      <c r="B72" s="513" t="str">
        <f>'Schedule 2B Adjustments'!B71:D71</f>
        <v/>
      </c>
      <c r="C72" s="513"/>
      <c r="D72" s="513"/>
      <c r="F72" s="117">
        <f>'Schedule 2B Adjustments'!H71</f>
        <v>0</v>
      </c>
      <c r="G72" s="181">
        <f>'Schedule 2B Adjustments'!J71</f>
        <v>0</v>
      </c>
      <c r="H72" s="68">
        <f t="shared" si="0"/>
        <v>0</v>
      </c>
      <c r="J72" s="180">
        <f>'Schedule 2B Adjustments'!P71</f>
        <v>0</v>
      </c>
      <c r="K72" s="181">
        <f>'Schedule 2B Adjustments'!R71</f>
        <v>0</v>
      </c>
      <c r="L72" s="68">
        <f t="shared" si="1"/>
        <v>0</v>
      </c>
      <c r="N72" s="120">
        <f>'Schedule 2B Adjustments'!X71</f>
        <v>0</v>
      </c>
      <c r="O72" s="120">
        <f>'Schedule 2B Adjustments'!AA71</f>
        <v>0</v>
      </c>
    </row>
    <row r="73" spans="1:15" x14ac:dyDescent="0.35">
      <c r="A73" s="24">
        <v>58</v>
      </c>
      <c r="B73" s="513" t="str">
        <f>'Schedule 2B Adjustments'!B72:D72</f>
        <v/>
      </c>
      <c r="C73" s="513"/>
      <c r="D73" s="513"/>
      <c r="F73" s="117">
        <f>'Schedule 2B Adjustments'!H72</f>
        <v>0</v>
      </c>
      <c r="G73" s="181">
        <f>'Schedule 2B Adjustments'!J72</f>
        <v>0</v>
      </c>
      <c r="H73" s="68">
        <f t="shared" si="0"/>
        <v>0</v>
      </c>
      <c r="J73" s="180">
        <f>'Schedule 2B Adjustments'!P72</f>
        <v>0</v>
      </c>
      <c r="K73" s="181">
        <f>'Schedule 2B Adjustments'!R72</f>
        <v>0</v>
      </c>
      <c r="L73" s="68">
        <f t="shared" si="1"/>
        <v>0</v>
      </c>
      <c r="N73" s="120">
        <f>'Schedule 2B Adjustments'!X72</f>
        <v>0</v>
      </c>
      <c r="O73" s="120">
        <f>'Schedule 2B Adjustments'!AA72</f>
        <v>0</v>
      </c>
    </row>
    <row r="74" spans="1:15" x14ac:dyDescent="0.35">
      <c r="A74" s="24">
        <v>59</v>
      </c>
      <c r="F74" s="18">
        <f>SUM(F16:F73)</f>
        <v>1778772.6383552887</v>
      </c>
      <c r="G74" s="18">
        <f t="shared" ref="G74:H74" si="2">SUM(G16:G73)</f>
        <v>549076.59999056731</v>
      </c>
      <c r="H74" s="18">
        <f t="shared" si="2"/>
        <v>2327849.2383458563</v>
      </c>
      <c r="J74" s="18">
        <f>SUM(J16:J73)</f>
        <v>186824.56494368202</v>
      </c>
      <c r="K74" s="18">
        <f t="shared" ref="K74:L74" si="3">SUM(K16:K73)</f>
        <v>57669.538367108915</v>
      </c>
      <c r="L74" s="18">
        <f t="shared" si="3"/>
        <v>244494.10331079093</v>
      </c>
      <c r="O74" s="83" t="s">
        <v>313</v>
      </c>
    </row>
    <row r="75" spans="1:15" ht="15" thickBot="1" x14ac:dyDescent="0.4">
      <c r="H75" s="37" t="s">
        <v>257</v>
      </c>
      <c r="L75" s="37" t="s">
        <v>258</v>
      </c>
    </row>
    <row r="76" spans="1:15" s="72" customFormat="1" ht="16" thickBot="1" x14ac:dyDescent="0.4">
      <c r="A76" s="24">
        <v>60</v>
      </c>
      <c r="B76" s="73" t="s">
        <v>460</v>
      </c>
      <c r="F76" s="75">
        <f>H74+L74</f>
        <v>2572343.3416566472</v>
      </c>
      <c r="G76" s="74"/>
      <c r="H76" s="74"/>
      <c r="I76" s="74"/>
      <c r="J76" s="74"/>
      <c r="K76" s="74"/>
    </row>
  </sheetData>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5">
    <mergeCell ref="B20:D20"/>
    <mergeCell ref="A3:H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orientation="portrait" horizontalDpi="1200" verticalDpi="120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8971D"/>
  </sheetPr>
  <dimension ref="A1:O76"/>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453125" customWidth="1"/>
    <col min="15" max="15" width="12" customWidth="1"/>
  </cols>
  <sheetData>
    <row r="1" spans="1:15" ht="26" x14ac:dyDescent="0.6">
      <c r="A1" s="3" t="s">
        <v>774</v>
      </c>
    </row>
    <row r="2" spans="1:15" ht="21" x14ac:dyDescent="0.5">
      <c r="A2" s="2" t="s">
        <v>772</v>
      </c>
    </row>
    <row r="3" spans="1:15" ht="25" customHeight="1" x14ac:dyDescent="0.5">
      <c r="A3" s="494" t="s">
        <v>695</v>
      </c>
      <c r="B3" s="494"/>
      <c r="C3" s="494"/>
      <c r="D3" s="494"/>
      <c r="E3" s="494"/>
      <c r="F3" s="494"/>
      <c r="G3" s="494"/>
      <c r="H3" s="494"/>
    </row>
    <row r="4" spans="1:15" ht="25" customHeight="1" x14ac:dyDescent="0.5">
      <c r="A4" s="243" t="str">
        <f>Results!A4</f>
        <v>Final Adjustments</v>
      </c>
      <c r="B4" s="361"/>
      <c r="C4" s="361"/>
      <c r="D4" s="361"/>
      <c r="E4" s="361"/>
      <c r="F4" s="361"/>
      <c r="G4" s="361"/>
      <c r="H4" s="361"/>
    </row>
    <row r="6" spans="1:15" x14ac:dyDescent="0.35">
      <c r="A6" s="1" t="s">
        <v>773</v>
      </c>
      <c r="C6" s="421" t="str">
        <f>Results!$C$6</f>
        <v>Health Solutions</v>
      </c>
    </row>
    <row r="7" spans="1:15" x14ac:dyDescent="0.35">
      <c r="A7" s="1" t="s">
        <v>0</v>
      </c>
      <c r="C7" s="35">
        <f>Results!$C$7</f>
        <v>45473</v>
      </c>
      <c r="F7" s="35"/>
    </row>
    <row r="9" spans="1:15" x14ac:dyDescent="0.35">
      <c r="A9" s="1" t="s">
        <v>253</v>
      </c>
      <c r="B9" s="1" t="s">
        <v>752</v>
      </c>
      <c r="C9" s="1"/>
      <c r="D9" s="119" t="str">
        <f>'Schedule 2C Adjustments'!D8</f>
        <v>Yes</v>
      </c>
      <c r="E9" s="41" t="s">
        <v>259</v>
      </c>
    </row>
    <row r="11" spans="1:15" x14ac:dyDescent="0.35">
      <c r="A11" s="1" t="s">
        <v>254</v>
      </c>
      <c r="B11" s="1" t="s">
        <v>256</v>
      </c>
      <c r="C11" s="1"/>
    </row>
    <row r="12" spans="1:15" x14ac:dyDescent="0.35">
      <c r="B12" s="318" t="s">
        <v>598</v>
      </c>
    </row>
    <row r="13" spans="1:15" x14ac:dyDescent="0.35">
      <c r="B13" s="508">
        <v>1</v>
      </c>
      <c r="C13" s="508"/>
      <c r="D13" s="508"/>
      <c r="F13" s="23">
        <v>2</v>
      </c>
      <c r="G13" s="23">
        <v>3</v>
      </c>
      <c r="H13" s="23">
        <v>4</v>
      </c>
      <c r="J13" s="23">
        <v>5</v>
      </c>
      <c r="K13" s="23">
        <v>6</v>
      </c>
      <c r="L13" s="23">
        <v>7</v>
      </c>
      <c r="N13" s="23">
        <v>8</v>
      </c>
      <c r="O13" s="23">
        <v>9</v>
      </c>
    </row>
    <row r="14" spans="1:15" ht="15" customHeight="1" x14ac:dyDescent="0.35">
      <c r="B14" s="517" t="s">
        <v>612</v>
      </c>
      <c r="C14" s="518"/>
      <c r="D14" s="519"/>
      <c r="F14" s="511" t="s">
        <v>261</v>
      </c>
      <c r="G14" s="516"/>
      <c r="H14" s="512"/>
      <c r="J14" s="511" t="s">
        <v>262</v>
      </c>
      <c r="K14" s="516"/>
      <c r="L14" s="512"/>
      <c r="N14" s="514" t="s">
        <v>692</v>
      </c>
      <c r="O14" s="514" t="s">
        <v>693</v>
      </c>
    </row>
    <row r="15" spans="1:15" ht="55.5" customHeight="1" x14ac:dyDescent="0.35">
      <c r="B15" s="520"/>
      <c r="C15" s="521"/>
      <c r="D15" s="522"/>
      <c r="E15" s="48"/>
      <c r="F15" s="10" t="s">
        <v>689</v>
      </c>
      <c r="G15" s="151" t="s">
        <v>690</v>
      </c>
      <c r="H15" s="151" t="s">
        <v>691</v>
      </c>
      <c r="I15" s="100"/>
      <c r="J15" s="10" t="s">
        <v>689</v>
      </c>
      <c r="K15" s="151" t="s">
        <v>690</v>
      </c>
      <c r="L15" s="151" t="s">
        <v>691</v>
      </c>
      <c r="M15" s="48"/>
      <c r="N15" s="515"/>
      <c r="O15" s="515"/>
    </row>
    <row r="16" spans="1:15" x14ac:dyDescent="0.35">
      <c r="A16" s="24">
        <v>1</v>
      </c>
      <c r="B16" s="513" t="str">
        <f>'Schedule 2C Adjustments'!B15:D15</f>
        <v>Adult Outpatient - Chinook location</v>
      </c>
      <c r="C16" s="513"/>
      <c r="D16" s="513"/>
      <c r="F16" s="117">
        <f>'Schedule 2C Adjustments'!H15</f>
        <v>2931321.9220722746</v>
      </c>
      <c r="G16" s="68">
        <f>'Schedule 2C Adjustments'!J15</f>
        <v>904848.79278190073</v>
      </c>
      <c r="H16" s="68">
        <f>SUM(F16:G16)</f>
        <v>3836170.7148541752</v>
      </c>
      <c r="J16" s="117">
        <f>'Schedule 2C Adjustments'!P15</f>
        <v>0</v>
      </c>
      <c r="K16" s="68">
        <f>'Schedule 2C Adjustments'!R15</f>
        <v>0</v>
      </c>
      <c r="L16" s="68">
        <f>SUM(J16:K16)</f>
        <v>0</v>
      </c>
      <c r="N16" s="120">
        <f>'Schedule 2C Adjustments'!X15</f>
        <v>25.047499999999999</v>
      </c>
      <c r="O16" s="120">
        <f>'Schedule 2C Adjustments'!AA15</f>
        <v>1729</v>
      </c>
    </row>
    <row r="17" spans="1:15" x14ac:dyDescent="0.35">
      <c r="A17" s="24">
        <v>2</v>
      </c>
      <c r="B17" s="513" t="str">
        <f>'Schedule 2C Adjustments'!B16:D16</f>
        <v>Career Horizons (vocational training)</v>
      </c>
      <c r="C17" s="513"/>
      <c r="D17" s="513"/>
      <c r="F17" s="117">
        <f>'Schedule 2C Adjustments'!H16</f>
        <v>106860.58945737312</v>
      </c>
      <c r="G17" s="68">
        <f>'Schedule 2C Adjustments'!J16</f>
        <v>32986.030854676741</v>
      </c>
      <c r="H17" s="68">
        <f t="shared" ref="H17:H73" si="0">SUM(F17:G17)</f>
        <v>139846.62031204987</v>
      </c>
      <c r="J17" s="117">
        <f>'Schedule 2C Adjustments'!P16</f>
        <v>0</v>
      </c>
      <c r="K17" s="68">
        <f>'Schedule 2C Adjustments'!R16</f>
        <v>0</v>
      </c>
      <c r="L17" s="68">
        <f t="shared" ref="L17:L73" si="1">SUM(J17:K17)</f>
        <v>0</v>
      </c>
      <c r="N17" s="120">
        <f>'Schedule 2C Adjustments'!X16</f>
        <v>1.4558333333333333</v>
      </c>
      <c r="O17" s="120">
        <f>'Schedule 2C Adjustments'!AA16</f>
        <v>154</v>
      </c>
    </row>
    <row r="18" spans="1:15" x14ac:dyDescent="0.35">
      <c r="A18" s="24">
        <v>3</v>
      </c>
      <c r="B18" s="513" t="str">
        <f>'Schedule 2C Adjustments'!B17:D17</f>
        <v>Crestone (adult outpatient &amp; substance use treatment)</v>
      </c>
      <c r="C18" s="513"/>
      <c r="D18" s="513"/>
      <c r="F18" s="117">
        <f>'Schedule 2C Adjustments'!H17</f>
        <v>2166684.5674723266</v>
      </c>
      <c r="G18" s="68">
        <f>'Schedule 2C Adjustments'!J17</f>
        <v>668818.35817968915</v>
      </c>
      <c r="H18" s="68">
        <f t="shared" si="0"/>
        <v>2835502.925652016</v>
      </c>
      <c r="J18" s="117">
        <f>'Schedule 2C Adjustments'!P17</f>
        <v>0</v>
      </c>
      <c r="K18" s="68">
        <f>'Schedule 2C Adjustments'!R17</f>
        <v>0</v>
      </c>
      <c r="L18" s="68">
        <f t="shared" si="1"/>
        <v>0</v>
      </c>
      <c r="N18" s="120">
        <f>'Schedule 2C Adjustments'!X17</f>
        <v>19.067500000000003</v>
      </c>
      <c r="O18" s="120">
        <f>'Schedule 2C Adjustments'!AA17</f>
        <v>1407</v>
      </c>
    </row>
    <row r="19" spans="1:15" x14ac:dyDescent="0.35">
      <c r="A19" s="24">
        <v>4</v>
      </c>
      <c r="B19" s="513" t="str">
        <f>'Schedule 2C Adjustments'!B18:D18</f>
        <v>DUI services</v>
      </c>
      <c r="C19" s="513"/>
      <c r="D19" s="513"/>
      <c r="F19" s="117">
        <f>'Schedule 2C Adjustments'!H18</f>
        <v>100670.70383302045</v>
      </c>
      <c r="G19" s="68">
        <f>'Schedule 2C Adjustments'!J18</f>
        <v>31075.319345142492</v>
      </c>
      <c r="H19" s="68">
        <f t="shared" si="0"/>
        <v>131746.02317816296</v>
      </c>
      <c r="J19" s="117">
        <f>'Schedule 2C Adjustments'!P18</f>
        <v>0</v>
      </c>
      <c r="K19" s="68">
        <f>'Schedule 2C Adjustments'!R18</f>
        <v>0</v>
      </c>
      <c r="L19" s="68">
        <f t="shared" si="1"/>
        <v>0</v>
      </c>
      <c r="N19" s="120">
        <f>'Schedule 2C Adjustments'!X18</f>
        <v>0.72750000000000004</v>
      </c>
      <c r="O19" s="120">
        <f>'Schedule 2C Adjustments'!AA18</f>
        <v>253</v>
      </c>
    </row>
    <row r="20" spans="1:15" x14ac:dyDescent="0.35">
      <c r="A20" s="24">
        <v>5</v>
      </c>
      <c r="B20" s="513" t="str">
        <f>'Schedule 2C Adjustments'!B19:D19</f>
        <v>Early Childhood Services</v>
      </c>
      <c r="C20" s="513"/>
      <c r="D20" s="513"/>
      <c r="F20" s="117">
        <f>'Schedule 2C Adjustments'!H19</f>
        <v>608542.97475401347</v>
      </c>
      <c r="G20" s="68">
        <f>'Schedule 2C Adjustments'!J19</f>
        <v>187846.77722220481</v>
      </c>
      <c r="H20" s="68">
        <f t="shared" si="0"/>
        <v>796389.75197621831</v>
      </c>
      <c r="J20" s="117">
        <f>'Schedule 2C Adjustments'!P19</f>
        <v>0</v>
      </c>
      <c r="K20" s="68">
        <f>'Schedule 2C Adjustments'!R19</f>
        <v>0</v>
      </c>
      <c r="L20" s="68">
        <f t="shared" si="1"/>
        <v>0</v>
      </c>
      <c r="N20" s="120">
        <f>'Schedule 2C Adjustments'!X19</f>
        <v>6.4266666666666667</v>
      </c>
      <c r="O20" s="120">
        <f>'Schedule 2C Adjustments'!AA19</f>
        <v>289</v>
      </c>
    </row>
    <row r="21" spans="1:15" x14ac:dyDescent="0.35">
      <c r="A21" s="24">
        <v>6</v>
      </c>
      <c r="B21" s="513" t="str">
        <f>'Schedule 2C Adjustments'!B20:D20</f>
        <v>Family Center Counseling Services</v>
      </c>
      <c r="C21" s="513"/>
      <c r="D21" s="513"/>
      <c r="F21" s="117">
        <f>'Schedule 2C Adjustments'!H20</f>
        <v>1070812.5391070042</v>
      </c>
      <c r="G21" s="68">
        <f>'Schedule 2C Adjustments'!J20</f>
        <v>330541.46186090744</v>
      </c>
      <c r="H21" s="68">
        <f t="shared" si="0"/>
        <v>1401354.0009679117</v>
      </c>
      <c r="J21" s="117">
        <f>'Schedule 2C Adjustments'!P20</f>
        <v>0</v>
      </c>
      <c r="K21" s="68">
        <f>'Schedule 2C Adjustments'!R20</f>
        <v>0</v>
      </c>
      <c r="L21" s="68">
        <f t="shared" si="1"/>
        <v>0</v>
      </c>
      <c r="N21" s="120">
        <f>'Schedule 2C Adjustments'!X20</f>
        <v>8.6616666666666671</v>
      </c>
      <c r="O21" s="120">
        <f>'Schedule 2C Adjustments'!AA20</f>
        <v>616</v>
      </c>
    </row>
    <row r="22" spans="1:15" x14ac:dyDescent="0.35">
      <c r="A22" s="24">
        <v>7</v>
      </c>
      <c r="B22" s="513" t="str">
        <f>'Schedule 2C Adjustments'!B21:D21</f>
        <v>Family Center Intensive Outpatient Services</v>
      </c>
      <c r="C22" s="513"/>
      <c r="D22" s="513"/>
      <c r="F22" s="117">
        <f>'Schedule 2C Adjustments'!H21</f>
        <v>963161.81578116911</v>
      </c>
      <c r="G22" s="68">
        <f>'Schedule 2C Adjustments'!J21</f>
        <v>297311.53023517225</v>
      </c>
      <c r="H22" s="68">
        <f t="shared" si="0"/>
        <v>1260473.3460163414</v>
      </c>
      <c r="J22" s="117">
        <f>'Schedule 2C Adjustments'!P21</f>
        <v>0</v>
      </c>
      <c r="K22" s="68">
        <f>'Schedule 2C Adjustments'!R21</f>
        <v>0</v>
      </c>
      <c r="L22" s="68">
        <f t="shared" si="1"/>
        <v>0</v>
      </c>
      <c r="N22" s="120">
        <f>'Schedule 2C Adjustments'!X21</f>
        <v>8.5391666666666648</v>
      </c>
      <c r="O22" s="120">
        <f>'Schedule 2C Adjustments'!AA21</f>
        <v>169</v>
      </c>
    </row>
    <row r="23" spans="1:15" x14ac:dyDescent="0.35">
      <c r="A23" s="24">
        <v>8</v>
      </c>
      <c r="B23" s="513" t="str">
        <f>'Schedule 2C Adjustments'!B22:D22</f>
        <v>Internship Program</v>
      </c>
      <c r="C23" s="513"/>
      <c r="D23" s="513"/>
      <c r="F23" s="117">
        <f>'Schedule 2C Adjustments'!H22</f>
        <v>233268.03049747541</v>
      </c>
      <c r="G23" s="68">
        <f>'Schedule 2C Adjustments'!J22</f>
        <v>72005.839481811796</v>
      </c>
      <c r="H23" s="68">
        <f t="shared" si="0"/>
        <v>305273.86997928721</v>
      </c>
      <c r="J23" s="117">
        <f>'Schedule 2C Adjustments'!P22</f>
        <v>0</v>
      </c>
      <c r="K23" s="68">
        <f>'Schedule 2C Adjustments'!R22</f>
        <v>0</v>
      </c>
      <c r="L23" s="68">
        <f t="shared" si="1"/>
        <v>0</v>
      </c>
      <c r="N23" s="120">
        <f>'Schedule 2C Adjustments'!X22</f>
        <v>1.875</v>
      </c>
      <c r="O23" s="120">
        <f>'Schedule 2C Adjustments'!AA22</f>
        <v>56</v>
      </c>
    </row>
    <row r="24" spans="1:15" x14ac:dyDescent="0.35">
      <c r="A24" s="24">
        <v>9</v>
      </c>
      <c r="B24" s="513" t="str">
        <f>'Schedule 2C Adjustments'!B23:D23</f>
        <v>The Learning Center (adult outpatient)</v>
      </c>
      <c r="C24" s="513"/>
      <c r="D24" s="513"/>
      <c r="F24" s="117">
        <f>'Schedule 2C Adjustments'!H23</f>
        <v>162799.9645585189</v>
      </c>
      <c r="G24" s="68">
        <f>'Schedule 2C Adjustments'!J23</f>
        <v>50253.556351658874</v>
      </c>
      <c r="H24" s="68">
        <f t="shared" si="0"/>
        <v>213053.52091017779</v>
      </c>
      <c r="J24" s="117">
        <f>'Schedule 2C Adjustments'!P23</f>
        <v>0</v>
      </c>
      <c r="K24" s="68">
        <f>'Schedule 2C Adjustments'!R23</f>
        <v>0</v>
      </c>
      <c r="L24" s="68">
        <f t="shared" si="1"/>
        <v>0</v>
      </c>
      <c r="N24" s="120">
        <f>'Schedule 2C Adjustments'!X23</f>
        <v>1.0999999999999999</v>
      </c>
      <c r="O24" s="120">
        <f>'Schedule 2C Adjustments'!AA23</f>
        <v>70</v>
      </c>
    </row>
    <row r="25" spans="1:15" x14ac:dyDescent="0.35">
      <c r="A25" s="24">
        <v>10</v>
      </c>
      <c r="B25" s="513" t="str">
        <f>'Schedule 2C Adjustments'!B24:D24</f>
        <v>The Learning Tree (therapeutic daycare)</v>
      </c>
      <c r="C25" s="513"/>
      <c r="D25" s="513"/>
      <c r="F25" s="117">
        <f>'Schedule 2C Adjustments'!H24</f>
        <v>1014615.3465416236</v>
      </c>
      <c r="G25" s="68">
        <f>'Schedule 2C Adjustments'!J24</f>
        <v>313194.35253537534</v>
      </c>
      <c r="H25" s="68">
        <f t="shared" si="0"/>
        <v>1327809.699076999</v>
      </c>
      <c r="J25" s="117">
        <f>'Schedule 2C Adjustments'!P24</f>
        <v>0</v>
      </c>
      <c r="K25" s="68">
        <f>'Schedule 2C Adjustments'!R24</f>
        <v>0</v>
      </c>
      <c r="L25" s="68">
        <f t="shared" si="1"/>
        <v>0</v>
      </c>
      <c r="N25" s="120">
        <f>'Schedule 2C Adjustments'!X24</f>
        <v>14.638333333333334</v>
      </c>
      <c r="O25" s="120">
        <f>'Schedule 2C Adjustments'!AA24</f>
        <v>7</v>
      </c>
    </row>
    <row r="26" spans="1:15" x14ac:dyDescent="0.35">
      <c r="A26" s="24">
        <v>11</v>
      </c>
      <c r="B26" s="513" t="str">
        <f>'Schedule 2C Adjustments'!B25:D25</f>
        <v>Medical Center (primary care clinic)</v>
      </c>
      <c r="C26" s="513"/>
      <c r="D26" s="513"/>
      <c r="F26" s="117">
        <f>'Schedule 2C Adjustments'!H25</f>
        <v>2203634.6710617878</v>
      </c>
      <c r="G26" s="68">
        <f>'Schedule 2C Adjustments'!J25</f>
        <v>680224.22130728932</v>
      </c>
      <c r="H26" s="68">
        <f t="shared" si="0"/>
        <v>2883858.8923690771</v>
      </c>
      <c r="J26" s="117">
        <f>'Schedule 2C Adjustments'!P25</f>
        <v>0</v>
      </c>
      <c r="K26" s="68">
        <f>'Schedule 2C Adjustments'!R25</f>
        <v>0</v>
      </c>
      <c r="L26" s="68">
        <f t="shared" si="1"/>
        <v>0</v>
      </c>
      <c r="N26" s="120">
        <f>'Schedule 2C Adjustments'!X25</f>
        <v>13.030833333333335</v>
      </c>
      <c r="O26" s="120">
        <f>'Schedule 2C Adjustments'!AA25</f>
        <v>3545</v>
      </c>
    </row>
    <row r="27" spans="1:15" x14ac:dyDescent="0.35">
      <c r="A27" s="24">
        <v>12</v>
      </c>
      <c r="B27" s="513" t="str">
        <f>'Schedule 2C Adjustments'!B26:D26</f>
        <v>Medication Assisted Recovery Center - Pueblo, CO</v>
      </c>
      <c r="C27" s="513"/>
      <c r="D27" s="513"/>
      <c r="F27" s="117">
        <f>'Schedule 2C Adjustments'!H26</f>
        <v>1402688.1173412416</v>
      </c>
      <c r="G27" s="68">
        <f>'Schedule 2C Adjustments'!J26</f>
        <v>432985.75979279482</v>
      </c>
      <c r="H27" s="68">
        <f t="shared" si="0"/>
        <v>1835673.8771340363</v>
      </c>
      <c r="J27" s="117">
        <f>'Schedule 2C Adjustments'!P26</f>
        <v>0</v>
      </c>
      <c r="K27" s="68">
        <f>'Schedule 2C Adjustments'!R26</f>
        <v>0</v>
      </c>
      <c r="L27" s="68">
        <f t="shared" si="1"/>
        <v>0</v>
      </c>
      <c r="N27" s="120">
        <f>'Schedule 2C Adjustments'!X26</f>
        <v>10.465833333333334</v>
      </c>
      <c r="O27" s="120">
        <f>'Schedule 2C Adjustments'!AA26</f>
        <v>489</v>
      </c>
    </row>
    <row r="28" spans="1:15" x14ac:dyDescent="0.35">
      <c r="A28" s="24">
        <v>13</v>
      </c>
      <c r="B28" s="513" t="str">
        <f>'Schedule 2C Adjustments'!B27:D27</f>
        <v>Nurse Practitional Services</v>
      </c>
      <c r="C28" s="513"/>
      <c r="D28" s="513"/>
      <c r="F28" s="117">
        <f>'Schedule 2C Adjustments'!H27</f>
        <v>1349298.4178615354</v>
      </c>
      <c r="G28" s="68">
        <f>'Schedule 2C Adjustments'!J27</f>
        <v>416505.27542243659</v>
      </c>
      <c r="H28" s="68">
        <f t="shared" si="0"/>
        <v>1765803.6932839721</v>
      </c>
      <c r="J28" s="117">
        <f>'Schedule 2C Adjustments'!P27</f>
        <v>0</v>
      </c>
      <c r="K28" s="68">
        <f>'Schedule 2C Adjustments'!R27</f>
        <v>0</v>
      </c>
      <c r="L28" s="68">
        <f t="shared" si="1"/>
        <v>0</v>
      </c>
      <c r="N28" s="120">
        <f>'Schedule 2C Adjustments'!X27</f>
        <v>6.7816666666666654</v>
      </c>
      <c r="O28" s="120">
        <f>'Schedule 2C Adjustments'!AA27</f>
        <v>2689</v>
      </c>
    </row>
    <row r="29" spans="1:15" x14ac:dyDescent="0.35">
      <c r="A29" s="24">
        <v>14</v>
      </c>
      <c r="B29" s="513" t="str">
        <f>'Schedule 2C Adjustments'!B28:D28</f>
        <v>Nursing (non-NP) Services</v>
      </c>
      <c r="C29" s="513"/>
      <c r="D29" s="513"/>
      <c r="F29" s="117">
        <f>'Schedule 2C Adjustments'!H28</f>
        <v>1125747.7451935525</v>
      </c>
      <c r="G29" s="68">
        <f>'Schedule 2C Adjustments'!J28</f>
        <v>347499.01760882657</v>
      </c>
      <c r="H29" s="68">
        <f t="shared" si="0"/>
        <v>1473246.762802379</v>
      </c>
      <c r="J29" s="117">
        <f>'Schedule 2C Adjustments'!P28</f>
        <v>0</v>
      </c>
      <c r="K29" s="68">
        <f>'Schedule 2C Adjustments'!R28</f>
        <v>0</v>
      </c>
      <c r="L29" s="68">
        <f t="shared" si="1"/>
        <v>0</v>
      </c>
      <c r="N29" s="120">
        <f>'Schedule 2C Adjustments'!X28</f>
        <v>10.729999999999999</v>
      </c>
      <c r="O29" s="120">
        <f>'Schedule 2C Adjustments'!AA28</f>
        <v>3356</v>
      </c>
    </row>
    <row r="30" spans="1:15" x14ac:dyDescent="0.35">
      <c r="A30" s="24">
        <v>15</v>
      </c>
      <c r="B30" s="513" t="str">
        <f>'Schedule 2C Adjustments'!B29:D29</f>
        <v>Open Access (immediate outpatient services)</v>
      </c>
      <c r="C30" s="513"/>
      <c r="D30" s="513"/>
      <c r="F30" s="117">
        <f>'Schedule 2C Adjustments'!H29</f>
        <v>1095980.0479350078</v>
      </c>
      <c r="G30" s="68">
        <f>'Schedule 2C Adjustments'!J29</f>
        <v>338310.24010695145</v>
      </c>
      <c r="H30" s="68">
        <f t="shared" si="0"/>
        <v>1434290.2880419593</v>
      </c>
      <c r="J30" s="117">
        <f>'Schedule 2C Adjustments'!P29</f>
        <v>0</v>
      </c>
      <c r="K30" s="68">
        <f>'Schedule 2C Adjustments'!R29</f>
        <v>0</v>
      </c>
      <c r="L30" s="68">
        <f t="shared" si="1"/>
        <v>0</v>
      </c>
      <c r="N30" s="120">
        <f>'Schedule 2C Adjustments'!X29</f>
        <v>12.62</v>
      </c>
      <c r="O30" s="120">
        <f>'Schedule 2C Adjustments'!AA29</f>
        <v>2708</v>
      </c>
    </row>
    <row r="31" spans="1:15" x14ac:dyDescent="0.35">
      <c r="A31" s="24">
        <v>16</v>
      </c>
      <c r="B31" s="513" t="str">
        <f>'Schedule 2C Adjustments'!B30:D30</f>
        <v>Perry Hall (integrated family clinic)</v>
      </c>
      <c r="C31" s="513"/>
      <c r="D31" s="513"/>
      <c r="F31" s="117">
        <f>'Schedule 2C Adjustments'!H30</f>
        <v>13175</v>
      </c>
      <c r="G31" s="68">
        <f>'Schedule 2C Adjustments'!J30</f>
        <v>4066.8964930586048</v>
      </c>
      <c r="H31" s="68">
        <f t="shared" si="0"/>
        <v>17241.896493058604</v>
      </c>
      <c r="J31" s="117">
        <f>'Schedule 2C Adjustments'!P30</f>
        <v>0</v>
      </c>
      <c r="K31" s="68">
        <f>'Schedule 2C Adjustments'!R30</f>
        <v>0</v>
      </c>
      <c r="L31" s="68">
        <f t="shared" si="1"/>
        <v>0</v>
      </c>
      <c r="N31" s="120">
        <f>'Schedule 2C Adjustments'!X30</f>
        <v>0</v>
      </c>
      <c r="O31" s="120">
        <f>'Schedule 2C Adjustments'!AA30</f>
        <v>0</v>
      </c>
    </row>
    <row r="32" spans="1:15" x14ac:dyDescent="0.35">
      <c r="A32" s="24">
        <v>17</v>
      </c>
      <c r="B32" s="513" t="str">
        <f>'Schedule 2C Adjustments'!B31:D31</f>
        <v>Prescribers (psychiatrists)</v>
      </c>
      <c r="C32" s="513"/>
      <c r="D32" s="513"/>
      <c r="F32" s="117">
        <f>'Schedule 2C Adjustments'!H31</f>
        <v>678168.00982327806</v>
      </c>
      <c r="G32" s="68">
        <f>'Schedule 2C Adjustments'!J31</f>
        <v>209338.83118442679</v>
      </c>
      <c r="H32" s="68">
        <f t="shared" si="0"/>
        <v>887506.84100770485</v>
      </c>
      <c r="J32" s="117">
        <f>'Schedule 2C Adjustments'!P31</f>
        <v>0</v>
      </c>
      <c r="K32" s="68">
        <f>'Schedule 2C Adjustments'!R31</f>
        <v>0</v>
      </c>
      <c r="L32" s="68">
        <f t="shared" si="1"/>
        <v>0</v>
      </c>
      <c r="N32" s="120">
        <f>'Schedule 2C Adjustments'!X31</f>
        <v>2.5166666666666662</v>
      </c>
      <c r="O32" s="120">
        <f>'Schedule 2C Adjustments'!AA31</f>
        <v>812</v>
      </c>
    </row>
    <row r="33" spans="1:15" x14ac:dyDescent="0.35">
      <c r="A33" s="24">
        <v>18</v>
      </c>
      <c r="B33" s="513" t="str">
        <f>'Schedule 2C Adjustments'!B32:D32</f>
        <v>Quality &amp; Compliance (for all services)</v>
      </c>
      <c r="C33" s="513"/>
      <c r="D33" s="513"/>
      <c r="F33" s="117">
        <f>'Schedule 2C Adjustments'!H32</f>
        <v>514831.13284082082</v>
      </c>
      <c r="G33" s="68">
        <f>'Schedule 2C Adjustments'!J32</f>
        <v>158919.53917781578</v>
      </c>
      <c r="H33" s="68">
        <f t="shared" si="0"/>
        <v>673750.6720186366</v>
      </c>
      <c r="J33" s="117">
        <f>'Schedule 2C Adjustments'!P32</f>
        <v>0</v>
      </c>
      <c r="K33" s="68">
        <f>'Schedule 2C Adjustments'!R32</f>
        <v>0</v>
      </c>
      <c r="L33" s="68">
        <f t="shared" si="1"/>
        <v>0</v>
      </c>
      <c r="N33" s="120">
        <f>'Schedule 2C Adjustments'!X32</f>
        <v>4.3416666666666659</v>
      </c>
      <c r="O33" s="120">
        <f>'Schedule 2C Adjustments'!AA32</f>
        <v>0</v>
      </c>
    </row>
    <row r="34" spans="1:15" x14ac:dyDescent="0.35">
      <c r="A34" s="24">
        <v>19</v>
      </c>
      <c r="B34" s="513" t="str">
        <f>'Schedule 2C Adjustments'!B33:D33</f>
        <v>Recovery Center (drop-in services)</v>
      </c>
      <c r="C34" s="513"/>
      <c r="D34" s="513"/>
      <c r="F34" s="117">
        <f>'Schedule 2C Adjustments'!H33</f>
        <v>447954.29838814086</v>
      </c>
      <c r="G34" s="68">
        <f>'Schedule 2C Adjustments'!J33</f>
        <v>138275.80760267613</v>
      </c>
      <c r="H34" s="68">
        <f t="shared" si="0"/>
        <v>586230.10599081696</v>
      </c>
      <c r="J34" s="117">
        <f>'Schedule 2C Adjustments'!P33</f>
        <v>0</v>
      </c>
      <c r="K34" s="68">
        <f>'Schedule 2C Adjustments'!R33</f>
        <v>0</v>
      </c>
      <c r="L34" s="68">
        <f t="shared" si="1"/>
        <v>0</v>
      </c>
      <c r="N34" s="120">
        <f>'Schedule 2C Adjustments'!X33</f>
        <v>4.8466666666666667</v>
      </c>
      <c r="O34" s="120">
        <f>'Schedule 2C Adjustments'!AA33</f>
        <v>204</v>
      </c>
    </row>
    <row r="35" spans="1:15" x14ac:dyDescent="0.35">
      <c r="A35" s="24">
        <v>20</v>
      </c>
      <c r="B35" s="513" t="str">
        <f>'Schedule 2C Adjustments'!B34:D34</f>
        <v>Offender Mental Health Services</v>
      </c>
      <c r="C35" s="513"/>
      <c r="D35" s="513"/>
      <c r="F35" s="117">
        <f>'Schedule 2C Adjustments'!H34</f>
        <v>347416.97733525373</v>
      </c>
      <c r="G35" s="68">
        <f>'Schedule 2C Adjustments'!J34</f>
        <v>107241.66123368229</v>
      </c>
      <c r="H35" s="68">
        <f t="shared" si="0"/>
        <v>454658.63856893603</v>
      </c>
      <c r="J35" s="117">
        <f>'Schedule 2C Adjustments'!P34</f>
        <v>0</v>
      </c>
      <c r="K35" s="68">
        <f>'Schedule 2C Adjustments'!R34</f>
        <v>0</v>
      </c>
      <c r="L35" s="68">
        <f t="shared" si="1"/>
        <v>0</v>
      </c>
      <c r="N35" s="120">
        <f>'Schedule 2C Adjustments'!X34</f>
        <v>3.5249999999999999</v>
      </c>
      <c r="O35" s="120">
        <f>'Schedule 2C Adjustments'!AA34</f>
        <v>99</v>
      </c>
    </row>
    <row r="36" spans="1:15" x14ac:dyDescent="0.35">
      <c r="A36" s="24">
        <v>21</v>
      </c>
      <c r="B36" s="513" t="str">
        <f>'Schedule 2C Adjustments'!B35:D35</f>
        <v>School-Based Services</v>
      </c>
      <c r="C36" s="513"/>
      <c r="D36" s="513"/>
      <c r="F36" s="117">
        <f>'Schedule 2C Adjustments'!H35</f>
        <v>638670.87544099556</v>
      </c>
      <c r="G36" s="68">
        <f>'Schedule 2C Adjustments'!J35</f>
        <v>197146.74334342722</v>
      </c>
      <c r="H36" s="68">
        <f t="shared" si="0"/>
        <v>835817.61878442275</v>
      </c>
      <c r="J36" s="117">
        <f>'Schedule 2C Adjustments'!P35</f>
        <v>0</v>
      </c>
      <c r="K36" s="68">
        <f>'Schedule 2C Adjustments'!R35</f>
        <v>0</v>
      </c>
      <c r="L36" s="68">
        <f t="shared" si="1"/>
        <v>0</v>
      </c>
      <c r="N36" s="120">
        <f>'Schedule 2C Adjustments'!X35</f>
        <v>6.6875</v>
      </c>
      <c r="O36" s="120">
        <f>'Schedule 2C Adjustments'!AA35</f>
        <v>435</v>
      </c>
    </row>
    <row r="37" spans="1:15" x14ac:dyDescent="0.35">
      <c r="A37" s="24">
        <v>22</v>
      </c>
      <c r="B37" s="513" t="str">
        <f>'Schedule 2C Adjustments'!B36:D36</f>
        <v>Outreach Team</v>
      </c>
      <c r="C37" s="513"/>
      <c r="D37" s="513"/>
      <c r="F37" s="117">
        <f>'Schedule 2C Adjustments'!H36</f>
        <v>338754.62084088556</v>
      </c>
      <c r="G37" s="68">
        <f>'Schedule 2C Adjustments'!J36</f>
        <v>104567.74037990093</v>
      </c>
      <c r="H37" s="68">
        <f t="shared" si="0"/>
        <v>443322.36122078646</v>
      </c>
      <c r="J37" s="117">
        <f>'Schedule 2C Adjustments'!P36</f>
        <v>0</v>
      </c>
      <c r="K37" s="68">
        <f>'Schedule 2C Adjustments'!R36</f>
        <v>0</v>
      </c>
      <c r="L37" s="68">
        <f t="shared" si="1"/>
        <v>0</v>
      </c>
      <c r="N37" s="120">
        <f>'Schedule 2C Adjustments'!X36</f>
        <v>3.3033333333333332</v>
      </c>
      <c r="O37" s="120">
        <f>'Schedule 2C Adjustments'!AA36</f>
        <v>346</v>
      </c>
    </row>
    <row r="38" spans="1:15" x14ac:dyDescent="0.35">
      <c r="A38" s="24">
        <v>23</v>
      </c>
      <c r="B38" s="513" t="str">
        <f>'Schedule 2C Adjustments'!B37:D37</f>
        <v>Support Services (front desk at outpatient clinics)</v>
      </c>
      <c r="C38" s="513"/>
      <c r="D38" s="513"/>
      <c r="F38" s="117">
        <f>'Schedule 2C Adjustments'!H37</f>
        <v>2473635.2564085964</v>
      </c>
      <c r="G38" s="68">
        <f>'Schedule 2C Adjustments'!J37</f>
        <v>763568.77035250422</v>
      </c>
      <c r="H38" s="68">
        <f t="shared" si="0"/>
        <v>3237204.0267611006</v>
      </c>
      <c r="J38" s="117">
        <f>'Schedule 2C Adjustments'!P37</f>
        <v>0</v>
      </c>
      <c r="K38" s="68">
        <f>'Schedule 2C Adjustments'!R37</f>
        <v>0</v>
      </c>
      <c r="L38" s="68">
        <f t="shared" si="1"/>
        <v>0</v>
      </c>
      <c r="N38" s="120">
        <f>'Schedule 2C Adjustments'!X37</f>
        <v>37.186666666666667</v>
      </c>
      <c r="O38" s="120">
        <f>'Schedule 2C Adjustments'!AA37</f>
        <v>0</v>
      </c>
    </row>
    <row r="39" spans="1:15" x14ac:dyDescent="0.35">
      <c r="A39" s="24">
        <v>24</v>
      </c>
      <c r="B39" s="513" t="str">
        <f>'Schedule 2C Adjustments'!B38:D38</f>
        <v>The Right Place (care coordination at VA assisted living)</v>
      </c>
      <c r="C39" s="513"/>
      <c r="D39" s="513"/>
      <c r="F39" s="117">
        <f>'Schedule 2C Adjustments'!H38</f>
        <v>117126.58030165717</v>
      </c>
      <c r="G39" s="68">
        <f>'Schedule 2C Adjustments'!J38</f>
        <v>36154.966123169383</v>
      </c>
      <c r="H39" s="68">
        <f t="shared" si="0"/>
        <v>153281.54642482655</v>
      </c>
      <c r="J39" s="117">
        <f>'Schedule 2C Adjustments'!P38</f>
        <v>0</v>
      </c>
      <c r="K39" s="68">
        <f>'Schedule 2C Adjustments'!R38</f>
        <v>0</v>
      </c>
      <c r="L39" s="68">
        <f t="shared" si="1"/>
        <v>0</v>
      </c>
      <c r="N39" s="120">
        <f>'Schedule 2C Adjustments'!X38</f>
        <v>1.74</v>
      </c>
      <c r="O39" s="120">
        <f>'Schedule 2C Adjustments'!AA38</f>
        <v>68</v>
      </c>
    </row>
    <row r="40" spans="1:15" x14ac:dyDescent="0.35">
      <c r="A40" s="24">
        <v>25</v>
      </c>
      <c r="B40" s="513" t="str">
        <f>'Schedule 2C Adjustments'!B39:D39</f>
        <v>Medication Assisted Recovery Center - Trinidad, CO</v>
      </c>
      <c r="C40" s="513"/>
      <c r="D40" s="513"/>
      <c r="F40" s="117">
        <f>'Schedule 2C Adjustments'!H39</f>
        <v>310945.66218928015</v>
      </c>
      <c r="G40" s="68">
        <f>'Schedule 2C Adjustments'!J39</f>
        <v>95983.591885341099</v>
      </c>
      <c r="H40" s="68">
        <f t="shared" si="0"/>
        <v>406929.25407462125</v>
      </c>
      <c r="J40" s="117">
        <f>'Schedule 2C Adjustments'!P39</f>
        <v>0</v>
      </c>
      <c r="K40" s="68">
        <f>'Schedule 2C Adjustments'!R39</f>
        <v>0</v>
      </c>
      <c r="L40" s="68">
        <f t="shared" si="1"/>
        <v>0</v>
      </c>
      <c r="N40" s="120">
        <f>'Schedule 2C Adjustments'!X39</f>
        <v>2.02</v>
      </c>
      <c r="O40" s="120">
        <f>'Schedule 2C Adjustments'!AA39</f>
        <v>117</v>
      </c>
    </row>
    <row r="41" spans="1:15" x14ac:dyDescent="0.35">
      <c r="A41" s="24">
        <v>26</v>
      </c>
      <c r="B41" s="513" t="str">
        <f>'Schedule 2C Adjustments'!B40:D40</f>
        <v>Outpatient Services - Trinidad, CO</v>
      </c>
      <c r="C41" s="513"/>
      <c r="D41" s="513"/>
      <c r="F41" s="117">
        <f>'Schedule 2C Adjustments'!H40</f>
        <v>799930.60615047254</v>
      </c>
      <c r="G41" s="68">
        <f>'Schedule 2C Adjustments'!J40</f>
        <v>246924.85592740803</v>
      </c>
      <c r="H41" s="68">
        <f t="shared" si="0"/>
        <v>1046855.4620778805</v>
      </c>
      <c r="J41" s="117">
        <f>'Schedule 2C Adjustments'!P40</f>
        <v>0</v>
      </c>
      <c r="K41" s="68">
        <f>'Schedule 2C Adjustments'!R40</f>
        <v>0</v>
      </c>
      <c r="L41" s="68">
        <f t="shared" si="1"/>
        <v>0</v>
      </c>
      <c r="N41" s="120">
        <f>'Schedule 2C Adjustments'!X40</f>
        <v>6.5808333333333318</v>
      </c>
      <c r="O41" s="120">
        <f>'Schedule 2C Adjustments'!AA40</f>
        <v>603</v>
      </c>
    </row>
    <row r="42" spans="1:15" x14ac:dyDescent="0.35">
      <c r="A42" s="24">
        <v>27</v>
      </c>
      <c r="B42" s="513" t="str">
        <f>'Schedule 2C Adjustments'!B41:D41</f>
        <v>Outpatient Services - Walsenburg, CO</v>
      </c>
      <c r="C42" s="513"/>
      <c r="D42" s="513"/>
      <c r="F42" s="117">
        <f>'Schedule 2C Adjustments'!H41</f>
        <v>479304.43993559037</v>
      </c>
      <c r="G42" s="68">
        <f>'Schedule 2C Adjustments'!J41</f>
        <v>147953.0585109276</v>
      </c>
      <c r="H42" s="68">
        <f t="shared" si="0"/>
        <v>627257.49844651797</v>
      </c>
      <c r="J42" s="117">
        <f>'Schedule 2C Adjustments'!P41</f>
        <v>0</v>
      </c>
      <c r="K42" s="68">
        <f>'Schedule 2C Adjustments'!R41</f>
        <v>0</v>
      </c>
      <c r="L42" s="68">
        <f t="shared" si="1"/>
        <v>0</v>
      </c>
      <c r="N42" s="120">
        <f>'Schedule 2C Adjustments'!X41</f>
        <v>3.2749999999999999</v>
      </c>
      <c r="O42" s="120">
        <f>'Schedule 2C Adjustments'!AA41</f>
        <v>327</v>
      </c>
    </row>
    <row r="43" spans="1:15" x14ac:dyDescent="0.35">
      <c r="A43" s="24">
        <v>28</v>
      </c>
      <c r="B43" s="513" t="str">
        <f>'Schedule 2C Adjustments'!B42:D42</f>
        <v>Youth &amp; Family Services</v>
      </c>
      <c r="C43" s="513"/>
      <c r="D43" s="513"/>
      <c r="F43" s="117">
        <f>'Schedule 2C Adjustments'!H42</f>
        <v>1274835.3813155424</v>
      </c>
      <c r="G43" s="68">
        <f>'Schedule 2C Adjustments'!J42</f>
        <v>393519.81339652435</v>
      </c>
      <c r="H43" s="68">
        <f t="shared" si="0"/>
        <v>1668355.1947120668</v>
      </c>
      <c r="J43" s="117">
        <f>'Schedule 2C Adjustments'!P42</f>
        <v>0</v>
      </c>
      <c r="K43" s="68">
        <f>'Schedule 2C Adjustments'!R42</f>
        <v>0</v>
      </c>
      <c r="L43" s="68">
        <f t="shared" si="1"/>
        <v>0</v>
      </c>
      <c r="N43" s="120">
        <f>'Schedule 2C Adjustments'!X42</f>
        <v>10.737500000000002</v>
      </c>
      <c r="O43" s="120">
        <f>'Schedule 2C Adjustments'!AA42</f>
        <v>975</v>
      </c>
    </row>
    <row r="44" spans="1:15" x14ac:dyDescent="0.35">
      <c r="A44" s="24">
        <v>29</v>
      </c>
      <c r="B44" s="513" t="str">
        <f>'Schedule 2C Adjustments'!B43:D43</f>
        <v>Injectable medications &amp; lab services</v>
      </c>
      <c r="C44" s="513"/>
      <c r="D44" s="513"/>
      <c r="F44" s="117">
        <f>'Schedule 2C Adjustments'!H43</f>
        <v>0</v>
      </c>
      <c r="G44" s="68">
        <f>'Schedule 2C Adjustments'!J43</f>
        <v>0</v>
      </c>
      <c r="H44" s="68">
        <f t="shared" si="0"/>
        <v>0</v>
      </c>
      <c r="J44" s="117">
        <f>'Schedule 2C Adjustments'!P43</f>
        <v>176870</v>
      </c>
      <c r="K44" s="68">
        <f>'Schedule 2C Adjustments'!R43</f>
        <v>54596.734931861516</v>
      </c>
      <c r="L44" s="68">
        <f t="shared" si="1"/>
        <v>231466.73493186152</v>
      </c>
      <c r="N44" s="120">
        <f>'Schedule 2C Adjustments'!X43</f>
        <v>0</v>
      </c>
      <c r="O44" s="120">
        <f>'Schedule 2C Adjustments'!AA43</f>
        <v>0</v>
      </c>
    </row>
    <row r="45" spans="1:15" x14ac:dyDescent="0.35">
      <c r="A45" s="24">
        <v>30</v>
      </c>
      <c r="B45" s="513" t="str">
        <f>'Schedule 2C Adjustments'!B44:D44</f>
        <v>Electronic Health Record team</v>
      </c>
      <c r="C45" s="513"/>
      <c r="D45" s="513"/>
      <c r="F45" s="117">
        <f>'Schedule 2C Adjustments'!H44</f>
        <v>879500.79325802694</v>
      </c>
      <c r="G45" s="68">
        <f>'Schedule 2C Adjustments'!J44</f>
        <v>271486.80772245396</v>
      </c>
      <c r="H45" s="68">
        <f t="shared" si="0"/>
        <v>1150987.6009804809</v>
      </c>
      <c r="J45" s="117">
        <f>'Schedule 2C Adjustments'!P44</f>
        <v>0</v>
      </c>
      <c r="K45" s="68">
        <f>'Schedule 2C Adjustments'!R44</f>
        <v>0</v>
      </c>
      <c r="L45" s="68">
        <f t="shared" si="1"/>
        <v>0</v>
      </c>
      <c r="N45" s="120">
        <f>'Schedule 2C Adjustments'!X44</f>
        <v>6.416666666666667</v>
      </c>
      <c r="O45" s="120">
        <f>'Schedule 2C Adjustments'!AA44</f>
        <v>0</v>
      </c>
    </row>
    <row r="46" spans="1:15" x14ac:dyDescent="0.35">
      <c r="A46" s="24">
        <v>31</v>
      </c>
      <c r="B46" s="513" t="str">
        <f>'Schedule 2C Adjustments'!B45:D45</f>
        <v/>
      </c>
      <c r="C46" s="513"/>
      <c r="D46" s="513"/>
      <c r="F46" s="117">
        <f>'Schedule 2C Adjustments'!H45</f>
        <v>0</v>
      </c>
      <c r="G46" s="68">
        <f>'Schedule 2C Adjustments'!J45</f>
        <v>0</v>
      </c>
      <c r="H46" s="68">
        <f t="shared" si="0"/>
        <v>0</v>
      </c>
      <c r="J46" s="117">
        <f>'Schedule 2C Adjustments'!P45</f>
        <v>0</v>
      </c>
      <c r="K46" s="68">
        <f>'Schedule 2C Adjustments'!R45</f>
        <v>0</v>
      </c>
      <c r="L46" s="68">
        <f t="shared" si="1"/>
        <v>0</v>
      </c>
      <c r="N46" s="120">
        <f>'Schedule 2C Adjustments'!X45</f>
        <v>0</v>
      </c>
      <c r="O46" s="120">
        <f>'Schedule 2C Adjustments'!AA45</f>
        <v>0</v>
      </c>
    </row>
    <row r="47" spans="1:15" x14ac:dyDescent="0.35">
      <c r="A47" s="24">
        <v>32</v>
      </c>
      <c r="B47" s="513" t="str">
        <f>'Schedule 2C Adjustments'!B46:D46</f>
        <v/>
      </c>
      <c r="C47" s="513"/>
      <c r="D47" s="513"/>
      <c r="F47" s="117">
        <f>'Schedule 2C Adjustments'!H46</f>
        <v>0</v>
      </c>
      <c r="G47" s="68">
        <f>'Schedule 2C Adjustments'!J46</f>
        <v>0</v>
      </c>
      <c r="H47" s="68">
        <f t="shared" si="0"/>
        <v>0</v>
      </c>
      <c r="J47" s="117">
        <f>'Schedule 2C Adjustments'!P46</f>
        <v>0</v>
      </c>
      <c r="K47" s="68">
        <f>'Schedule 2C Adjustments'!R46</f>
        <v>0</v>
      </c>
      <c r="L47" s="68">
        <f t="shared" si="1"/>
        <v>0</v>
      </c>
      <c r="N47" s="120">
        <f>'Schedule 2C Adjustments'!X46</f>
        <v>0</v>
      </c>
      <c r="O47" s="120">
        <f>'Schedule 2C Adjustments'!AA46</f>
        <v>0</v>
      </c>
    </row>
    <row r="48" spans="1:15" x14ac:dyDescent="0.35">
      <c r="A48" s="24">
        <v>33</v>
      </c>
      <c r="B48" s="513" t="str">
        <f>'Schedule 2C Adjustments'!B47:D47</f>
        <v/>
      </c>
      <c r="C48" s="513"/>
      <c r="D48" s="513"/>
      <c r="F48" s="117">
        <f>'Schedule 2C Adjustments'!H47</f>
        <v>0</v>
      </c>
      <c r="G48" s="68">
        <f>'Schedule 2C Adjustments'!J47</f>
        <v>0</v>
      </c>
      <c r="H48" s="68">
        <f t="shared" si="0"/>
        <v>0</v>
      </c>
      <c r="J48" s="117">
        <f>'Schedule 2C Adjustments'!P47</f>
        <v>0</v>
      </c>
      <c r="K48" s="68">
        <f>'Schedule 2C Adjustments'!R47</f>
        <v>0</v>
      </c>
      <c r="L48" s="68">
        <f t="shared" si="1"/>
        <v>0</v>
      </c>
      <c r="N48" s="120">
        <f>'Schedule 2C Adjustments'!X47</f>
        <v>0</v>
      </c>
      <c r="O48" s="120">
        <f>'Schedule 2C Adjustments'!AA47</f>
        <v>0</v>
      </c>
    </row>
    <row r="49" spans="1:15" x14ac:dyDescent="0.35">
      <c r="A49" s="24">
        <v>34</v>
      </c>
      <c r="B49" s="513" t="str">
        <f>'Schedule 2C Adjustments'!B48:D48</f>
        <v/>
      </c>
      <c r="C49" s="513"/>
      <c r="D49" s="513"/>
      <c r="F49" s="117">
        <f>'Schedule 2C Adjustments'!H48</f>
        <v>0</v>
      </c>
      <c r="G49" s="68">
        <f>'Schedule 2C Adjustments'!J48</f>
        <v>0</v>
      </c>
      <c r="H49" s="68">
        <f t="shared" si="0"/>
        <v>0</v>
      </c>
      <c r="J49" s="117">
        <f>'Schedule 2C Adjustments'!P48</f>
        <v>0</v>
      </c>
      <c r="K49" s="68">
        <f>'Schedule 2C Adjustments'!R48</f>
        <v>0</v>
      </c>
      <c r="L49" s="68">
        <f t="shared" si="1"/>
        <v>0</v>
      </c>
      <c r="N49" s="120">
        <f>'Schedule 2C Adjustments'!X48</f>
        <v>0</v>
      </c>
      <c r="O49" s="120">
        <f>'Schedule 2C Adjustments'!AA48</f>
        <v>0</v>
      </c>
    </row>
    <row r="50" spans="1:15" x14ac:dyDescent="0.35">
      <c r="A50" s="24">
        <v>35</v>
      </c>
      <c r="B50" s="513" t="str">
        <f>'Schedule 2C Adjustments'!B49:D49</f>
        <v/>
      </c>
      <c r="C50" s="513"/>
      <c r="D50" s="513"/>
      <c r="F50" s="117">
        <f>'Schedule 2C Adjustments'!H49</f>
        <v>0</v>
      </c>
      <c r="G50" s="68">
        <f>'Schedule 2C Adjustments'!J49</f>
        <v>0</v>
      </c>
      <c r="H50" s="68">
        <f t="shared" si="0"/>
        <v>0</v>
      </c>
      <c r="J50" s="117">
        <f>'Schedule 2C Adjustments'!P49</f>
        <v>0</v>
      </c>
      <c r="K50" s="68">
        <f>'Schedule 2C Adjustments'!R49</f>
        <v>0</v>
      </c>
      <c r="L50" s="68">
        <f t="shared" si="1"/>
        <v>0</v>
      </c>
      <c r="N50" s="120">
        <f>'Schedule 2C Adjustments'!X49</f>
        <v>0</v>
      </c>
      <c r="O50" s="120">
        <f>'Schedule 2C Adjustments'!AA49</f>
        <v>0</v>
      </c>
    </row>
    <row r="51" spans="1:15" x14ac:dyDescent="0.35">
      <c r="A51" s="24">
        <v>36</v>
      </c>
      <c r="B51" s="513" t="str">
        <f>'Schedule 2C Adjustments'!B50:D50</f>
        <v/>
      </c>
      <c r="C51" s="513"/>
      <c r="D51" s="513"/>
      <c r="F51" s="117">
        <f>'Schedule 2C Adjustments'!H50</f>
        <v>0</v>
      </c>
      <c r="G51" s="68">
        <f>'Schedule 2C Adjustments'!J50</f>
        <v>0</v>
      </c>
      <c r="H51" s="68">
        <f t="shared" si="0"/>
        <v>0</v>
      </c>
      <c r="J51" s="117">
        <f>'Schedule 2C Adjustments'!P50</f>
        <v>0</v>
      </c>
      <c r="K51" s="68">
        <f>'Schedule 2C Adjustments'!R50</f>
        <v>0</v>
      </c>
      <c r="L51" s="68">
        <f t="shared" si="1"/>
        <v>0</v>
      </c>
      <c r="N51" s="120">
        <f>'Schedule 2C Adjustments'!X50</f>
        <v>0</v>
      </c>
      <c r="O51" s="120">
        <f>'Schedule 2C Adjustments'!AA50</f>
        <v>0</v>
      </c>
    </row>
    <row r="52" spans="1:15" x14ac:dyDescent="0.35">
      <c r="A52" s="24">
        <v>37</v>
      </c>
      <c r="B52" s="513" t="str">
        <f>'Schedule 2C Adjustments'!B51:D51</f>
        <v/>
      </c>
      <c r="C52" s="513"/>
      <c r="D52" s="513"/>
      <c r="F52" s="117">
        <f>'Schedule 2C Adjustments'!H51</f>
        <v>0</v>
      </c>
      <c r="G52" s="68">
        <f>'Schedule 2C Adjustments'!J51</f>
        <v>0</v>
      </c>
      <c r="H52" s="68">
        <f t="shared" si="0"/>
        <v>0</v>
      </c>
      <c r="J52" s="117">
        <f>'Schedule 2C Adjustments'!P51</f>
        <v>0</v>
      </c>
      <c r="K52" s="68">
        <f>'Schedule 2C Adjustments'!R51</f>
        <v>0</v>
      </c>
      <c r="L52" s="68">
        <f t="shared" si="1"/>
        <v>0</v>
      </c>
      <c r="N52" s="120">
        <f>'Schedule 2C Adjustments'!X51</f>
        <v>0</v>
      </c>
      <c r="O52" s="120">
        <f>'Schedule 2C Adjustments'!AA51</f>
        <v>0</v>
      </c>
    </row>
    <row r="53" spans="1:15" x14ac:dyDescent="0.35">
      <c r="A53" s="24">
        <v>38</v>
      </c>
      <c r="B53" s="513" t="str">
        <f>'Schedule 2C Adjustments'!B52:D52</f>
        <v/>
      </c>
      <c r="C53" s="513"/>
      <c r="D53" s="513"/>
      <c r="F53" s="117">
        <f>'Schedule 2C Adjustments'!H52</f>
        <v>0</v>
      </c>
      <c r="G53" s="68">
        <f>'Schedule 2C Adjustments'!J52</f>
        <v>0</v>
      </c>
      <c r="H53" s="68">
        <f t="shared" si="0"/>
        <v>0</v>
      </c>
      <c r="J53" s="117">
        <f>'Schedule 2C Adjustments'!P52</f>
        <v>0</v>
      </c>
      <c r="K53" s="68">
        <f>'Schedule 2C Adjustments'!R52</f>
        <v>0</v>
      </c>
      <c r="L53" s="68">
        <f t="shared" si="1"/>
        <v>0</v>
      </c>
      <c r="N53" s="120">
        <f>'Schedule 2C Adjustments'!X52</f>
        <v>0</v>
      </c>
      <c r="O53" s="120">
        <f>'Schedule 2C Adjustments'!AA52</f>
        <v>0</v>
      </c>
    </row>
    <row r="54" spans="1:15" x14ac:dyDescent="0.35">
      <c r="A54" s="24">
        <v>39</v>
      </c>
      <c r="B54" s="513" t="str">
        <f>'Schedule 2C Adjustments'!B53:D53</f>
        <v/>
      </c>
      <c r="C54" s="513"/>
      <c r="D54" s="513"/>
      <c r="F54" s="117">
        <f>'Schedule 2C Adjustments'!H53</f>
        <v>0</v>
      </c>
      <c r="G54" s="68">
        <f>'Schedule 2C Adjustments'!J53</f>
        <v>0</v>
      </c>
      <c r="H54" s="68">
        <f t="shared" si="0"/>
        <v>0</v>
      </c>
      <c r="J54" s="117">
        <f>'Schedule 2C Adjustments'!P53</f>
        <v>0</v>
      </c>
      <c r="K54" s="68">
        <f>'Schedule 2C Adjustments'!R53</f>
        <v>0</v>
      </c>
      <c r="L54" s="68">
        <f t="shared" si="1"/>
        <v>0</v>
      </c>
      <c r="N54" s="120">
        <f>'Schedule 2C Adjustments'!X53</f>
        <v>0</v>
      </c>
      <c r="O54" s="120">
        <f>'Schedule 2C Adjustments'!AA53</f>
        <v>0</v>
      </c>
    </row>
    <row r="55" spans="1:15" x14ac:dyDescent="0.35">
      <c r="A55" s="24">
        <v>40</v>
      </c>
      <c r="B55" s="513" t="str">
        <f>'Schedule 2C Adjustments'!B54:D54</f>
        <v/>
      </c>
      <c r="C55" s="513"/>
      <c r="D55" s="513"/>
      <c r="F55" s="117">
        <f>'Schedule 2C Adjustments'!H54</f>
        <v>0</v>
      </c>
      <c r="G55" s="68">
        <f>'Schedule 2C Adjustments'!J54</f>
        <v>0</v>
      </c>
      <c r="H55" s="68">
        <f t="shared" si="0"/>
        <v>0</v>
      </c>
      <c r="J55" s="117">
        <f>'Schedule 2C Adjustments'!P54</f>
        <v>0</v>
      </c>
      <c r="K55" s="68">
        <f>'Schedule 2C Adjustments'!R54</f>
        <v>0</v>
      </c>
      <c r="L55" s="68">
        <f t="shared" si="1"/>
        <v>0</v>
      </c>
      <c r="N55" s="120">
        <f>'Schedule 2C Adjustments'!X54</f>
        <v>0</v>
      </c>
      <c r="O55" s="120">
        <f>'Schedule 2C Adjustments'!AA54</f>
        <v>0</v>
      </c>
    </row>
    <row r="56" spans="1:15" x14ac:dyDescent="0.35">
      <c r="A56" s="24">
        <v>41</v>
      </c>
      <c r="B56" s="513" t="str">
        <f>'Schedule 2C Adjustments'!B55:D55</f>
        <v/>
      </c>
      <c r="C56" s="513"/>
      <c r="D56" s="513"/>
      <c r="F56" s="117">
        <f>'Schedule 2C Adjustments'!H55</f>
        <v>0</v>
      </c>
      <c r="G56" s="68">
        <f>'Schedule 2C Adjustments'!J55</f>
        <v>0</v>
      </c>
      <c r="H56" s="68">
        <f t="shared" si="0"/>
        <v>0</v>
      </c>
      <c r="J56" s="117">
        <f>'Schedule 2C Adjustments'!P55</f>
        <v>0</v>
      </c>
      <c r="K56" s="68">
        <f>'Schedule 2C Adjustments'!R55</f>
        <v>0</v>
      </c>
      <c r="L56" s="68">
        <f t="shared" si="1"/>
        <v>0</v>
      </c>
      <c r="N56" s="120">
        <f>'Schedule 2C Adjustments'!X55</f>
        <v>0</v>
      </c>
      <c r="O56" s="120">
        <f>'Schedule 2C Adjustments'!AA55</f>
        <v>0</v>
      </c>
    </row>
    <row r="57" spans="1:15" x14ac:dyDescent="0.35">
      <c r="A57" s="24">
        <v>42</v>
      </c>
      <c r="B57" s="513" t="str">
        <f>'Schedule 2C Adjustments'!B56:D56</f>
        <v/>
      </c>
      <c r="C57" s="513"/>
      <c r="D57" s="513"/>
      <c r="F57" s="117">
        <f>'Schedule 2C Adjustments'!H56</f>
        <v>0</v>
      </c>
      <c r="G57" s="68">
        <f>'Schedule 2C Adjustments'!J56</f>
        <v>0</v>
      </c>
      <c r="H57" s="68">
        <f t="shared" si="0"/>
        <v>0</v>
      </c>
      <c r="J57" s="117">
        <f>'Schedule 2C Adjustments'!P56</f>
        <v>0</v>
      </c>
      <c r="K57" s="68">
        <f>'Schedule 2C Adjustments'!R56</f>
        <v>0</v>
      </c>
      <c r="L57" s="68">
        <f t="shared" si="1"/>
        <v>0</v>
      </c>
      <c r="N57" s="120">
        <f>'Schedule 2C Adjustments'!X56</f>
        <v>0</v>
      </c>
      <c r="O57" s="120">
        <f>'Schedule 2C Adjustments'!AA56</f>
        <v>0</v>
      </c>
    </row>
    <row r="58" spans="1:15" x14ac:dyDescent="0.35">
      <c r="A58" s="24">
        <v>43</v>
      </c>
      <c r="B58" s="513" t="str">
        <f>'Schedule 2C Adjustments'!B57:D57</f>
        <v/>
      </c>
      <c r="C58" s="513"/>
      <c r="D58" s="513"/>
      <c r="F58" s="117">
        <f>'Schedule 2C Adjustments'!H57</f>
        <v>0</v>
      </c>
      <c r="G58" s="68">
        <f>'Schedule 2C Adjustments'!J57</f>
        <v>0</v>
      </c>
      <c r="H58" s="68">
        <f t="shared" si="0"/>
        <v>0</v>
      </c>
      <c r="J58" s="117">
        <f>'Schedule 2C Adjustments'!P57</f>
        <v>0</v>
      </c>
      <c r="K58" s="68">
        <f>'Schedule 2C Adjustments'!R57</f>
        <v>0</v>
      </c>
      <c r="L58" s="68">
        <f t="shared" si="1"/>
        <v>0</v>
      </c>
      <c r="N58" s="120">
        <f>'Schedule 2C Adjustments'!X57</f>
        <v>0</v>
      </c>
      <c r="O58" s="120">
        <f>'Schedule 2C Adjustments'!AA57</f>
        <v>0</v>
      </c>
    </row>
    <row r="59" spans="1:15" x14ac:dyDescent="0.35">
      <c r="A59" s="24">
        <v>44</v>
      </c>
      <c r="B59" s="513" t="str">
        <f>'Schedule 2C Adjustments'!B58:D58</f>
        <v/>
      </c>
      <c r="C59" s="513"/>
      <c r="D59" s="513"/>
      <c r="F59" s="117">
        <f>'Schedule 2C Adjustments'!H58</f>
        <v>0</v>
      </c>
      <c r="G59" s="68">
        <f>'Schedule 2C Adjustments'!J58</f>
        <v>0</v>
      </c>
      <c r="H59" s="68">
        <f t="shared" si="0"/>
        <v>0</v>
      </c>
      <c r="J59" s="117">
        <f>'Schedule 2C Adjustments'!P58</f>
        <v>0</v>
      </c>
      <c r="K59" s="68">
        <f>'Schedule 2C Adjustments'!R58</f>
        <v>0</v>
      </c>
      <c r="L59" s="68">
        <f t="shared" si="1"/>
        <v>0</v>
      </c>
      <c r="N59" s="120">
        <f>'Schedule 2C Adjustments'!X58</f>
        <v>0</v>
      </c>
      <c r="O59" s="120">
        <f>'Schedule 2C Adjustments'!AA58</f>
        <v>0</v>
      </c>
    </row>
    <row r="60" spans="1:15" x14ac:dyDescent="0.35">
      <c r="A60" s="24">
        <v>45</v>
      </c>
      <c r="B60" s="513" t="str">
        <f>'Schedule 2C Adjustments'!B59:D59</f>
        <v/>
      </c>
      <c r="C60" s="513"/>
      <c r="D60" s="513"/>
      <c r="F60" s="117">
        <f>'Schedule 2C Adjustments'!H59</f>
        <v>0</v>
      </c>
      <c r="G60" s="68">
        <f>'Schedule 2C Adjustments'!J59</f>
        <v>0</v>
      </c>
      <c r="H60" s="68">
        <f t="shared" si="0"/>
        <v>0</v>
      </c>
      <c r="J60" s="117">
        <f>'Schedule 2C Adjustments'!P59</f>
        <v>0</v>
      </c>
      <c r="K60" s="68">
        <f>'Schedule 2C Adjustments'!R59</f>
        <v>0</v>
      </c>
      <c r="L60" s="68">
        <f t="shared" si="1"/>
        <v>0</v>
      </c>
      <c r="N60" s="120">
        <f>'Schedule 2C Adjustments'!X59</f>
        <v>0</v>
      </c>
      <c r="O60" s="120">
        <f>'Schedule 2C Adjustments'!AA59</f>
        <v>0</v>
      </c>
    </row>
    <row r="61" spans="1:15" x14ac:dyDescent="0.35">
      <c r="A61" s="24">
        <v>46</v>
      </c>
      <c r="B61" s="513" t="str">
        <f>'Schedule 2C Adjustments'!B60:D60</f>
        <v/>
      </c>
      <c r="C61" s="513"/>
      <c r="D61" s="513"/>
      <c r="F61" s="117">
        <f>'Schedule 2C Adjustments'!H60</f>
        <v>0</v>
      </c>
      <c r="G61" s="68">
        <f>'Schedule 2C Adjustments'!J60</f>
        <v>0</v>
      </c>
      <c r="H61" s="68">
        <f t="shared" si="0"/>
        <v>0</v>
      </c>
      <c r="J61" s="117">
        <f>'Schedule 2C Adjustments'!P60</f>
        <v>0</v>
      </c>
      <c r="K61" s="68">
        <f>'Schedule 2C Adjustments'!R60</f>
        <v>0</v>
      </c>
      <c r="L61" s="68">
        <f t="shared" si="1"/>
        <v>0</v>
      </c>
      <c r="N61" s="120">
        <f>'Schedule 2C Adjustments'!X60</f>
        <v>0</v>
      </c>
      <c r="O61" s="120">
        <f>'Schedule 2C Adjustments'!AA60</f>
        <v>0</v>
      </c>
    </row>
    <row r="62" spans="1:15" x14ac:dyDescent="0.35">
      <c r="A62" s="24">
        <v>47</v>
      </c>
      <c r="B62" s="513" t="str">
        <f>'Schedule 2C Adjustments'!B61:D61</f>
        <v/>
      </c>
      <c r="C62" s="513"/>
      <c r="D62" s="513"/>
      <c r="F62" s="117">
        <f>'Schedule 2C Adjustments'!H61</f>
        <v>0</v>
      </c>
      <c r="G62" s="68">
        <f>'Schedule 2C Adjustments'!J61</f>
        <v>0</v>
      </c>
      <c r="H62" s="68">
        <f t="shared" si="0"/>
        <v>0</v>
      </c>
      <c r="J62" s="117">
        <f>'Schedule 2C Adjustments'!P61</f>
        <v>0</v>
      </c>
      <c r="K62" s="68">
        <f>'Schedule 2C Adjustments'!R61</f>
        <v>0</v>
      </c>
      <c r="L62" s="68">
        <f t="shared" si="1"/>
        <v>0</v>
      </c>
      <c r="N62" s="120">
        <f>'Schedule 2C Adjustments'!X61</f>
        <v>0</v>
      </c>
      <c r="O62" s="120">
        <f>'Schedule 2C Adjustments'!AA61</f>
        <v>0</v>
      </c>
    </row>
    <row r="63" spans="1:15" x14ac:dyDescent="0.35">
      <c r="A63" s="24">
        <v>48</v>
      </c>
      <c r="B63" s="513" t="str">
        <f>'Schedule 2C Adjustments'!B62:D62</f>
        <v/>
      </c>
      <c r="C63" s="513"/>
      <c r="D63" s="513"/>
      <c r="F63" s="117">
        <f>'Schedule 2C Adjustments'!H62</f>
        <v>0</v>
      </c>
      <c r="G63" s="68">
        <f>'Schedule 2C Adjustments'!J62</f>
        <v>0</v>
      </c>
      <c r="H63" s="68">
        <f t="shared" si="0"/>
        <v>0</v>
      </c>
      <c r="J63" s="117">
        <f>'Schedule 2C Adjustments'!P62</f>
        <v>0</v>
      </c>
      <c r="K63" s="68">
        <f>'Schedule 2C Adjustments'!R62</f>
        <v>0</v>
      </c>
      <c r="L63" s="68">
        <f t="shared" si="1"/>
        <v>0</v>
      </c>
      <c r="N63" s="120">
        <f>'Schedule 2C Adjustments'!X62</f>
        <v>0</v>
      </c>
      <c r="O63" s="120">
        <f>'Schedule 2C Adjustments'!AA62</f>
        <v>0</v>
      </c>
    </row>
    <row r="64" spans="1:15" x14ac:dyDescent="0.35">
      <c r="A64" s="24">
        <v>49</v>
      </c>
      <c r="B64" s="513" t="str">
        <f>'Schedule 2C Adjustments'!B63:D63</f>
        <v/>
      </c>
      <c r="C64" s="513"/>
      <c r="D64" s="513"/>
      <c r="F64" s="117">
        <f>'Schedule 2C Adjustments'!H63</f>
        <v>0</v>
      </c>
      <c r="G64" s="68">
        <f>'Schedule 2C Adjustments'!J63</f>
        <v>0</v>
      </c>
      <c r="H64" s="68">
        <f t="shared" si="0"/>
        <v>0</v>
      </c>
      <c r="J64" s="117">
        <f>'Schedule 2C Adjustments'!P63</f>
        <v>0</v>
      </c>
      <c r="K64" s="68">
        <f>'Schedule 2C Adjustments'!R63</f>
        <v>0</v>
      </c>
      <c r="L64" s="68">
        <f t="shared" si="1"/>
        <v>0</v>
      </c>
      <c r="N64" s="120">
        <f>'Schedule 2C Adjustments'!X63</f>
        <v>0</v>
      </c>
      <c r="O64" s="120">
        <f>'Schedule 2C Adjustments'!AA63</f>
        <v>0</v>
      </c>
    </row>
    <row r="65" spans="1:15" x14ac:dyDescent="0.35">
      <c r="A65" s="24">
        <v>50</v>
      </c>
      <c r="B65" s="513" t="str">
        <f>'Schedule 2C Adjustments'!B64:D64</f>
        <v/>
      </c>
      <c r="C65" s="513"/>
      <c r="D65" s="513"/>
      <c r="F65" s="117">
        <f>'Schedule 2C Adjustments'!H64</f>
        <v>0</v>
      </c>
      <c r="G65" s="68">
        <f>'Schedule 2C Adjustments'!J64</f>
        <v>0</v>
      </c>
      <c r="H65" s="68">
        <f t="shared" si="0"/>
        <v>0</v>
      </c>
      <c r="J65" s="117">
        <f>'Schedule 2C Adjustments'!P64</f>
        <v>0</v>
      </c>
      <c r="K65" s="68">
        <f>'Schedule 2C Adjustments'!R64</f>
        <v>0</v>
      </c>
      <c r="L65" s="68">
        <f t="shared" si="1"/>
        <v>0</v>
      </c>
      <c r="N65" s="120">
        <f>'Schedule 2C Adjustments'!X64</f>
        <v>0</v>
      </c>
      <c r="O65" s="120">
        <f>'Schedule 2C Adjustments'!AA64</f>
        <v>0</v>
      </c>
    </row>
    <row r="66" spans="1:15" x14ac:dyDescent="0.35">
      <c r="A66" s="24">
        <v>51</v>
      </c>
      <c r="B66" s="513" t="str">
        <f>'Schedule 2C Adjustments'!B65:D65</f>
        <v/>
      </c>
      <c r="C66" s="513"/>
      <c r="D66" s="513"/>
      <c r="F66" s="117">
        <f>'Schedule 2C Adjustments'!H65</f>
        <v>0</v>
      </c>
      <c r="G66" s="68">
        <f>'Schedule 2C Adjustments'!J65</f>
        <v>0</v>
      </c>
      <c r="H66" s="68">
        <f t="shared" si="0"/>
        <v>0</v>
      </c>
      <c r="J66" s="117">
        <f>'Schedule 2C Adjustments'!P65</f>
        <v>0</v>
      </c>
      <c r="K66" s="68">
        <f>'Schedule 2C Adjustments'!R65</f>
        <v>0</v>
      </c>
      <c r="L66" s="68">
        <f t="shared" si="1"/>
        <v>0</v>
      </c>
      <c r="N66" s="120">
        <f>'Schedule 2C Adjustments'!X65</f>
        <v>0</v>
      </c>
      <c r="O66" s="120">
        <f>'Schedule 2C Adjustments'!AA65</f>
        <v>0</v>
      </c>
    </row>
    <row r="67" spans="1:15" x14ac:dyDescent="0.35">
      <c r="A67" s="24">
        <v>52</v>
      </c>
      <c r="B67" s="513" t="str">
        <f>'Schedule 2C Adjustments'!B66:D66</f>
        <v/>
      </c>
      <c r="C67" s="513"/>
      <c r="D67" s="513"/>
      <c r="F67" s="117">
        <f>'Schedule 2C Adjustments'!H66</f>
        <v>0</v>
      </c>
      <c r="G67" s="68">
        <f>'Schedule 2C Adjustments'!J66</f>
        <v>0</v>
      </c>
      <c r="H67" s="68">
        <f t="shared" si="0"/>
        <v>0</v>
      </c>
      <c r="J67" s="117">
        <f>'Schedule 2C Adjustments'!P66</f>
        <v>0</v>
      </c>
      <c r="K67" s="68">
        <f>'Schedule 2C Adjustments'!R66</f>
        <v>0</v>
      </c>
      <c r="L67" s="68">
        <f t="shared" si="1"/>
        <v>0</v>
      </c>
      <c r="N67" s="120">
        <f>'Schedule 2C Adjustments'!X66</f>
        <v>0</v>
      </c>
      <c r="O67" s="120">
        <f>'Schedule 2C Adjustments'!AA66</f>
        <v>0</v>
      </c>
    </row>
    <row r="68" spans="1:15" x14ac:dyDescent="0.35">
      <c r="A68" s="24">
        <v>53</v>
      </c>
      <c r="B68" s="513" t="str">
        <f>'Schedule 2C Adjustments'!B67:D67</f>
        <v/>
      </c>
      <c r="C68" s="513"/>
      <c r="D68" s="513"/>
      <c r="F68" s="117">
        <f>'Schedule 2C Adjustments'!H67</f>
        <v>0</v>
      </c>
      <c r="G68" s="68">
        <f>'Schedule 2C Adjustments'!J67</f>
        <v>0</v>
      </c>
      <c r="H68" s="68">
        <f t="shared" si="0"/>
        <v>0</v>
      </c>
      <c r="J68" s="117">
        <f>'Schedule 2C Adjustments'!P67</f>
        <v>0</v>
      </c>
      <c r="K68" s="68">
        <f>'Schedule 2C Adjustments'!R67</f>
        <v>0</v>
      </c>
      <c r="L68" s="68">
        <f t="shared" si="1"/>
        <v>0</v>
      </c>
      <c r="N68" s="120">
        <f>'Schedule 2C Adjustments'!X67</f>
        <v>0</v>
      </c>
      <c r="O68" s="120">
        <f>'Schedule 2C Adjustments'!AA67</f>
        <v>0</v>
      </c>
    </row>
    <row r="69" spans="1:15" x14ac:dyDescent="0.35">
      <c r="A69" s="24">
        <v>54</v>
      </c>
      <c r="B69" s="513" t="str">
        <f>'Schedule 2C Adjustments'!B68:D68</f>
        <v/>
      </c>
      <c r="C69" s="513"/>
      <c r="D69" s="513"/>
      <c r="F69" s="117">
        <f>'Schedule 2C Adjustments'!H68</f>
        <v>0</v>
      </c>
      <c r="G69" s="68">
        <f>'Schedule 2C Adjustments'!J68</f>
        <v>0</v>
      </c>
      <c r="H69" s="68">
        <f t="shared" si="0"/>
        <v>0</v>
      </c>
      <c r="J69" s="117">
        <f>'Schedule 2C Adjustments'!P68</f>
        <v>0</v>
      </c>
      <c r="K69" s="68">
        <f>'Schedule 2C Adjustments'!R68</f>
        <v>0</v>
      </c>
      <c r="L69" s="68">
        <f t="shared" si="1"/>
        <v>0</v>
      </c>
      <c r="N69" s="120">
        <f>'Schedule 2C Adjustments'!X68</f>
        <v>0</v>
      </c>
      <c r="O69" s="120">
        <f>'Schedule 2C Adjustments'!AA68</f>
        <v>0</v>
      </c>
    </row>
    <row r="70" spans="1:15" x14ac:dyDescent="0.35">
      <c r="A70" s="24">
        <v>55</v>
      </c>
      <c r="B70" s="513" t="str">
        <f>'Schedule 2C Adjustments'!B69:D69</f>
        <v/>
      </c>
      <c r="C70" s="513"/>
      <c r="D70" s="513"/>
      <c r="F70" s="117">
        <f>'Schedule 2C Adjustments'!H69</f>
        <v>0</v>
      </c>
      <c r="G70" s="68">
        <f>'Schedule 2C Adjustments'!J69</f>
        <v>0</v>
      </c>
      <c r="H70" s="68">
        <f t="shared" si="0"/>
        <v>0</v>
      </c>
      <c r="J70" s="117">
        <f>'Schedule 2C Adjustments'!P69</f>
        <v>0</v>
      </c>
      <c r="K70" s="68">
        <f>'Schedule 2C Adjustments'!R69</f>
        <v>0</v>
      </c>
      <c r="L70" s="68">
        <f t="shared" si="1"/>
        <v>0</v>
      </c>
      <c r="N70" s="120">
        <f>'Schedule 2C Adjustments'!X69</f>
        <v>0</v>
      </c>
      <c r="O70" s="120">
        <f>'Schedule 2C Adjustments'!AA69</f>
        <v>0</v>
      </c>
    </row>
    <row r="71" spans="1:15" x14ac:dyDescent="0.35">
      <c r="A71" s="24">
        <v>56</v>
      </c>
      <c r="B71" s="513" t="str">
        <f>'Schedule 2C Adjustments'!B70:D70</f>
        <v/>
      </c>
      <c r="C71" s="513"/>
      <c r="D71" s="513"/>
      <c r="F71" s="117">
        <f>'Schedule 2C Adjustments'!H70</f>
        <v>0</v>
      </c>
      <c r="G71" s="68">
        <f>'Schedule 2C Adjustments'!J70</f>
        <v>0</v>
      </c>
      <c r="H71" s="68">
        <f t="shared" si="0"/>
        <v>0</v>
      </c>
      <c r="J71" s="117">
        <f>'Schedule 2C Adjustments'!P70</f>
        <v>0</v>
      </c>
      <c r="K71" s="68">
        <f>'Schedule 2C Adjustments'!R70</f>
        <v>0</v>
      </c>
      <c r="L71" s="68">
        <f t="shared" si="1"/>
        <v>0</v>
      </c>
      <c r="N71" s="120">
        <f>'Schedule 2C Adjustments'!X70</f>
        <v>0</v>
      </c>
      <c r="O71" s="120">
        <f>'Schedule 2C Adjustments'!AA70</f>
        <v>0</v>
      </c>
    </row>
    <row r="72" spans="1:15" x14ac:dyDescent="0.35">
      <c r="A72" s="24">
        <v>57</v>
      </c>
      <c r="B72" s="513" t="str">
        <f>'Schedule 2C Adjustments'!B71:D71</f>
        <v/>
      </c>
      <c r="C72" s="513"/>
      <c r="D72" s="513"/>
      <c r="F72" s="117">
        <f>'Schedule 2C Adjustments'!H71</f>
        <v>0</v>
      </c>
      <c r="G72" s="68">
        <f>'Schedule 2C Adjustments'!J71</f>
        <v>0</v>
      </c>
      <c r="H72" s="68">
        <f t="shared" si="0"/>
        <v>0</v>
      </c>
      <c r="J72" s="117">
        <f>'Schedule 2C Adjustments'!P71</f>
        <v>0</v>
      </c>
      <c r="K72" s="68">
        <f>'Schedule 2C Adjustments'!R71</f>
        <v>0</v>
      </c>
      <c r="L72" s="68">
        <f t="shared" si="1"/>
        <v>0</v>
      </c>
      <c r="N72" s="120">
        <f>'Schedule 2C Adjustments'!X71</f>
        <v>0</v>
      </c>
      <c r="O72" s="120">
        <f>'Schedule 2C Adjustments'!AA71</f>
        <v>0</v>
      </c>
    </row>
    <row r="73" spans="1:15" x14ac:dyDescent="0.35">
      <c r="A73" s="24">
        <v>58</v>
      </c>
      <c r="B73" s="513" t="str">
        <f>'Schedule 2C Adjustments'!B72:D72</f>
        <v/>
      </c>
      <c r="C73" s="513"/>
      <c r="D73" s="513"/>
      <c r="F73" s="117">
        <f>'Schedule 2C Adjustments'!H72</f>
        <v>0</v>
      </c>
      <c r="G73" s="68">
        <f>'Schedule 2C Adjustments'!J72</f>
        <v>0</v>
      </c>
      <c r="H73" s="68">
        <f t="shared" si="0"/>
        <v>0</v>
      </c>
      <c r="J73" s="117">
        <f>'Schedule 2C Adjustments'!P72</f>
        <v>0</v>
      </c>
      <c r="K73" s="68">
        <f>'Schedule 2C Adjustments'!R72</f>
        <v>0</v>
      </c>
      <c r="L73" s="68">
        <f t="shared" si="1"/>
        <v>0</v>
      </c>
      <c r="N73" s="120">
        <f>'Schedule 2C Adjustments'!X72</f>
        <v>0</v>
      </c>
      <c r="O73" s="120">
        <f>'Schedule 2C Adjustments'!AA72</f>
        <v>0</v>
      </c>
    </row>
    <row r="74" spans="1:15" x14ac:dyDescent="0.35">
      <c r="A74" s="24">
        <v>59</v>
      </c>
      <c r="F74" s="18">
        <f>SUM(F16:F73)</f>
        <v>25850337.087696463</v>
      </c>
      <c r="G74" s="18">
        <f t="shared" ref="G74:H74" si="2">SUM(G16:G73)</f>
        <v>7979555.6164201554</v>
      </c>
      <c r="H74" s="18">
        <f t="shared" si="2"/>
        <v>33829892.70411662</v>
      </c>
      <c r="J74" s="18">
        <f>SUM(J16:J73)</f>
        <v>176870</v>
      </c>
      <c r="K74" s="18">
        <f>SUM(K16:K73)</f>
        <v>54596.734931861516</v>
      </c>
      <c r="L74" s="18">
        <f>SUM(L16:L73)</f>
        <v>231466.73493186152</v>
      </c>
      <c r="O74" s="83" t="s">
        <v>313</v>
      </c>
    </row>
    <row r="75" spans="1:15" ht="15" thickBot="1" x14ac:dyDescent="0.4">
      <c r="H75" s="37" t="s">
        <v>257</v>
      </c>
      <c r="L75" s="37" t="s">
        <v>258</v>
      </c>
    </row>
    <row r="76" spans="1:15" s="72" customFormat="1" ht="16" thickBot="1" x14ac:dyDescent="0.4">
      <c r="A76" s="24">
        <v>60</v>
      </c>
      <c r="B76" s="73" t="s">
        <v>461</v>
      </c>
      <c r="F76" s="75">
        <f>H74+L74</f>
        <v>34061359.439048484</v>
      </c>
      <c r="G76" s="74"/>
      <c r="H76" s="74"/>
      <c r="I76" s="74"/>
      <c r="J76" s="74"/>
      <c r="K76" s="74"/>
    </row>
  </sheetData>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65">
    <mergeCell ref="B20:D20"/>
    <mergeCell ref="A3:H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8971D"/>
  </sheetPr>
  <dimension ref="A1:O76"/>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494" t="s">
        <v>696</v>
      </c>
      <c r="B3" s="494"/>
      <c r="C3" s="494"/>
      <c r="D3" s="494"/>
      <c r="E3" s="494"/>
      <c r="F3" s="494"/>
      <c r="G3" s="494"/>
      <c r="H3" s="494"/>
    </row>
    <row r="4" spans="1:15" ht="25" customHeight="1" x14ac:dyDescent="0.5">
      <c r="A4" s="243" t="str">
        <f>Results!A4</f>
        <v>Final Adjustments</v>
      </c>
      <c r="B4" s="361"/>
      <c r="C4" s="361"/>
      <c r="D4" s="361"/>
      <c r="E4" s="361"/>
      <c r="F4" s="361"/>
      <c r="G4" s="361"/>
      <c r="H4" s="361"/>
    </row>
    <row r="6" spans="1:15" x14ac:dyDescent="0.35">
      <c r="A6" s="1" t="s">
        <v>773</v>
      </c>
      <c r="C6" s="421" t="str">
        <f>Results!$C$6</f>
        <v>Health Solutions</v>
      </c>
    </row>
    <row r="7" spans="1:15" x14ac:dyDescent="0.35">
      <c r="A7" s="1" t="s">
        <v>0</v>
      </c>
      <c r="C7" s="35">
        <f>Results!$C$7</f>
        <v>45473</v>
      </c>
      <c r="F7" s="35"/>
    </row>
    <row r="9" spans="1:15" x14ac:dyDescent="0.35">
      <c r="A9" s="1" t="s">
        <v>253</v>
      </c>
      <c r="B9" s="1" t="s">
        <v>628</v>
      </c>
      <c r="C9" s="1"/>
      <c r="F9" s="119" t="str">
        <f>'Schedule 2D Adjustments'!F8</f>
        <v>Yes</v>
      </c>
      <c r="G9" s="41" t="s">
        <v>259</v>
      </c>
    </row>
    <row r="11" spans="1:15" x14ac:dyDescent="0.35">
      <c r="A11" s="1" t="s">
        <v>254</v>
      </c>
      <c r="B11" s="1" t="s">
        <v>256</v>
      </c>
      <c r="C11" s="1"/>
    </row>
    <row r="12" spans="1:15" x14ac:dyDescent="0.35">
      <c r="B12" s="318" t="s">
        <v>598</v>
      </c>
    </row>
    <row r="13" spans="1:15" x14ac:dyDescent="0.35">
      <c r="B13" s="508">
        <v>1</v>
      </c>
      <c r="C13" s="508"/>
      <c r="D13" s="508"/>
      <c r="F13" s="23">
        <v>2</v>
      </c>
      <c r="G13" s="23">
        <v>3</v>
      </c>
      <c r="H13" s="23">
        <v>4</v>
      </c>
      <c r="J13" s="23">
        <v>5</v>
      </c>
      <c r="K13" s="23">
        <v>6</v>
      </c>
      <c r="L13" s="23">
        <v>7</v>
      </c>
      <c r="N13" s="23">
        <v>8</v>
      </c>
      <c r="O13" s="23">
        <v>9</v>
      </c>
    </row>
    <row r="14" spans="1:15" ht="15" customHeight="1" x14ac:dyDescent="0.35">
      <c r="B14" s="517" t="s">
        <v>612</v>
      </c>
      <c r="C14" s="518"/>
      <c r="D14" s="519"/>
      <c r="F14" s="511" t="s">
        <v>261</v>
      </c>
      <c r="G14" s="516"/>
      <c r="H14" s="512"/>
      <c r="J14" s="511" t="s">
        <v>262</v>
      </c>
      <c r="K14" s="516"/>
      <c r="L14" s="512"/>
      <c r="N14" s="514" t="s">
        <v>692</v>
      </c>
      <c r="O14" s="514" t="s">
        <v>693</v>
      </c>
    </row>
    <row r="15" spans="1:15" ht="55.5" customHeight="1" x14ac:dyDescent="0.35">
      <c r="B15" s="520"/>
      <c r="C15" s="521"/>
      <c r="D15" s="522"/>
      <c r="E15" s="48"/>
      <c r="F15" s="10" t="s">
        <v>689</v>
      </c>
      <c r="G15" s="151" t="s">
        <v>690</v>
      </c>
      <c r="H15" s="151" t="s">
        <v>691</v>
      </c>
      <c r="I15" s="100"/>
      <c r="J15" s="10" t="s">
        <v>689</v>
      </c>
      <c r="K15" s="151" t="s">
        <v>690</v>
      </c>
      <c r="L15" s="151" t="s">
        <v>691</v>
      </c>
      <c r="M15" s="48"/>
      <c r="N15" s="515"/>
      <c r="O15" s="515"/>
    </row>
    <row r="16" spans="1:15" x14ac:dyDescent="0.35">
      <c r="A16" s="24">
        <v>1</v>
      </c>
      <c r="B16" s="513" t="str">
        <f>'Schedule 2D Adjustments'!B15:D15</f>
        <v>Assertive Community Treatment (ACT)</v>
      </c>
      <c r="C16" s="513"/>
      <c r="D16" s="513"/>
      <c r="F16" s="117">
        <f>'Schedule 2D Adjustments'!H15</f>
        <v>988359.81556269422</v>
      </c>
      <c r="G16" s="68">
        <f>'Schedule 2D Adjustments'!J15</f>
        <v>305089.72051551961</v>
      </c>
      <c r="H16" s="68">
        <f>SUM(F16:G16)</f>
        <v>1293449.5360782137</v>
      </c>
      <c r="J16" s="117">
        <f>'Schedule 2D Adjustments'!P15</f>
        <v>0</v>
      </c>
      <c r="K16" s="68">
        <f>'Schedule 2D Adjustments'!R15</f>
        <v>0</v>
      </c>
      <c r="L16" s="68">
        <f>SUM(J16:K16)</f>
        <v>0</v>
      </c>
      <c r="N16" s="120">
        <f>'Schedule 2D Adjustments'!X15</f>
        <v>11.3675</v>
      </c>
      <c r="O16" s="120">
        <f>'Schedule 2D Adjustments'!AA15</f>
        <v>145</v>
      </c>
    </row>
    <row r="17" spans="1:15" x14ac:dyDescent="0.35">
      <c r="A17" s="24">
        <v>2</v>
      </c>
      <c r="B17" s="513" t="str">
        <f>'Schedule 2D Adjustments'!B16:D16</f>
        <v>First Episode of Psychosis</v>
      </c>
      <c r="C17" s="513"/>
      <c r="D17" s="513"/>
      <c r="F17" s="117">
        <f>'Schedule 2D Adjustments'!H16</f>
        <v>422351.89278951968</v>
      </c>
      <c r="G17" s="68">
        <f>'Schedule 2D Adjustments'!J16</f>
        <v>130372.78418386045</v>
      </c>
      <c r="H17" s="68">
        <f t="shared" ref="H17:H73" si="0">SUM(F17:G17)</f>
        <v>552724.67697338015</v>
      </c>
      <c r="J17" s="117">
        <f>'Schedule 2D Adjustments'!P16</f>
        <v>0</v>
      </c>
      <c r="K17" s="68">
        <f>'Schedule 2D Adjustments'!R16</f>
        <v>0</v>
      </c>
      <c r="L17" s="68">
        <f t="shared" ref="L17:L73" si="1">SUM(J17:K17)</f>
        <v>0</v>
      </c>
      <c r="N17" s="120">
        <f>'Schedule 2D Adjustments'!X16</f>
        <v>3.3275000000000001</v>
      </c>
      <c r="O17" s="120">
        <f>'Schedule 2D Adjustments'!AA16</f>
        <v>129</v>
      </c>
    </row>
    <row r="18" spans="1:15" x14ac:dyDescent="0.35">
      <c r="A18" s="24">
        <v>3</v>
      </c>
      <c r="B18" s="513" t="str">
        <f>'Schedule 2D Adjustments'!B17:D17</f>
        <v>Mobile Early Intervention Services</v>
      </c>
      <c r="C18" s="513"/>
      <c r="D18" s="513"/>
      <c r="F18" s="117">
        <f>'Schedule 2D Adjustments'!H17</f>
        <v>355097.70095643448</v>
      </c>
      <c r="G18" s="68">
        <f>'Schedule 2D Adjustments'!J17</f>
        <v>109612.56885866387</v>
      </c>
      <c r="H18" s="68">
        <f t="shared" si="0"/>
        <v>464710.26981509838</v>
      </c>
      <c r="J18" s="117">
        <f>'Schedule 2D Adjustments'!P17</f>
        <v>0</v>
      </c>
      <c r="K18" s="68">
        <f>'Schedule 2D Adjustments'!R17</f>
        <v>0</v>
      </c>
      <c r="L18" s="68">
        <f t="shared" si="1"/>
        <v>0</v>
      </c>
      <c r="N18" s="120">
        <f>'Schedule 2D Adjustments'!X17</f>
        <v>3.6383333333333336</v>
      </c>
      <c r="O18" s="120">
        <f>'Schedule 2D Adjustments'!AA17</f>
        <v>764</v>
      </c>
    </row>
    <row r="19" spans="1:15" x14ac:dyDescent="0.35">
      <c r="A19" s="24">
        <v>4</v>
      </c>
      <c r="B19" s="513" t="str">
        <f>'Schedule 2D Adjustments'!B18:D18</f>
        <v>Multi-Systemic Therapy (MST)</v>
      </c>
      <c r="C19" s="513"/>
      <c r="D19" s="513"/>
      <c r="F19" s="117">
        <f>'Schedule 2D Adjustments'!H18</f>
        <v>651233.26176527701</v>
      </c>
      <c r="G19" s="68">
        <f>'Schedule 2D Adjustments'!J18</f>
        <v>201024.5365037056</v>
      </c>
      <c r="H19" s="68">
        <f t="shared" si="0"/>
        <v>852257.79826898267</v>
      </c>
      <c r="J19" s="117">
        <f>'Schedule 2D Adjustments'!P18</f>
        <v>0</v>
      </c>
      <c r="K19" s="68">
        <f>'Schedule 2D Adjustments'!R18</f>
        <v>0</v>
      </c>
      <c r="L19" s="68">
        <f t="shared" si="1"/>
        <v>0</v>
      </c>
      <c r="N19" s="120">
        <f>'Schedule 2D Adjustments'!X18</f>
        <v>5.9833333333333334</v>
      </c>
      <c r="O19" s="120">
        <f>'Schedule 2D Adjustments'!AA18</f>
        <v>170</v>
      </c>
    </row>
    <row r="20" spans="1:15" x14ac:dyDescent="0.35">
      <c r="A20" s="24">
        <v>5</v>
      </c>
      <c r="B20" s="513" t="str">
        <f>'Schedule 2D Adjustments'!B19:D19</f>
        <v/>
      </c>
      <c r="C20" s="513"/>
      <c r="D20" s="513"/>
      <c r="F20" s="117">
        <f>'Schedule 2D Adjustments'!H19</f>
        <v>0</v>
      </c>
      <c r="G20" s="68">
        <f>'Schedule 2D Adjustments'!J19</f>
        <v>0</v>
      </c>
      <c r="H20" s="68">
        <f t="shared" si="0"/>
        <v>0</v>
      </c>
      <c r="J20" s="117">
        <f>'Schedule 2D Adjustments'!P19</f>
        <v>0</v>
      </c>
      <c r="K20" s="68">
        <f>'Schedule 2D Adjustments'!R19</f>
        <v>0</v>
      </c>
      <c r="L20" s="68">
        <f t="shared" si="1"/>
        <v>0</v>
      </c>
      <c r="N20" s="120">
        <f>'Schedule 2D Adjustments'!X19</f>
        <v>0</v>
      </c>
      <c r="O20" s="120">
        <f>'Schedule 2D Adjustments'!AA19</f>
        <v>0</v>
      </c>
    </row>
    <row r="21" spans="1:15" x14ac:dyDescent="0.35">
      <c r="A21" s="24">
        <v>6</v>
      </c>
      <c r="B21" s="513" t="str">
        <f>'Schedule 2D Adjustments'!B20:D20</f>
        <v/>
      </c>
      <c r="C21" s="513"/>
      <c r="D21" s="513"/>
      <c r="F21" s="117">
        <f>'Schedule 2D Adjustments'!H20</f>
        <v>0</v>
      </c>
      <c r="G21" s="68">
        <f>'Schedule 2D Adjustments'!J20</f>
        <v>0</v>
      </c>
      <c r="H21" s="68">
        <f t="shared" si="0"/>
        <v>0</v>
      </c>
      <c r="J21" s="117">
        <f>'Schedule 2D Adjustments'!P20</f>
        <v>0</v>
      </c>
      <c r="K21" s="68">
        <f>'Schedule 2D Adjustments'!R20</f>
        <v>0</v>
      </c>
      <c r="L21" s="68">
        <f t="shared" si="1"/>
        <v>0</v>
      </c>
      <c r="N21" s="120">
        <f>'Schedule 2D Adjustments'!X20</f>
        <v>0</v>
      </c>
      <c r="O21" s="120">
        <f>'Schedule 2D Adjustments'!AA20</f>
        <v>0</v>
      </c>
    </row>
    <row r="22" spans="1:15" x14ac:dyDescent="0.35">
      <c r="A22" s="24">
        <v>7</v>
      </c>
      <c r="B22" s="513" t="str">
        <f>'Schedule 2D Adjustments'!B21:D21</f>
        <v/>
      </c>
      <c r="C22" s="513"/>
      <c r="D22" s="513"/>
      <c r="F22" s="117">
        <f>'Schedule 2D Adjustments'!H21</f>
        <v>0</v>
      </c>
      <c r="G22" s="68">
        <f>'Schedule 2D Adjustments'!J21</f>
        <v>0</v>
      </c>
      <c r="H22" s="68">
        <f t="shared" si="0"/>
        <v>0</v>
      </c>
      <c r="J22" s="117">
        <f>'Schedule 2D Adjustments'!P21</f>
        <v>0</v>
      </c>
      <c r="K22" s="68">
        <f>'Schedule 2D Adjustments'!R21</f>
        <v>0</v>
      </c>
      <c r="L22" s="68">
        <f t="shared" si="1"/>
        <v>0</v>
      </c>
      <c r="N22" s="120">
        <f>'Schedule 2D Adjustments'!X21</f>
        <v>0</v>
      </c>
      <c r="O22" s="120">
        <f>'Schedule 2D Adjustments'!AA21</f>
        <v>0</v>
      </c>
    </row>
    <row r="23" spans="1:15" x14ac:dyDescent="0.35">
      <c r="A23" s="24">
        <v>8</v>
      </c>
      <c r="B23" s="513" t="str">
        <f>'Schedule 2D Adjustments'!B22:D22</f>
        <v/>
      </c>
      <c r="C23" s="513"/>
      <c r="D23" s="513"/>
      <c r="F23" s="117">
        <f>'Schedule 2D Adjustments'!H22</f>
        <v>0</v>
      </c>
      <c r="G23" s="68">
        <f>'Schedule 2D Adjustments'!J22</f>
        <v>0</v>
      </c>
      <c r="H23" s="68">
        <f t="shared" si="0"/>
        <v>0</v>
      </c>
      <c r="J23" s="117">
        <f>'Schedule 2D Adjustments'!P22</f>
        <v>0</v>
      </c>
      <c r="K23" s="68">
        <f>'Schedule 2D Adjustments'!R22</f>
        <v>0</v>
      </c>
      <c r="L23" s="68">
        <f t="shared" si="1"/>
        <v>0</v>
      </c>
      <c r="N23" s="120">
        <f>'Schedule 2D Adjustments'!X22</f>
        <v>0</v>
      </c>
      <c r="O23" s="120">
        <f>'Schedule 2D Adjustments'!AA22</f>
        <v>0</v>
      </c>
    </row>
    <row r="24" spans="1:15" x14ac:dyDescent="0.35">
      <c r="A24" s="24">
        <v>9</v>
      </c>
      <c r="B24" s="513" t="str">
        <f>'Schedule 2D Adjustments'!B23:D23</f>
        <v/>
      </c>
      <c r="C24" s="513"/>
      <c r="D24" s="513"/>
      <c r="F24" s="117">
        <f>'Schedule 2D Adjustments'!H23</f>
        <v>0</v>
      </c>
      <c r="G24" s="68">
        <f>'Schedule 2D Adjustments'!J23</f>
        <v>0</v>
      </c>
      <c r="H24" s="68">
        <f t="shared" si="0"/>
        <v>0</v>
      </c>
      <c r="J24" s="117">
        <f>'Schedule 2D Adjustments'!P23</f>
        <v>0</v>
      </c>
      <c r="K24" s="68">
        <f>'Schedule 2D Adjustments'!R23</f>
        <v>0</v>
      </c>
      <c r="L24" s="68">
        <f t="shared" si="1"/>
        <v>0</v>
      </c>
      <c r="N24" s="120">
        <f>'Schedule 2D Adjustments'!X23</f>
        <v>0</v>
      </c>
      <c r="O24" s="120">
        <f>'Schedule 2D Adjustments'!AA23</f>
        <v>0</v>
      </c>
    </row>
    <row r="25" spans="1:15" x14ac:dyDescent="0.35">
      <c r="A25" s="24">
        <v>10</v>
      </c>
      <c r="B25" s="513" t="str">
        <f>'Schedule 2D Adjustments'!B24:D24</f>
        <v/>
      </c>
      <c r="C25" s="513"/>
      <c r="D25" s="513"/>
      <c r="F25" s="117">
        <f>'Schedule 2D Adjustments'!H24</f>
        <v>0</v>
      </c>
      <c r="G25" s="68">
        <f>'Schedule 2D Adjustments'!J24</f>
        <v>0</v>
      </c>
      <c r="H25" s="68">
        <f t="shared" si="0"/>
        <v>0</v>
      </c>
      <c r="J25" s="117">
        <f>'Schedule 2D Adjustments'!P24</f>
        <v>0</v>
      </c>
      <c r="K25" s="68">
        <f>'Schedule 2D Adjustments'!R24</f>
        <v>0</v>
      </c>
      <c r="L25" s="68">
        <f t="shared" si="1"/>
        <v>0</v>
      </c>
      <c r="N25" s="120">
        <f>'Schedule 2D Adjustments'!X24</f>
        <v>0</v>
      </c>
      <c r="O25" s="120">
        <f>'Schedule 2D Adjustments'!AA24</f>
        <v>0</v>
      </c>
    </row>
    <row r="26" spans="1:15" x14ac:dyDescent="0.35">
      <c r="A26" s="24">
        <v>11</v>
      </c>
      <c r="B26" s="513" t="str">
        <f>'Schedule 2D Adjustments'!B25:D25</f>
        <v/>
      </c>
      <c r="C26" s="513"/>
      <c r="D26" s="513"/>
      <c r="F26" s="117">
        <f>'Schedule 2D Adjustments'!H25</f>
        <v>0</v>
      </c>
      <c r="G26" s="68">
        <f>'Schedule 2D Adjustments'!J25</f>
        <v>0</v>
      </c>
      <c r="H26" s="68">
        <f t="shared" si="0"/>
        <v>0</v>
      </c>
      <c r="J26" s="117">
        <f>'Schedule 2D Adjustments'!P25</f>
        <v>0</v>
      </c>
      <c r="K26" s="68">
        <f>'Schedule 2D Adjustments'!R25</f>
        <v>0</v>
      </c>
      <c r="L26" s="68">
        <f t="shared" si="1"/>
        <v>0</v>
      </c>
      <c r="N26" s="120">
        <f>'Schedule 2D Adjustments'!X25</f>
        <v>0</v>
      </c>
      <c r="O26" s="120">
        <f>'Schedule 2D Adjustments'!AA25</f>
        <v>0</v>
      </c>
    </row>
    <row r="27" spans="1:15" x14ac:dyDescent="0.35">
      <c r="A27" s="24">
        <v>12</v>
      </c>
      <c r="B27" s="513" t="str">
        <f>'Schedule 2D Adjustments'!B26:D26</f>
        <v/>
      </c>
      <c r="C27" s="513"/>
      <c r="D27" s="513"/>
      <c r="F27" s="117">
        <f>'Schedule 2D Adjustments'!H26</f>
        <v>0</v>
      </c>
      <c r="G27" s="68">
        <f>'Schedule 2D Adjustments'!J26</f>
        <v>0</v>
      </c>
      <c r="H27" s="68">
        <f t="shared" si="0"/>
        <v>0</v>
      </c>
      <c r="J27" s="117">
        <f>'Schedule 2D Adjustments'!P26</f>
        <v>0</v>
      </c>
      <c r="K27" s="68">
        <f>'Schedule 2D Adjustments'!R26</f>
        <v>0</v>
      </c>
      <c r="L27" s="68">
        <f t="shared" si="1"/>
        <v>0</v>
      </c>
      <c r="N27" s="120">
        <f>'Schedule 2D Adjustments'!X26</f>
        <v>0</v>
      </c>
      <c r="O27" s="120">
        <f>'Schedule 2D Adjustments'!AA26</f>
        <v>0</v>
      </c>
    </row>
    <row r="28" spans="1:15" x14ac:dyDescent="0.35">
      <c r="A28" s="24">
        <v>13</v>
      </c>
      <c r="B28" s="513" t="str">
        <f>'Schedule 2D Adjustments'!B27:D27</f>
        <v/>
      </c>
      <c r="C28" s="513"/>
      <c r="D28" s="513"/>
      <c r="F28" s="117">
        <f>'Schedule 2D Adjustments'!H27</f>
        <v>0</v>
      </c>
      <c r="G28" s="68">
        <f>'Schedule 2D Adjustments'!J27</f>
        <v>0</v>
      </c>
      <c r="H28" s="68">
        <f t="shared" si="0"/>
        <v>0</v>
      </c>
      <c r="J28" s="117">
        <f>'Schedule 2D Adjustments'!P27</f>
        <v>0</v>
      </c>
      <c r="K28" s="68">
        <f>'Schedule 2D Adjustments'!R27</f>
        <v>0</v>
      </c>
      <c r="L28" s="68">
        <f t="shared" si="1"/>
        <v>0</v>
      </c>
      <c r="N28" s="120">
        <f>'Schedule 2D Adjustments'!X27</f>
        <v>0</v>
      </c>
      <c r="O28" s="120">
        <f>'Schedule 2D Adjustments'!AA27</f>
        <v>0</v>
      </c>
    </row>
    <row r="29" spans="1:15" x14ac:dyDescent="0.35">
      <c r="A29" s="24">
        <v>14</v>
      </c>
      <c r="B29" s="513" t="str">
        <f>'Schedule 2D Adjustments'!B28:D28</f>
        <v/>
      </c>
      <c r="C29" s="513"/>
      <c r="D29" s="513"/>
      <c r="F29" s="117">
        <f>'Schedule 2D Adjustments'!H28</f>
        <v>0</v>
      </c>
      <c r="G29" s="68">
        <f>'Schedule 2D Adjustments'!J28</f>
        <v>0</v>
      </c>
      <c r="H29" s="68">
        <f t="shared" si="0"/>
        <v>0</v>
      </c>
      <c r="J29" s="117">
        <f>'Schedule 2D Adjustments'!P28</f>
        <v>0</v>
      </c>
      <c r="K29" s="68">
        <f>'Schedule 2D Adjustments'!R28</f>
        <v>0</v>
      </c>
      <c r="L29" s="68">
        <f t="shared" si="1"/>
        <v>0</v>
      </c>
      <c r="N29" s="120">
        <f>'Schedule 2D Adjustments'!X28</f>
        <v>0</v>
      </c>
      <c r="O29" s="120">
        <f>'Schedule 2D Adjustments'!AA28</f>
        <v>0</v>
      </c>
    </row>
    <row r="30" spans="1:15" x14ac:dyDescent="0.35">
      <c r="A30" s="24">
        <v>15</v>
      </c>
      <c r="B30" s="513" t="str">
        <f>'Schedule 2D Adjustments'!B29:D29</f>
        <v/>
      </c>
      <c r="C30" s="513"/>
      <c r="D30" s="513"/>
      <c r="F30" s="117">
        <f>'Schedule 2D Adjustments'!H29</f>
        <v>0</v>
      </c>
      <c r="G30" s="68">
        <f>'Schedule 2D Adjustments'!J29</f>
        <v>0</v>
      </c>
      <c r="H30" s="68">
        <f t="shared" si="0"/>
        <v>0</v>
      </c>
      <c r="J30" s="117">
        <f>'Schedule 2D Adjustments'!P29</f>
        <v>0</v>
      </c>
      <c r="K30" s="68">
        <f>'Schedule 2D Adjustments'!R29</f>
        <v>0</v>
      </c>
      <c r="L30" s="68">
        <f t="shared" si="1"/>
        <v>0</v>
      </c>
      <c r="N30" s="120">
        <f>'Schedule 2D Adjustments'!X29</f>
        <v>0</v>
      </c>
      <c r="O30" s="120">
        <f>'Schedule 2D Adjustments'!AA29</f>
        <v>0</v>
      </c>
    </row>
    <row r="31" spans="1:15" x14ac:dyDescent="0.35">
      <c r="A31" s="24">
        <v>16</v>
      </c>
      <c r="B31" s="513" t="str">
        <f>'Schedule 2D Adjustments'!B30:D30</f>
        <v/>
      </c>
      <c r="C31" s="513"/>
      <c r="D31" s="513"/>
      <c r="F31" s="117">
        <f>'Schedule 2D Adjustments'!H30</f>
        <v>0</v>
      </c>
      <c r="G31" s="68">
        <f>'Schedule 2D Adjustments'!J30</f>
        <v>0</v>
      </c>
      <c r="H31" s="68">
        <f t="shared" si="0"/>
        <v>0</v>
      </c>
      <c r="J31" s="117">
        <f>'Schedule 2D Adjustments'!P30</f>
        <v>0</v>
      </c>
      <c r="K31" s="68">
        <f>'Schedule 2D Adjustments'!R30</f>
        <v>0</v>
      </c>
      <c r="L31" s="68">
        <f t="shared" si="1"/>
        <v>0</v>
      </c>
      <c r="N31" s="120">
        <f>'Schedule 2D Adjustments'!X30</f>
        <v>0</v>
      </c>
      <c r="O31" s="120">
        <f>'Schedule 2D Adjustments'!AA30</f>
        <v>0</v>
      </c>
    </row>
    <row r="32" spans="1:15" x14ac:dyDescent="0.35">
      <c r="A32" s="24">
        <v>17</v>
      </c>
      <c r="B32" s="513" t="str">
        <f>'Schedule 2D Adjustments'!B31:D31</f>
        <v/>
      </c>
      <c r="C32" s="513"/>
      <c r="D32" s="513"/>
      <c r="F32" s="117">
        <f>'Schedule 2D Adjustments'!H31</f>
        <v>0</v>
      </c>
      <c r="G32" s="68">
        <f>'Schedule 2D Adjustments'!J31</f>
        <v>0</v>
      </c>
      <c r="H32" s="68">
        <f t="shared" si="0"/>
        <v>0</v>
      </c>
      <c r="J32" s="117">
        <f>'Schedule 2D Adjustments'!P31</f>
        <v>0</v>
      </c>
      <c r="K32" s="68">
        <f>'Schedule 2D Adjustments'!R31</f>
        <v>0</v>
      </c>
      <c r="L32" s="68">
        <f t="shared" si="1"/>
        <v>0</v>
      </c>
      <c r="N32" s="120">
        <f>'Schedule 2D Adjustments'!X31</f>
        <v>0</v>
      </c>
      <c r="O32" s="120">
        <f>'Schedule 2D Adjustments'!AA31</f>
        <v>0</v>
      </c>
    </row>
    <row r="33" spans="1:15" x14ac:dyDescent="0.35">
      <c r="A33" s="24">
        <v>18</v>
      </c>
      <c r="B33" s="513" t="str">
        <f>'Schedule 2D Adjustments'!B32:D32</f>
        <v/>
      </c>
      <c r="C33" s="513"/>
      <c r="D33" s="513"/>
      <c r="F33" s="117">
        <f>'Schedule 2D Adjustments'!H32</f>
        <v>0</v>
      </c>
      <c r="G33" s="68">
        <f>'Schedule 2D Adjustments'!J32</f>
        <v>0</v>
      </c>
      <c r="H33" s="68">
        <f t="shared" si="0"/>
        <v>0</v>
      </c>
      <c r="J33" s="117">
        <f>'Schedule 2D Adjustments'!P32</f>
        <v>0</v>
      </c>
      <c r="K33" s="68">
        <f>'Schedule 2D Adjustments'!R32</f>
        <v>0</v>
      </c>
      <c r="L33" s="68">
        <f t="shared" si="1"/>
        <v>0</v>
      </c>
      <c r="N33" s="120">
        <f>'Schedule 2D Adjustments'!X32</f>
        <v>0</v>
      </c>
      <c r="O33" s="120">
        <f>'Schedule 2D Adjustments'!AA32</f>
        <v>0</v>
      </c>
    </row>
    <row r="34" spans="1:15" x14ac:dyDescent="0.35">
      <c r="A34" s="24">
        <v>19</v>
      </c>
      <c r="B34" s="513" t="str">
        <f>'Schedule 2D Adjustments'!B33:D33</f>
        <v/>
      </c>
      <c r="C34" s="513"/>
      <c r="D34" s="513"/>
      <c r="F34" s="117">
        <f>'Schedule 2D Adjustments'!H33</f>
        <v>0</v>
      </c>
      <c r="G34" s="68">
        <f>'Schedule 2D Adjustments'!J33</f>
        <v>0</v>
      </c>
      <c r="H34" s="68">
        <f t="shared" si="0"/>
        <v>0</v>
      </c>
      <c r="J34" s="117">
        <f>'Schedule 2D Adjustments'!P33</f>
        <v>0</v>
      </c>
      <c r="K34" s="68">
        <f>'Schedule 2D Adjustments'!R33</f>
        <v>0</v>
      </c>
      <c r="L34" s="68">
        <f t="shared" si="1"/>
        <v>0</v>
      </c>
      <c r="N34" s="120">
        <f>'Schedule 2D Adjustments'!X33</f>
        <v>0</v>
      </c>
      <c r="O34" s="120">
        <f>'Schedule 2D Adjustments'!AA33</f>
        <v>0</v>
      </c>
    </row>
    <row r="35" spans="1:15" x14ac:dyDescent="0.35">
      <c r="A35" s="24">
        <v>20</v>
      </c>
      <c r="B35" s="513" t="str">
        <f>'Schedule 2D Adjustments'!B34:D34</f>
        <v/>
      </c>
      <c r="C35" s="513"/>
      <c r="D35" s="513"/>
      <c r="F35" s="117">
        <f>'Schedule 2D Adjustments'!H34</f>
        <v>0</v>
      </c>
      <c r="G35" s="68">
        <f>'Schedule 2D Adjustments'!J34</f>
        <v>0</v>
      </c>
      <c r="H35" s="68">
        <f t="shared" si="0"/>
        <v>0</v>
      </c>
      <c r="J35" s="117">
        <f>'Schedule 2D Adjustments'!P34</f>
        <v>0</v>
      </c>
      <c r="K35" s="68">
        <f>'Schedule 2D Adjustments'!R34</f>
        <v>0</v>
      </c>
      <c r="L35" s="68">
        <f t="shared" si="1"/>
        <v>0</v>
      </c>
      <c r="N35" s="120">
        <f>'Schedule 2D Adjustments'!X34</f>
        <v>0</v>
      </c>
      <c r="O35" s="120">
        <f>'Schedule 2D Adjustments'!AA34</f>
        <v>0</v>
      </c>
    </row>
    <row r="36" spans="1:15" x14ac:dyDescent="0.35">
      <c r="A36" s="24">
        <v>21</v>
      </c>
      <c r="B36" s="513" t="str">
        <f>'Schedule 2D Adjustments'!B35:D35</f>
        <v/>
      </c>
      <c r="C36" s="513"/>
      <c r="D36" s="513"/>
      <c r="F36" s="117">
        <f>'Schedule 2D Adjustments'!H35</f>
        <v>0</v>
      </c>
      <c r="G36" s="68">
        <f>'Schedule 2D Adjustments'!J35</f>
        <v>0</v>
      </c>
      <c r="H36" s="68">
        <f t="shared" si="0"/>
        <v>0</v>
      </c>
      <c r="J36" s="117">
        <f>'Schedule 2D Adjustments'!P35</f>
        <v>0</v>
      </c>
      <c r="K36" s="68">
        <f>'Schedule 2D Adjustments'!R35</f>
        <v>0</v>
      </c>
      <c r="L36" s="68">
        <f t="shared" si="1"/>
        <v>0</v>
      </c>
      <c r="N36" s="120">
        <f>'Schedule 2D Adjustments'!X35</f>
        <v>0</v>
      </c>
      <c r="O36" s="120">
        <f>'Schedule 2D Adjustments'!AA35</f>
        <v>0</v>
      </c>
    </row>
    <row r="37" spans="1:15" x14ac:dyDescent="0.35">
      <c r="A37" s="24">
        <v>22</v>
      </c>
      <c r="B37" s="513" t="str">
        <f>'Schedule 2D Adjustments'!B36:D36</f>
        <v/>
      </c>
      <c r="C37" s="513"/>
      <c r="D37" s="513"/>
      <c r="F37" s="117">
        <f>'Schedule 2D Adjustments'!H36</f>
        <v>0</v>
      </c>
      <c r="G37" s="68">
        <f>'Schedule 2D Adjustments'!J36</f>
        <v>0</v>
      </c>
      <c r="H37" s="68">
        <f t="shared" si="0"/>
        <v>0</v>
      </c>
      <c r="J37" s="117">
        <f>'Schedule 2D Adjustments'!P36</f>
        <v>0</v>
      </c>
      <c r="K37" s="68">
        <f>'Schedule 2D Adjustments'!R36</f>
        <v>0</v>
      </c>
      <c r="L37" s="68">
        <f t="shared" si="1"/>
        <v>0</v>
      </c>
      <c r="N37" s="120">
        <f>'Schedule 2D Adjustments'!X36</f>
        <v>0</v>
      </c>
      <c r="O37" s="120">
        <f>'Schedule 2D Adjustments'!AA36</f>
        <v>0</v>
      </c>
    </row>
    <row r="38" spans="1:15" x14ac:dyDescent="0.35">
      <c r="A38" s="24">
        <v>23</v>
      </c>
      <c r="B38" s="513" t="str">
        <f>'Schedule 2D Adjustments'!B37:D37</f>
        <v/>
      </c>
      <c r="C38" s="513"/>
      <c r="D38" s="513"/>
      <c r="F38" s="117">
        <f>'Schedule 2D Adjustments'!H37</f>
        <v>0</v>
      </c>
      <c r="G38" s="68">
        <f>'Schedule 2D Adjustments'!J37</f>
        <v>0</v>
      </c>
      <c r="H38" s="68">
        <f t="shared" si="0"/>
        <v>0</v>
      </c>
      <c r="J38" s="117">
        <f>'Schedule 2D Adjustments'!P37</f>
        <v>0</v>
      </c>
      <c r="K38" s="68">
        <f>'Schedule 2D Adjustments'!R37</f>
        <v>0</v>
      </c>
      <c r="L38" s="68">
        <f t="shared" si="1"/>
        <v>0</v>
      </c>
      <c r="N38" s="120">
        <f>'Schedule 2D Adjustments'!X37</f>
        <v>0</v>
      </c>
      <c r="O38" s="120">
        <f>'Schedule 2D Adjustments'!AA37</f>
        <v>0</v>
      </c>
    </row>
    <row r="39" spans="1:15" x14ac:dyDescent="0.35">
      <c r="A39" s="24">
        <v>24</v>
      </c>
      <c r="B39" s="513" t="str">
        <f>'Schedule 2D Adjustments'!B38:D38</f>
        <v/>
      </c>
      <c r="C39" s="513"/>
      <c r="D39" s="513"/>
      <c r="F39" s="117">
        <f>'Schedule 2D Adjustments'!H38</f>
        <v>0</v>
      </c>
      <c r="G39" s="68">
        <f>'Schedule 2D Adjustments'!J38</f>
        <v>0</v>
      </c>
      <c r="H39" s="68">
        <f t="shared" si="0"/>
        <v>0</v>
      </c>
      <c r="J39" s="117">
        <f>'Schedule 2D Adjustments'!P38</f>
        <v>0</v>
      </c>
      <c r="K39" s="68">
        <f>'Schedule 2D Adjustments'!R38</f>
        <v>0</v>
      </c>
      <c r="L39" s="68">
        <f t="shared" si="1"/>
        <v>0</v>
      </c>
      <c r="N39" s="120">
        <f>'Schedule 2D Adjustments'!X38</f>
        <v>0</v>
      </c>
      <c r="O39" s="120">
        <f>'Schedule 2D Adjustments'!AA38</f>
        <v>0</v>
      </c>
    </row>
    <row r="40" spans="1:15" x14ac:dyDescent="0.35">
      <c r="A40" s="24">
        <v>25</v>
      </c>
      <c r="B40" s="513" t="str">
        <f>'Schedule 2D Adjustments'!B39:D39</f>
        <v/>
      </c>
      <c r="C40" s="513"/>
      <c r="D40" s="513"/>
      <c r="F40" s="117">
        <f>'Schedule 2D Adjustments'!H39</f>
        <v>0</v>
      </c>
      <c r="G40" s="68">
        <f>'Schedule 2D Adjustments'!J39</f>
        <v>0</v>
      </c>
      <c r="H40" s="68">
        <f t="shared" si="0"/>
        <v>0</v>
      </c>
      <c r="J40" s="117">
        <f>'Schedule 2D Adjustments'!P39</f>
        <v>0</v>
      </c>
      <c r="K40" s="68">
        <f>'Schedule 2D Adjustments'!R39</f>
        <v>0</v>
      </c>
      <c r="L40" s="68">
        <f t="shared" si="1"/>
        <v>0</v>
      </c>
      <c r="N40" s="120">
        <f>'Schedule 2D Adjustments'!X39</f>
        <v>0</v>
      </c>
      <c r="O40" s="120">
        <f>'Schedule 2D Adjustments'!AA39</f>
        <v>0</v>
      </c>
    </row>
    <row r="41" spans="1:15" x14ac:dyDescent="0.35">
      <c r="A41" s="24">
        <v>26</v>
      </c>
      <c r="B41" s="513" t="str">
        <f>'Schedule 2D Adjustments'!B40:D40</f>
        <v/>
      </c>
      <c r="C41" s="513"/>
      <c r="D41" s="513"/>
      <c r="F41" s="117">
        <f>'Schedule 2D Adjustments'!H40</f>
        <v>0</v>
      </c>
      <c r="G41" s="68">
        <f>'Schedule 2D Adjustments'!J40</f>
        <v>0</v>
      </c>
      <c r="H41" s="68">
        <f t="shared" si="0"/>
        <v>0</v>
      </c>
      <c r="J41" s="117">
        <f>'Schedule 2D Adjustments'!P40</f>
        <v>0</v>
      </c>
      <c r="K41" s="68">
        <f>'Schedule 2D Adjustments'!R40</f>
        <v>0</v>
      </c>
      <c r="L41" s="68">
        <f t="shared" si="1"/>
        <v>0</v>
      </c>
      <c r="N41" s="120">
        <f>'Schedule 2D Adjustments'!X40</f>
        <v>0</v>
      </c>
      <c r="O41" s="120">
        <f>'Schedule 2D Adjustments'!AA40</f>
        <v>0</v>
      </c>
    </row>
    <row r="42" spans="1:15" x14ac:dyDescent="0.35">
      <c r="A42" s="24">
        <v>27</v>
      </c>
      <c r="B42" s="513" t="str">
        <f>'Schedule 2D Adjustments'!B41:D41</f>
        <v/>
      </c>
      <c r="C42" s="513"/>
      <c r="D42" s="513"/>
      <c r="F42" s="117">
        <f>'Schedule 2D Adjustments'!H41</f>
        <v>0</v>
      </c>
      <c r="G42" s="68">
        <f>'Schedule 2D Adjustments'!J41</f>
        <v>0</v>
      </c>
      <c r="H42" s="68">
        <f t="shared" si="0"/>
        <v>0</v>
      </c>
      <c r="J42" s="117">
        <f>'Schedule 2D Adjustments'!P41</f>
        <v>0</v>
      </c>
      <c r="K42" s="68">
        <f>'Schedule 2D Adjustments'!R41</f>
        <v>0</v>
      </c>
      <c r="L42" s="68">
        <f t="shared" si="1"/>
        <v>0</v>
      </c>
      <c r="N42" s="120">
        <f>'Schedule 2D Adjustments'!X41</f>
        <v>0</v>
      </c>
      <c r="O42" s="120">
        <f>'Schedule 2D Adjustments'!AA41</f>
        <v>0</v>
      </c>
    </row>
    <row r="43" spans="1:15" x14ac:dyDescent="0.35">
      <c r="A43" s="24">
        <v>28</v>
      </c>
      <c r="B43" s="513" t="str">
        <f>'Schedule 2D Adjustments'!B42:D42</f>
        <v/>
      </c>
      <c r="C43" s="513"/>
      <c r="D43" s="513"/>
      <c r="F43" s="117">
        <f>'Schedule 2D Adjustments'!H42</f>
        <v>0</v>
      </c>
      <c r="G43" s="68">
        <f>'Schedule 2D Adjustments'!J42</f>
        <v>0</v>
      </c>
      <c r="H43" s="68">
        <f t="shared" si="0"/>
        <v>0</v>
      </c>
      <c r="J43" s="117">
        <f>'Schedule 2D Adjustments'!P42</f>
        <v>0</v>
      </c>
      <c r="K43" s="68">
        <f>'Schedule 2D Adjustments'!R42</f>
        <v>0</v>
      </c>
      <c r="L43" s="68">
        <f t="shared" si="1"/>
        <v>0</v>
      </c>
      <c r="N43" s="120">
        <f>'Schedule 2D Adjustments'!X42</f>
        <v>0</v>
      </c>
      <c r="O43" s="120">
        <f>'Schedule 2D Adjustments'!AA42</f>
        <v>0</v>
      </c>
    </row>
    <row r="44" spans="1:15" x14ac:dyDescent="0.35">
      <c r="A44" s="24">
        <v>29</v>
      </c>
      <c r="B44" s="513" t="str">
        <f>'Schedule 2D Adjustments'!B43:D43</f>
        <v/>
      </c>
      <c r="C44" s="513"/>
      <c r="D44" s="513"/>
      <c r="F44" s="117">
        <f>'Schedule 2D Adjustments'!H43</f>
        <v>0</v>
      </c>
      <c r="G44" s="68">
        <f>'Schedule 2D Adjustments'!J43</f>
        <v>0</v>
      </c>
      <c r="H44" s="68">
        <f t="shared" si="0"/>
        <v>0</v>
      </c>
      <c r="J44" s="117">
        <f>'Schedule 2D Adjustments'!P43</f>
        <v>0</v>
      </c>
      <c r="K44" s="68">
        <f>'Schedule 2D Adjustments'!R43</f>
        <v>0</v>
      </c>
      <c r="L44" s="68">
        <f t="shared" si="1"/>
        <v>0</v>
      </c>
      <c r="N44" s="120">
        <f>'Schedule 2D Adjustments'!X43</f>
        <v>0</v>
      </c>
      <c r="O44" s="120">
        <f>'Schedule 2D Adjustments'!AA43</f>
        <v>0</v>
      </c>
    </row>
    <row r="45" spans="1:15" x14ac:dyDescent="0.35">
      <c r="A45" s="24">
        <v>30</v>
      </c>
      <c r="B45" s="513" t="str">
        <f>'Schedule 2D Adjustments'!B44:D44</f>
        <v/>
      </c>
      <c r="C45" s="513"/>
      <c r="D45" s="513"/>
      <c r="F45" s="117">
        <f>'Schedule 2D Adjustments'!H44</f>
        <v>0</v>
      </c>
      <c r="G45" s="68">
        <f>'Schedule 2D Adjustments'!J44</f>
        <v>0</v>
      </c>
      <c r="H45" s="68">
        <f t="shared" si="0"/>
        <v>0</v>
      </c>
      <c r="J45" s="117">
        <f>'Schedule 2D Adjustments'!P44</f>
        <v>0</v>
      </c>
      <c r="K45" s="68">
        <f>'Schedule 2D Adjustments'!R44</f>
        <v>0</v>
      </c>
      <c r="L45" s="68">
        <f t="shared" si="1"/>
        <v>0</v>
      </c>
      <c r="N45" s="120">
        <f>'Schedule 2D Adjustments'!X44</f>
        <v>0</v>
      </c>
      <c r="O45" s="120">
        <f>'Schedule 2D Adjustments'!AA44</f>
        <v>0</v>
      </c>
    </row>
    <row r="46" spans="1:15" x14ac:dyDescent="0.35">
      <c r="A46" s="24">
        <v>31</v>
      </c>
      <c r="B46" s="513" t="str">
        <f>'Schedule 2D Adjustments'!B45:D45</f>
        <v/>
      </c>
      <c r="C46" s="513"/>
      <c r="D46" s="513"/>
      <c r="F46" s="117">
        <f>'Schedule 2D Adjustments'!H45</f>
        <v>0</v>
      </c>
      <c r="G46" s="68">
        <f>'Schedule 2D Adjustments'!J45</f>
        <v>0</v>
      </c>
      <c r="H46" s="68">
        <f t="shared" si="0"/>
        <v>0</v>
      </c>
      <c r="J46" s="117">
        <f>'Schedule 2D Adjustments'!P45</f>
        <v>0</v>
      </c>
      <c r="K46" s="68">
        <f>'Schedule 2D Adjustments'!R45</f>
        <v>0</v>
      </c>
      <c r="L46" s="68">
        <f t="shared" si="1"/>
        <v>0</v>
      </c>
      <c r="N46" s="120">
        <f>'Schedule 2D Adjustments'!X45</f>
        <v>0</v>
      </c>
      <c r="O46" s="120">
        <f>'Schedule 2D Adjustments'!AA45</f>
        <v>0</v>
      </c>
    </row>
    <row r="47" spans="1:15" x14ac:dyDescent="0.35">
      <c r="A47" s="24">
        <v>32</v>
      </c>
      <c r="B47" s="513" t="str">
        <f>'Schedule 2D Adjustments'!B46:D46</f>
        <v/>
      </c>
      <c r="C47" s="513"/>
      <c r="D47" s="513"/>
      <c r="F47" s="117">
        <f>'Schedule 2D Adjustments'!H46</f>
        <v>0</v>
      </c>
      <c r="G47" s="68">
        <f>'Schedule 2D Adjustments'!J46</f>
        <v>0</v>
      </c>
      <c r="H47" s="68">
        <f t="shared" si="0"/>
        <v>0</v>
      </c>
      <c r="J47" s="117">
        <f>'Schedule 2D Adjustments'!P46</f>
        <v>0</v>
      </c>
      <c r="K47" s="68">
        <f>'Schedule 2D Adjustments'!R46</f>
        <v>0</v>
      </c>
      <c r="L47" s="68">
        <f t="shared" si="1"/>
        <v>0</v>
      </c>
      <c r="N47" s="120">
        <f>'Schedule 2D Adjustments'!X46</f>
        <v>0</v>
      </c>
      <c r="O47" s="120">
        <f>'Schedule 2D Adjustments'!AA46</f>
        <v>0</v>
      </c>
    </row>
    <row r="48" spans="1:15" x14ac:dyDescent="0.35">
      <c r="A48" s="24">
        <v>33</v>
      </c>
      <c r="B48" s="513" t="str">
        <f>'Schedule 2D Adjustments'!B47:D47</f>
        <v/>
      </c>
      <c r="C48" s="513"/>
      <c r="D48" s="513"/>
      <c r="F48" s="117">
        <f>'Schedule 2D Adjustments'!H47</f>
        <v>0</v>
      </c>
      <c r="G48" s="68">
        <f>'Schedule 2D Adjustments'!J47</f>
        <v>0</v>
      </c>
      <c r="H48" s="68">
        <f t="shared" si="0"/>
        <v>0</v>
      </c>
      <c r="J48" s="117">
        <f>'Schedule 2D Adjustments'!P47</f>
        <v>0</v>
      </c>
      <c r="K48" s="68">
        <f>'Schedule 2D Adjustments'!R47</f>
        <v>0</v>
      </c>
      <c r="L48" s="68">
        <f t="shared" si="1"/>
        <v>0</v>
      </c>
      <c r="N48" s="120">
        <f>'Schedule 2D Adjustments'!X47</f>
        <v>0</v>
      </c>
      <c r="O48" s="120">
        <f>'Schedule 2D Adjustments'!AA47</f>
        <v>0</v>
      </c>
    </row>
    <row r="49" spans="1:15" x14ac:dyDescent="0.35">
      <c r="A49" s="24">
        <v>34</v>
      </c>
      <c r="B49" s="513" t="str">
        <f>'Schedule 2D Adjustments'!B48:D48</f>
        <v/>
      </c>
      <c r="C49" s="513"/>
      <c r="D49" s="513"/>
      <c r="F49" s="117">
        <f>'Schedule 2D Adjustments'!H48</f>
        <v>0</v>
      </c>
      <c r="G49" s="68">
        <f>'Schedule 2D Adjustments'!J48</f>
        <v>0</v>
      </c>
      <c r="H49" s="68">
        <f t="shared" si="0"/>
        <v>0</v>
      </c>
      <c r="J49" s="117">
        <f>'Schedule 2D Adjustments'!P48</f>
        <v>0</v>
      </c>
      <c r="K49" s="68">
        <f>'Schedule 2D Adjustments'!R48</f>
        <v>0</v>
      </c>
      <c r="L49" s="68">
        <f t="shared" si="1"/>
        <v>0</v>
      </c>
      <c r="N49" s="120">
        <f>'Schedule 2D Adjustments'!X48</f>
        <v>0</v>
      </c>
      <c r="O49" s="120">
        <f>'Schedule 2D Adjustments'!AA48</f>
        <v>0</v>
      </c>
    </row>
    <row r="50" spans="1:15" x14ac:dyDescent="0.35">
      <c r="A50" s="24">
        <v>35</v>
      </c>
      <c r="B50" s="513" t="str">
        <f>'Schedule 2D Adjustments'!B49:D49</f>
        <v/>
      </c>
      <c r="C50" s="513"/>
      <c r="D50" s="513"/>
      <c r="F50" s="117">
        <f>'Schedule 2D Adjustments'!H49</f>
        <v>0</v>
      </c>
      <c r="G50" s="68">
        <f>'Schedule 2D Adjustments'!J49</f>
        <v>0</v>
      </c>
      <c r="H50" s="68">
        <f t="shared" si="0"/>
        <v>0</v>
      </c>
      <c r="J50" s="117">
        <f>'Schedule 2D Adjustments'!P49</f>
        <v>0</v>
      </c>
      <c r="K50" s="68">
        <f>'Schedule 2D Adjustments'!R49</f>
        <v>0</v>
      </c>
      <c r="L50" s="68">
        <f t="shared" si="1"/>
        <v>0</v>
      </c>
      <c r="N50" s="120">
        <f>'Schedule 2D Adjustments'!X49</f>
        <v>0</v>
      </c>
      <c r="O50" s="120">
        <f>'Schedule 2D Adjustments'!AA49</f>
        <v>0</v>
      </c>
    </row>
    <row r="51" spans="1:15" x14ac:dyDescent="0.35">
      <c r="A51" s="24">
        <v>36</v>
      </c>
      <c r="B51" s="513" t="str">
        <f>'Schedule 2D Adjustments'!B50:D50</f>
        <v/>
      </c>
      <c r="C51" s="513"/>
      <c r="D51" s="513"/>
      <c r="F51" s="117">
        <f>'Schedule 2D Adjustments'!H50</f>
        <v>0</v>
      </c>
      <c r="G51" s="68">
        <f>'Schedule 2D Adjustments'!J50</f>
        <v>0</v>
      </c>
      <c r="H51" s="68">
        <f t="shared" si="0"/>
        <v>0</v>
      </c>
      <c r="J51" s="117">
        <f>'Schedule 2D Adjustments'!P50</f>
        <v>0</v>
      </c>
      <c r="K51" s="68">
        <f>'Schedule 2D Adjustments'!R50</f>
        <v>0</v>
      </c>
      <c r="L51" s="68">
        <f t="shared" si="1"/>
        <v>0</v>
      </c>
      <c r="N51" s="120">
        <f>'Schedule 2D Adjustments'!X50</f>
        <v>0</v>
      </c>
      <c r="O51" s="120">
        <f>'Schedule 2D Adjustments'!AA50</f>
        <v>0</v>
      </c>
    </row>
    <row r="52" spans="1:15" x14ac:dyDescent="0.35">
      <c r="A52" s="24">
        <v>37</v>
      </c>
      <c r="B52" s="513" t="str">
        <f>'Schedule 2D Adjustments'!B51:D51</f>
        <v/>
      </c>
      <c r="C52" s="513"/>
      <c r="D52" s="513"/>
      <c r="F52" s="117">
        <f>'Schedule 2D Adjustments'!H51</f>
        <v>0</v>
      </c>
      <c r="G52" s="68">
        <f>'Schedule 2D Adjustments'!J51</f>
        <v>0</v>
      </c>
      <c r="H52" s="68">
        <f t="shared" si="0"/>
        <v>0</v>
      </c>
      <c r="J52" s="117">
        <f>'Schedule 2D Adjustments'!P51</f>
        <v>0</v>
      </c>
      <c r="K52" s="68">
        <f>'Schedule 2D Adjustments'!R51</f>
        <v>0</v>
      </c>
      <c r="L52" s="68">
        <f t="shared" si="1"/>
        <v>0</v>
      </c>
      <c r="N52" s="120">
        <f>'Schedule 2D Adjustments'!X51</f>
        <v>0</v>
      </c>
      <c r="O52" s="120">
        <f>'Schedule 2D Adjustments'!AA51</f>
        <v>0</v>
      </c>
    </row>
    <row r="53" spans="1:15" x14ac:dyDescent="0.35">
      <c r="A53" s="24">
        <v>38</v>
      </c>
      <c r="B53" s="513" t="str">
        <f>'Schedule 2D Adjustments'!B52:D52</f>
        <v/>
      </c>
      <c r="C53" s="513"/>
      <c r="D53" s="513"/>
      <c r="F53" s="117">
        <f>'Schedule 2D Adjustments'!H52</f>
        <v>0</v>
      </c>
      <c r="G53" s="68">
        <f>'Schedule 2D Adjustments'!J52</f>
        <v>0</v>
      </c>
      <c r="H53" s="68">
        <f t="shared" si="0"/>
        <v>0</v>
      </c>
      <c r="J53" s="117">
        <f>'Schedule 2D Adjustments'!P52</f>
        <v>0</v>
      </c>
      <c r="K53" s="68">
        <f>'Schedule 2D Adjustments'!R52</f>
        <v>0</v>
      </c>
      <c r="L53" s="68">
        <f t="shared" si="1"/>
        <v>0</v>
      </c>
      <c r="N53" s="120">
        <f>'Schedule 2D Adjustments'!X52</f>
        <v>0</v>
      </c>
      <c r="O53" s="120">
        <f>'Schedule 2D Adjustments'!AA52</f>
        <v>0</v>
      </c>
    </row>
    <row r="54" spans="1:15" x14ac:dyDescent="0.35">
      <c r="A54" s="24">
        <v>39</v>
      </c>
      <c r="B54" s="513" t="str">
        <f>'Schedule 2D Adjustments'!B53:D53</f>
        <v/>
      </c>
      <c r="C54" s="513"/>
      <c r="D54" s="513"/>
      <c r="F54" s="117">
        <f>'Schedule 2D Adjustments'!H53</f>
        <v>0</v>
      </c>
      <c r="G54" s="68">
        <f>'Schedule 2D Adjustments'!J53</f>
        <v>0</v>
      </c>
      <c r="H54" s="68">
        <f t="shared" si="0"/>
        <v>0</v>
      </c>
      <c r="J54" s="117">
        <f>'Schedule 2D Adjustments'!P53</f>
        <v>0</v>
      </c>
      <c r="K54" s="68">
        <f>'Schedule 2D Adjustments'!R53</f>
        <v>0</v>
      </c>
      <c r="L54" s="68">
        <f t="shared" si="1"/>
        <v>0</v>
      </c>
      <c r="N54" s="120">
        <f>'Schedule 2D Adjustments'!X53</f>
        <v>0</v>
      </c>
      <c r="O54" s="120">
        <f>'Schedule 2D Adjustments'!AA53</f>
        <v>0</v>
      </c>
    </row>
    <row r="55" spans="1:15" x14ac:dyDescent="0.35">
      <c r="A55" s="24">
        <v>40</v>
      </c>
      <c r="B55" s="513" t="str">
        <f>'Schedule 2D Adjustments'!B54:D54</f>
        <v/>
      </c>
      <c r="C55" s="513"/>
      <c r="D55" s="513"/>
      <c r="F55" s="117">
        <f>'Schedule 2D Adjustments'!H54</f>
        <v>0</v>
      </c>
      <c r="G55" s="68">
        <f>'Schedule 2D Adjustments'!J54</f>
        <v>0</v>
      </c>
      <c r="H55" s="68">
        <f t="shared" si="0"/>
        <v>0</v>
      </c>
      <c r="J55" s="117">
        <f>'Schedule 2D Adjustments'!P54</f>
        <v>0</v>
      </c>
      <c r="K55" s="68">
        <f>'Schedule 2D Adjustments'!R54</f>
        <v>0</v>
      </c>
      <c r="L55" s="68">
        <f t="shared" si="1"/>
        <v>0</v>
      </c>
      <c r="N55" s="120">
        <f>'Schedule 2D Adjustments'!X54</f>
        <v>0</v>
      </c>
      <c r="O55" s="120">
        <f>'Schedule 2D Adjustments'!AA54</f>
        <v>0</v>
      </c>
    </row>
    <row r="56" spans="1:15" x14ac:dyDescent="0.35">
      <c r="A56" s="24">
        <v>41</v>
      </c>
      <c r="B56" s="513" t="str">
        <f>'Schedule 2D Adjustments'!B55:D55</f>
        <v/>
      </c>
      <c r="C56" s="513"/>
      <c r="D56" s="513"/>
      <c r="F56" s="117">
        <f>'Schedule 2D Adjustments'!H55</f>
        <v>0</v>
      </c>
      <c r="G56" s="68">
        <f>'Schedule 2D Adjustments'!J55</f>
        <v>0</v>
      </c>
      <c r="H56" s="68">
        <f t="shared" si="0"/>
        <v>0</v>
      </c>
      <c r="J56" s="117">
        <f>'Schedule 2D Adjustments'!P55</f>
        <v>0</v>
      </c>
      <c r="K56" s="68">
        <f>'Schedule 2D Adjustments'!R55</f>
        <v>0</v>
      </c>
      <c r="L56" s="68">
        <f t="shared" si="1"/>
        <v>0</v>
      </c>
      <c r="N56" s="120">
        <f>'Schedule 2D Adjustments'!X55</f>
        <v>0</v>
      </c>
      <c r="O56" s="120">
        <f>'Schedule 2D Adjustments'!AA55</f>
        <v>0</v>
      </c>
    </row>
    <row r="57" spans="1:15" x14ac:dyDescent="0.35">
      <c r="A57" s="24">
        <v>42</v>
      </c>
      <c r="B57" s="513" t="str">
        <f>'Schedule 2D Adjustments'!B56:D56</f>
        <v/>
      </c>
      <c r="C57" s="513"/>
      <c r="D57" s="513"/>
      <c r="F57" s="117">
        <f>'Schedule 2D Adjustments'!H56</f>
        <v>0</v>
      </c>
      <c r="G57" s="68">
        <f>'Schedule 2D Adjustments'!J56</f>
        <v>0</v>
      </c>
      <c r="H57" s="68">
        <f t="shared" si="0"/>
        <v>0</v>
      </c>
      <c r="J57" s="117">
        <f>'Schedule 2D Adjustments'!P56</f>
        <v>0</v>
      </c>
      <c r="K57" s="68">
        <f>'Schedule 2D Adjustments'!R56</f>
        <v>0</v>
      </c>
      <c r="L57" s="68">
        <f t="shared" si="1"/>
        <v>0</v>
      </c>
      <c r="N57" s="120">
        <f>'Schedule 2D Adjustments'!X56</f>
        <v>0</v>
      </c>
      <c r="O57" s="120">
        <f>'Schedule 2D Adjustments'!AA56</f>
        <v>0</v>
      </c>
    </row>
    <row r="58" spans="1:15" x14ac:dyDescent="0.35">
      <c r="A58" s="24">
        <v>43</v>
      </c>
      <c r="B58" s="513" t="str">
        <f>'Schedule 2D Adjustments'!B57:D57</f>
        <v/>
      </c>
      <c r="C58" s="513"/>
      <c r="D58" s="513"/>
      <c r="F58" s="117">
        <f>'Schedule 2D Adjustments'!H57</f>
        <v>0</v>
      </c>
      <c r="G58" s="68">
        <f>'Schedule 2D Adjustments'!J57</f>
        <v>0</v>
      </c>
      <c r="H58" s="68">
        <f t="shared" si="0"/>
        <v>0</v>
      </c>
      <c r="J58" s="117">
        <f>'Schedule 2D Adjustments'!P57</f>
        <v>0</v>
      </c>
      <c r="K58" s="68">
        <f>'Schedule 2D Adjustments'!R57</f>
        <v>0</v>
      </c>
      <c r="L58" s="68">
        <f t="shared" si="1"/>
        <v>0</v>
      </c>
      <c r="N58" s="120">
        <f>'Schedule 2D Adjustments'!X57</f>
        <v>0</v>
      </c>
      <c r="O58" s="120">
        <f>'Schedule 2D Adjustments'!AA57</f>
        <v>0</v>
      </c>
    </row>
    <row r="59" spans="1:15" x14ac:dyDescent="0.35">
      <c r="A59" s="24">
        <v>44</v>
      </c>
      <c r="B59" s="513" t="str">
        <f>'Schedule 2D Adjustments'!B58:D58</f>
        <v/>
      </c>
      <c r="C59" s="513"/>
      <c r="D59" s="513"/>
      <c r="F59" s="117">
        <f>'Schedule 2D Adjustments'!H58</f>
        <v>0</v>
      </c>
      <c r="G59" s="68">
        <f>'Schedule 2D Adjustments'!J58</f>
        <v>0</v>
      </c>
      <c r="H59" s="68">
        <f t="shared" si="0"/>
        <v>0</v>
      </c>
      <c r="J59" s="117">
        <f>'Schedule 2D Adjustments'!P58</f>
        <v>0</v>
      </c>
      <c r="K59" s="68">
        <f>'Schedule 2D Adjustments'!R58</f>
        <v>0</v>
      </c>
      <c r="L59" s="68">
        <f t="shared" si="1"/>
        <v>0</v>
      </c>
      <c r="N59" s="120">
        <f>'Schedule 2D Adjustments'!X58</f>
        <v>0</v>
      </c>
      <c r="O59" s="120">
        <f>'Schedule 2D Adjustments'!AA58</f>
        <v>0</v>
      </c>
    </row>
    <row r="60" spans="1:15" x14ac:dyDescent="0.35">
      <c r="A60" s="24">
        <v>45</v>
      </c>
      <c r="B60" s="513" t="str">
        <f>'Schedule 2D Adjustments'!B59:D59</f>
        <v/>
      </c>
      <c r="C60" s="513"/>
      <c r="D60" s="513"/>
      <c r="F60" s="117">
        <f>'Schedule 2D Adjustments'!H59</f>
        <v>0</v>
      </c>
      <c r="G60" s="68">
        <f>'Schedule 2D Adjustments'!J59</f>
        <v>0</v>
      </c>
      <c r="H60" s="68">
        <f t="shared" si="0"/>
        <v>0</v>
      </c>
      <c r="J60" s="117">
        <f>'Schedule 2D Adjustments'!P59</f>
        <v>0</v>
      </c>
      <c r="K60" s="68">
        <f>'Schedule 2D Adjustments'!R59</f>
        <v>0</v>
      </c>
      <c r="L60" s="68">
        <f t="shared" si="1"/>
        <v>0</v>
      </c>
      <c r="N60" s="120">
        <f>'Schedule 2D Adjustments'!X59</f>
        <v>0</v>
      </c>
      <c r="O60" s="120">
        <f>'Schedule 2D Adjustments'!AA59</f>
        <v>0</v>
      </c>
    </row>
    <row r="61" spans="1:15" x14ac:dyDescent="0.35">
      <c r="A61" s="24">
        <v>46</v>
      </c>
      <c r="B61" s="513" t="str">
        <f>'Schedule 2D Adjustments'!B60:D60</f>
        <v/>
      </c>
      <c r="C61" s="513"/>
      <c r="D61" s="513"/>
      <c r="F61" s="117">
        <f>'Schedule 2D Adjustments'!H60</f>
        <v>0</v>
      </c>
      <c r="G61" s="68">
        <f>'Schedule 2D Adjustments'!J60</f>
        <v>0</v>
      </c>
      <c r="H61" s="68">
        <f t="shared" si="0"/>
        <v>0</v>
      </c>
      <c r="J61" s="117">
        <f>'Schedule 2D Adjustments'!P60</f>
        <v>0</v>
      </c>
      <c r="K61" s="68">
        <f>'Schedule 2D Adjustments'!R60</f>
        <v>0</v>
      </c>
      <c r="L61" s="68">
        <f t="shared" si="1"/>
        <v>0</v>
      </c>
      <c r="N61" s="120">
        <f>'Schedule 2D Adjustments'!X60</f>
        <v>0</v>
      </c>
      <c r="O61" s="120">
        <f>'Schedule 2D Adjustments'!AA60</f>
        <v>0</v>
      </c>
    </row>
    <row r="62" spans="1:15" x14ac:dyDescent="0.35">
      <c r="A62" s="24">
        <v>47</v>
      </c>
      <c r="B62" s="513" t="str">
        <f>'Schedule 2D Adjustments'!B61:D61</f>
        <v/>
      </c>
      <c r="C62" s="513"/>
      <c r="D62" s="513"/>
      <c r="F62" s="117">
        <f>'Schedule 2D Adjustments'!H61</f>
        <v>0</v>
      </c>
      <c r="G62" s="68">
        <f>'Schedule 2D Adjustments'!J61</f>
        <v>0</v>
      </c>
      <c r="H62" s="68">
        <f t="shared" si="0"/>
        <v>0</v>
      </c>
      <c r="J62" s="117">
        <f>'Schedule 2D Adjustments'!P61</f>
        <v>0</v>
      </c>
      <c r="K62" s="68">
        <f>'Schedule 2D Adjustments'!R61</f>
        <v>0</v>
      </c>
      <c r="L62" s="68">
        <f t="shared" si="1"/>
        <v>0</v>
      </c>
      <c r="N62" s="120">
        <f>'Schedule 2D Adjustments'!X61</f>
        <v>0</v>
      </c>
      <c r="O62" s="120">
        <f>'Schedule 2D Adjustments'!AA61</f>
        <v>0</v>
      </c>
    </row>
    <row r="63" spans="1:15" x14ac:dyDescent="0.35">
      <c r="A63" s="24">
        <v>48</v>
      </c>
      <c r="B63" s="513" t="str">
        <f>'Schedule 2D Adjustments'!B62:D62</f>
        <v/>
      </c>
      <c r="C63" s="513"/>
      <c r="D63" s="513"/>
      <c r="F63" s="117">
        <f>'Schedule 2D Adjustments'!H62</f>
        <v>0</v>
      </c>
      <c r="G63" s="68">
        <f>'Schedule 2D Adjustments'!J62</f>
        <v>0</v>
      </c>
      <c r="H63" s="68">
        <f t="shared" si="0"/>
        <v>0</v>
      </c>
      <c r="J63" s="117">
        <f>'Schedule 2D Adjustments'!P62</f>
        <v>0</v>
      </c>
      <c r="K63" s="68">
        <f>'Schedule 2D Adjustments'!R62</f>
        <v>0</v>
      </c>
      <c r="L63" s="68">
        <f t="shared" si="1"/>
        <v>0</v>
      </c>
      <c r="N63" s="120">
        <f>'Schedule 2D Adjustments'!X62</f>
        <v>0</v>
      </c>
      <c r="O63" s="120">
        <f>'Schedule 2D Adjustments'!AA62</f>
        <v>0</v>
      </c>
    </row>
    <row r="64" spans="1:15" x14ac:dyDescent="0.35">
      <c r="A64" s="24">
        <v>49</v>
      </c>
      <c r="B64" s="513" t="str">
        <f>'Schedule 2D Adjustments'!B63:D63</f>
        <v/>
      </c>
      <c r="C64" s="513"/>
      <c r="D64" s="513"/>
      <c r="F64" s="117">
        <f>'Schedule 2D Adjustments'!H63</f>
        <v>0</v>
      </c>
      <c r="G64" s="68">
        <f>'Schedule 2D Adjustments'!J63</f>
        <v>0</v>
      </c>
      <c r="H64" s="68">
        <f t="shared" si="0"/>
        <v>0</v>
      </c>
      <c r="J64" s="117">
        <f>'Schedule 2D Adjustments'!P63</f>
        <v>0</v>
      </c>
      <c r="K64" s="68">
        <f>'Schedule 2D Adjustments'!R63</f>
        <v>0</v>
      </c>
      <c r="L64" s="68">
        <f t="shared" si="1"/>
        <v>0</v>
      </c>
      <c r="N64" s="120">
        <f>'Schedule 2D Adjustments'!X63</f>
        <v>0</v>
      </c>
      <c r="O64" s="120">
        <f>'Schedule 2D Adjustments'!AA63</f>
        <v>0</v>
      </c>
    </row>
    <row r="65" spans="1:15" x14ac:dyDescent="0.35">
      <c r="A65" s="24">
        <v>50</v>
      </c>
      <c r="B65" s="513" t="str">
        <f>'Schedule 2D Adjustments'!B64:D64</f>
        <v/>
      </c>
      <c r="C65" s="513"/>
      <c r="D65" s="513"/>
      <c r="F65" s="117">
        <f>'Schedule 2D Adjustments'!H64</f>
        <v>0</v>
      </c>
      <c r="G65" s="68">
        <f>'Schedule 2D Adjustments'!J64</f>
        <v>0</v>
      </c>
      <c r="H65" s="68">
        <f t="shared" si="0"/>
        <v>0</v>
      </c>
      <c r="J65" s="117">
        <f>'Schedule 2D Adjustments'!P64</f>
        <v>0</v>
      </c>
      <c r="K65" s="68">
        <f>'Schedule 2D Adjustments'!R64</f>
        <v>0</v>
      </c>
      <c r="L65" s="68">
        <f t="shared" si="1"/>
        <v>0</v>
      </c>
      <c r="N65" s="120">
        <f>'Schedule 2D Adjustments'!X64</f>
        <v>0</v>
      </c>
      <c r="O65" s="120">
        <f>'Schedule 2D Adjustments'!AA64</f>
        <v>0</v>
      </c>
    </row>
    <row r="66" spans="1:15" x14ac:dyDescent="0.35">
      <c r="A66" s="24">
        <v>51</v>
      </c>
      <c r="B66" s="513" t="str">
        <f>'Schedule 2D Adjustments'!B65:D65</f>
        <v/>
      </c>
      <c r="C66" s="513"/>
      <c r="D66" s="513"/>
      <c r="F66" s="117">
        <f>'Schedule 2D Adjustments'!H65</f>
        <v>0</v>
      </c>
      <c r="G66" s="68">
        <f>'Schedule 2D Adjustments'!J65</f>
        <v>0</v>
      </c>
      <c r="H66" s="68">
        <f t="shared" si="0"/>
        <v>0</v>
      </c>
      <c r="J66" s="117">
        <f>'Schedule 2D Adjustments'!P65</f>
        <v>0</v>
      </c>
      <c r="K66" s="68">
        <f>'Schedule 2D Adjustments'!R65</f>
        <v>0</v>
      </c>
      <c r="L66" s="68">
        <f t="shared" si="1"/>
        <v>0</v>
      </c>
      <c r="N66" s="120">
        <f>'Schedule 2D Adjustments'!X65</f>
        <v>0</v>
      </c>
      <c r="O66" s="120">
        <f>'Schedule 2D Adjustments'!AA65</f>
        <v>0</v>
      </c>
    </row>
    <row r="67" spans="1:15" x14ac:dyDescent="0.35">
      <c r="A67" s="24">
        <v>52</v>
      </c>
      <c r="B67" s="513" t="str">
        <f>'Schedule 2D Adjustments'!B66:D66</f>
        <v/>
      </c>
      <c r="C67" s="513"/>
      <c r="D67" s="513"/>
      <c r="F67" s="117">
        <f>'Schedule 2D Adjustments'!H66</f>
        <v>0</v>
      </c>
      <c r="G67" s="68">
        <f>'Schedule 2D Adjustments'!J66</f>
        <v>0</v>
      </c>
      <c r="H67" s="68">
        <f t="shared" si="0"/>
        <v>0</v>
      </c>
      <c r="J67" s="117">
        <f>'Schedule 2D Adjustments'!P66</f>
        <v>0</v>
      </c>
      <c r="K67" s="68">
        <f>'Schedule 2D Adjustments'!R66</f>
        <v>0</v>
      </c>
      <c r="L67" s="68">
        <f t="shared" si="1"/>
        <v>0</v>
      </c>
      <c r="N67" s="120">
        <f>'Schedule 2D Adjustments'!X66</f>
        <v>0</v>
      </c>
      <c r="O67" s="120">
        <f>'Schedule 2D Adjustments'!AA66</f>
        <v>0</v>
      </c>
    </row>
    <row r="68" spans="1:15" x14ac:dyDescent="0.35">
      <c r="A68" s="24">
        <v>53</v>
      </c>
      <c r="B68" s="513" t="str">
        <f>'Schedule 2D Adjustments'!B67:D67</f>
        <v/>
      </c>
      <c r="C68" s="513"/>
      <c r="D68" s="513"/>
      <c r="F68" s="117">
        <f>'Schedule 2D Adjustments'!H67</f>
        <v>0</v>
      </c>
      <c r="G68" s="68">
        <f>'Schedule 2D Adjustments'!J67</f>
        <v>0</v>
      </c>
      <c r="H68" s="68">
        <f t="shared" si="0"/>
        <v>0</v>
      </c>
      <c r="J68" s="117">
        <f>'Schedule 2D Adjustments'!P67</f>
        <v>0</v>
      </c>
      <c r="K68" s="68">
        <f>'Schedule 2D Adjustments'!R67</f>
        <v>0</v>
      </c>
      <c r="L68" s="68">
        <f t="shared" si="1"/>
        <v>0</v>
      </c>
      <c r="N68" s="120">
        <f>'Schedule 2D Adjustments'!X67</f>
        <v>0</v>
      </c>
      <c r="O68" s="120">
        <f>'Schedule 2D Adjustments'!AA67</f>
        <v>0</v>
      </c>
    </row>
    <row r="69" spans="1:15" x14ac:dyDescent="0.35">
      <c r="A69" s="24">
        <v>54</v>
      </c>
      <c r="B69" s="513" t="str">
        <f>'Schedule 2D Adjustments'!B68:D68</f>
        <v/>
      </c>
      <c r="C69" s="513"/>
      <c r="D69" s="513"/>
      <c r="F69" s="117">
        <f>'Schedule 2D Adjustments'!H68</f>
        <v>0</v>
      </c>
      <c r="G69" s="68">
        <f>'Schedule 2D Adjustments'!J68</f>
        <v>0</v>
      </c>
      <c r="H69" s="68">
        <f t="shared" si="0"/>
        <v>0</v>
      </c>
      <c r="J69" s="117">
        <f>'Schedule 2D Adjustments'!P68</f>
        <v>0</v>
      </c>
      <c r="K69" s="68">
        <f>'Schedule 2D Adjustments'!R68</f>
        <v>0</v>
      </c>
      <c r="L69" s="68">
        <f t="shared" si="1"/>
        <v>0</v>
      </c>
      <c r="N69" s="120">
        <f>'Schedule 2D Adjustments'!X68</f>
        <v>0</v>
      </c>
      <c r="O69" s="120">
        <f>'Schedule 2D Adjustments'!AA68</f>
        <v>0</v>
      </c>
    </row>
    <row r="70" spans="1:15" x14ac:dyDescent="0.35">
      <c r="A70" s="24">
        <v>55</v>
      </c>
      <c r="B70" s="513" t="str">
        <f>'Schedule 2D Adjustments'!B69:D69</f>
        <v/>
      </c>
      <c r="C70" s="513"/>
      <c r="D70" s="513"/>
      <c r="F70" s="117">
        <f>'Schedule 2D Adjustments'!H69</f>
        <v>0</v>
      </c>
      <c r="G70" s="68">
        <f>'Schedule 2D Adjustments'!J69</f>
        <v>0</v>
      </c>
      <c r="H70" s="68">
        <f t="shared" si="0"/>
        <v>0</v>
      </c>
      <c r="J70" s="117">
        <f>'Schedule 2D Adjustments'!P69</f>
        <v>0</v>
      </c>
      <c r="K70" s="68">
        <f>'Schedule 2D Adjustments'!R69</f>
        <v>0</v>
      </c>
      <c r="L70" s="68">
        <f t="shared" si="1"/>
        <v>0</v>
      </c>
      <c r="N70" s="120">
        <f>'Schedule 2D Adjustments'!X69</f>
        <v>0</v>
      </c>
      <c r="O70" s="120">
        <f>'Schedule 2D Adjustments'!AA69</f>
        <v>0</v>
      </c>
    </row>
    <row r="71" spans="1:15" x14ac:dyDescent="0.35">
      <c r="A71" s="24">
        <v>56</v>
      </c>
      <c r="B71" s="513" t="str">
        <f>'Schedule 2D Adjustments'!B70:D70</f>
        <v/>
      </c>
      <c r="C71" s="513"/>
      <c r="D71" s="513"/>
      <c r="F71" s="117">
        <f>'Schedule 2D Adjustments'!H70</f>
        <v>0</v>
      </c>
      <c r="G71" s="68">
        <f>'Schedule 2D Adjustments'!J70</f>
        <v>0</v>
      </c>
      <c r="H71" s="68">
        <f t="shared" si="0"/>
        <v>0</v>
      </c>
      <c r="J71" s="117">
        <f>'Schedule 2D Adjustments'!P70</f>
        <v>0</v>
      </c>
      <c r="K71" s="68">
        <f>'Schedule 2D Adjustments'!R70</f>
        <v>0</v>
      </c>
      <c r="L71" s="68">
        <f t="shared" si="1"/>
        <v>0</v>
      </c>
      <c r="N71" s="120">
        <f>'Schedule 2D Adjustments'!X70</f>
        <v>0</v>
      </c>
      <c r="O71" s="120">
        <f>'Schedule 2D Adjustments'!AA70</f>
        <v>0</v>
      </c>
    </row>
    <row r="72" spans="1:15" x14ac:dyDescent="0.35">
      <c r="A72" s="24">
        <v>57</v>
      </c>
      <c r="B72" s="513" t="str">
        <f>'Schedule 2D Adjustments'!B71:D71</f>
        <v/>
      </c>
      <c r="C72" s="513"/>
      <c r="D72" s="513"/>
      <c r="F72" s="117">
        <f>'Schedule 2D Adjustments'!H71</f>
        <v>0</v>
      </c>
      <c r="G72" s="68">
        <f>'Schedule 2D Adjustments'!J71</f>
        <v>0</v>
      </c>
      <c r="H72" s="68">
        <f t="shared" si="0"/>
        <v>0</v>
      </c>
      <c r="J72" s="117">
        <f>'Schedule 2D Adjustments'!P71</f>
        <v>0</v>
      </c>
      <c r="K72" s="68">
        <f>'Schedule 2D Adjustments'!R71</f>
        <v>0</v>
      </c>
      <c r="L72" s="68">
        <f t="shared" si="1"/>
        <v>0</v>
      </c>
      <c r="N72" s="120">
        <f>'Schedule 2D Adjustments'!X71</f>
        <v>0</v>
      </c>
      <c r="O72" s="120">
        <f>'Schedule 2D Adjustments'!AA71</f>
        <v>0</v>
      </c>
    </row>
    <row r="73" spans="1:15" x14ac:dyDescent="0.35">
      <c r="A73" s="24">
        <v>58</v>
      </c>
      <c r="B73" s="513" t="str">
        <f>'Schedule 2D Adjustments'!B72:D72</f>
        <v/>
      </c>
      <c r="C73" s="513"/>
      <c r="D73" s="513"/>
      <c r="F73" s="117">
        <f>'Schedule 2D Adjustments'!H72</f>
        <v>0</v>
      </c>
      <c r="G73" s="68">
        <f>'Schedule 2D Adjustments'!J72</f>
        <v>0</v>
      </c>
      <c r="H73" s="68">
        <f t="shared" si="0"/>
        <v>0</v>
      </c>
      <c r="J73" s="117">
        <f>'Schedule 2D Adjustments'!P72</f>
        <v>0</v>
      </c>
      <c r="K73" s="68">
        <f>'Schedule 2D Adjustments'!R72</f>
        <v>0</v>
      </c>
      <c r="L73" s="68">
        <f t="shared" si="1"/>
        <v>0</v>
      </c>
      <c r="N73" s="120">
        <f>'Schedule 2D Adjustments'!X72</f>
        <v>0</v>
      </c>
      <c r="O73" s="120">
        <f>'Schedule 2D Adjustments'!AA72</f>
        <v>0</v>
      </c>
    </row>
    <row r="74" spans="1:15" x14ac:dyDescent="0.35">
      <c r="A74" s="24">
        <v>59</v>
      </c>
      <c r="F74" s="18">
        <f>SUM(F16:F73)</f>
        <v>2417042.6710739257</v>
      </c>
      <c r="G74" s="18">
        <f t="shared" ref="G74:H74" si="2">SUM(G16:G73)</f>
        <v>746099.61006174958</v>
      </c>
      <c r="H74" s="18">
        <f t="shared" si="2"/>
        <v>3163142.281135675</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3163142.281135675</v>
      </c>
      <c r="G76" s="74"/>
      <c r="H76" s="74"/>
      <c r="I76" s="74"/>
      <c r="J76" s="74"/>
      <c r="K76" s="74"/>
    </row>
  </sheetData>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5">
    <mergeCell ref="B20:D20"/>
    <mergeCell ref="A3:H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orientation="portrait" horizontalDpi="1200" verticalDpi="120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rgb="FFF8971D"/>
  </sheetPr>
  <dimension ref="A1:O76"/>
  <sheetViews>
    <sheetView workbookViewId="0"/>
  </sheetViews>
  <sheetFormatPr defaultColWidth="9.1796875" defaultRowHeight="14.5" x14ac:dyDescent="0.35"/>
  <cols>
    <col min="1" max="1" width="9.54296875" customWidth="1"/>
    <col min="2" max="2" width="18.453125" customWidth="1"/>
    <col min="3" max="3" width="19.453125" customWidth="1"/>
    <col min="4" max="4" width="17.17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848</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Health Solutions</v>
      </c>
    </row>
    <row r="7" spans="1:15" x14ac:dyDescent="0.35">
      <c r="A7" s="1" t="s">
        <v>0</v>
      </c>
      <c r="C7" s="35">
        <f>Results!$C$7</f>
        <v>45473</v>
      </c>
      <c r="F7" s="35"/>
    </row>
    <row r="9" spans="1:15" x14ac:dyDescent="0.35">
      <c r="A9" s="1" t="s">
        <v>253</v>
      </c>
      <c r="B9" s="1" t="s">
        <v>810</v>
      </c>
      <c r="C9" s="1"/>
      <c r="F9" s="119" t="str">
        <f>'Schedule 2E Adjustments'!F8</f>
        <v>Yes/No</v>
      </c>
      <c r="G9" s="41" t="s">
        <v>259</v>
      </c>
    </row>
    <row r="11" spans="1:15" x14ac:dyDescent="0.35">
      <c r="A11" s="1" t="s">
        <v>254</v>
      </c>
      <c r="B11" s="1" t="s">
        <v>256</v>
      </c>
      <c r="C11" s="1"/>
    </row>
    <row r="12" spans="1:15" x14ac:dyDescent="0.35">
      <c r="B12" s="318" t="s">
        <v>598</v>
      </c>
    </row>
    <row r="13" spans="1:15" x14ac:dyDescent="0.35">
      <c r="B13" s="508">
        <v>1</v>
      </c>
      <c r="C13" s="508"/>
      <c r="D13" s="508"/>
      <c r="F13" s="23">
        <v>2</v>
      </c>
      <c r="G13" s="23">
        <v>3</v>
      </c>
      <c r="H13" s="23">
        <v>4</v>
      </c>
      <c r="J13" s="23">
        <v>5</v>
      </c>
      <c r="K13" s="23">
        <v>6</v>
      </c>
      <c r="L13" s="23">
        <v>7</v>
      </c>
      <c r="N13" s="23">
        <v>8</v>
      </c>
      <c r="O13" s="23">
        <v>9</v>
      </c>
    </row>
    <row r="14" spans="1:15" ht="15" customHeight="1" x14ac:dyDescent="0.35">
      <c r="B14" s="517" t="s">
        <v>612</v>
      </c>
      <c r="C14" s="518"/>
      <c r="D14" s="519"/>
      <c r="F14" s="511" t="s">
        <v>261</v>
      </c>
      <c r="G14" s="516"/>
      <c r="H14" s="512"/>
      <c r="J14" s="511" t="s">
        <v>262</v>
      </c>
      <c r="K14" s="516"/>
      <c r="L14" s="512"/>
      <c r="N14" s="514" t="s">
        <v>692</v>
      </c>
      <c r="O14" s="514" t="s">
        <v>693</v>
      </c>
    </row>
    <row r="15" spans="1:15" ht="55.5" customHeight="1" x14ac:dyDescent="0.35">
      <c r="B15" s="520"/>
      <c r="C15" s="521"/>
      <c r="D15" s="522"/>
      <c r="E15" s="48"/>
      <c r="F15" s="10" t="s">
        <v>689</v>
      </c>
      <c r="G15" s="151" t="s">
        <v>690</v>
      </c>
      <c r="H15" s="151" t="s">
        <v>691</v>
      </c>
      <c r="I15" s="100"/>
      <c r="J15" s="10" t="s">
        <v>689</v>
      </c>
      <c r="K15" s="151" t="s">
        <v>690</v>
      </c>
      <c r="L15" s="151" t="s">
        <v>691</v>
      </c>
      <c r="M15" s="48"/>
      <c r="N15" s="515"/>
      <c r="O15" s="515"/>
    </row>
    <row r="16" spans="1:15" x14ac:dyDescent="0.35">
      <c r="A16" s="24">
        <v>1</v>
      </c>
      <c r="B16" s="513" t="str">
        <f>'Schedule 2E Adjustments'!B15:D15</f>
        <v/>
      </c>
      <c r="C16" s="513"/>
      <c r="D16" s="513"/>
      <c r="F16" s="117">
        <f>'Schedule 2E Adjustments'!H15</f>
        <v>0</v>
      </c>
      <c r="G16" s="68">
        <f>'Schedule 2E Adjustments'!J15</f>
        <v>0</v>
      </c>
      <c r="H16" s="68">
        <f>SUM(F16:G16)</f>
        <v>0</v>
      </c>
      <c r="J16" s="117">
        <f>'Schedule 2E Adjustments'!P15</f>
        <v>0</v>
      </c>
      <c r="K16" s="68">
        <f>'Schedule 2E Adjustments'!R15</f>
        <v>0</v>
      </c>
      <c r="L16" s="68">
        <f>SUM(J16:K16)</f>
        <v>0</v>
      </c>
      <c r="N16" s="120">
        <f>'Schedule 2E Adjustments'!X15</f>
        <v>0</v>
      </c>
      <c r="O16" s="120">
        <f>'Schedule 2E Adjustments'!AA15</f>
        <v>0</v>
      </c>
    </row>
    <row r="17" spans="1:15" x14ac:dyDescent="0.35">
      <c r="A17" s="24">
        <v>2</v>
      </c>
      <c r="B17" s="513" t="str">
        <f>'Schedule 2E Adjustments'!B16:D16</f>
        <v/>
      </c>
      <c r="C17" s="513"/>
      <c r="D17" s="513"/>
      <c r="F17" s="117">
        <f>'Schedule 2E Adjustments'!H16</f>
        <v>0</v>
      </c>
      <c r="G17" s="68">
        <f>'Schedule 2E Adjustments'!J16</f>
        <v>0</v>
      </c>
      <c r="H17" s="68">
        <f t="shared" ref="H17:H73" si="0">SUM(F17:G17)</f>
        <v>0</v>
      </c>
      <c r="J17" s="117">
        <f>'Schedule 2E Adjustments'!P16</f>
        <v>0</v>
      </c>
      <c r="K17" s="68">
        <f>'Schedule 2E Adjustments'!R16</f>
        <v>0</v>
      </c>
      <c r="L17" s="68">
        <f t="shared" ref="L17:L73" si="1">SUM(J17:K17)</f>
        <v>0</v>
      </c>
      <c r="N17" s="120">
        <f>'Schedule 2E Adjustments'!X16</f>
        <v>0</v>
      </c>
      <c r="O17" s="120">
        <f>'Schedule 2E Adjustments'!AA16</f>
        <v>0</v>
      </c>
    </row>
    <row r="18" spans="1:15" x14ac:dyDescent="0.35">
      <c r="A18" s="24">
        <v>3</v>
      </c>
      <c r="B18" s="513" t="str">
        <f>'Schedule 2E Adjustments'!B17:D17</f>
        <v/>
      </c>
      <c r="C18" s="513"/>
      <c r="D18" s="513"/>
      <c r="F18" s="117">
        <f>'Schedule 2E Adjustments'!H17</f>
        <v>0</v>
      </c>
      <c r="G18" s="68">
        <f>'Schedule 2E Adjustments'!J17</f>
        <v>0</v>
      </c>
      <c r="H18" s="68">
        <f t="shared" si="0"/>
        <v>0</v>
      </c>
      <c r="J18" s="117">
        <f>'Schedule 2E Adjustments'!P17</f>
        <v>0</v>
      </c>
      <c r="K18" s="68">
        <f>'Schedule 2E Adjustments'!R17</f>
        <v>0</v>
      </c>
      <c r="L18" s="68">
        <f t="shared" si="1"/>
        <v>0</v>
      </c>
      <c r="N18" s="120">
        <f>'Schedule 2E Adjustments'!X17</f>
        <v>0</v>
      </c>
      <c r="O18" s="120">
        <f>'Schedule 2E Adjustments'!AA17</f>
        <v>0</v>
      </c>
    </row>
    <row r="19" spans="1:15" x14ac:dyDescent="0.35">
      <c r="A19" s="24">
        <v>4</v>
      </c>
      <c r="B19" s="513" t="str">
        <f>'Schedule 2E Adjustments'!B18:D18</f>
        <v/>
      </c>
      <c r="C19" s="513"/>
      <c r="D19" s="513"/>
      <c r="F19" s="117">
        <f>'Schedule 2E Adjustments'!H18</f>
        <v>0</v>
      </c>
      <c r="G19" s="68">
        <f>'Schedule 2E Adjustments'!J18</f>
        <v>0</v>
      </c>
      <c r="H19" s="68">
        <f t="shared" si="0"/>
        <v>0</v>
      </c>
      <c r="J19" s="117">
        <f>'Schedule 2E Adjustments'!P18</f>
        <v>0</v>
      </c>
      <c r="K19" s="68">
        <f>'Schedule 2E Adjustments'!R18</f>
        <v>0</v>
      </c>
      <c r="L19" s="68">
        <f t="shared" si="1"/>
        <v>0</v>
      </c>
      <c r="N19" s="120">
        <f>'Schedule 2E Adjustments'!X18</f>
        <v>0</v>
      </c>
      <c r="O19" s="120">
        <f>'Schedule 2E Adjustments'!AA18</f>
        <v>0</v>
      </c>
    </row>
    <row r="20" spans="1:15" x14ac:dyDescent="0.35">
      <c r="A20" s="24">
        <v>5</v>
      </c>
      <c r="B20" s="513" t="str">
        <f>'Schedule 2E Adjustments'!B19:D19</f>
        <v/>
      </c>
      <c r="C20" s="513"/>
      <c r="D20" s="513"/>
      <c r="F20" s="117">
        <f>'Schedule 2E Adjustments'!H19</f>
        <v>0</v>
      </c>
      <c r="G20" s="68">
        <f>'Schedule 2E Adjustments'!J19</f>
        <v>0</v>
      </c>
      <c r="H20" s="68">
        <f t="shared" si="0"/>
        <v>0</v>
      </c>
      <c r="J20" s="117">
        <f>'Schedule 2E Adjustments'!P19</f>
        <v>0</v>
      </c>
      <c r="K20" s="68">
        <f>'Schedule 2E Adjustments'!R19</f>
        <v>0</v>
      </c>
      <c r="L20" s="68">
        <f t="shared" si="1"/>
        <v>0</v>
      </c>
      <c r="N20" s="120">
        <f>'Schedule 2E Adjustments'!X19</f>
        <v>0</v>
      </c>
      <c r="O20" s="120">
        <f>'Schedule 2E Adjustments'!AA19</f>
        <v>0</v>
      </c>
    </row>
    <row r="21" spans="1:15" x14ac:dyDescent="0.35">
      <c r="A21" s="24">
        <v>6</v>
      </c>
      <c r="B21" s="513" t="str">
        <f>'Schedule 2E Adjustments'!B20:D20</f>
        <v/>
      </c>
      <c r="C21" s="513"/>
      <c r="D21" s="513"/>
      <c r="F21" s="117">
        <f>'Schedule 2E Adjustments'!H20</f>
        <v>0</v>
      </c>
      <c r="G21" s="68">
        <f>'Schedule 2E Adjustments'!J20</f>
        <v>0</v>
      </c>
      <c r="H21" s="68">
        <f t="shared" si="0"/>
        <v>0</v>
      </c>
      <c r="J21" s="117">
        <f>'Schedule 2E Adjustments'!P20</f>
        <v>0</v>
      </c>
      <c r="K21" s="68">
        <f>'Schedule 2E Adjustments'!R20</f>
        <v>0</v>
      </c>
      <c r="L21" s="68">
        <f t="shared" si="1"/>
        <v>0</v>
      </c>
      <c r="N21" s="120">
        <f>'Schedule 2E Adjustments'!X20</f>
        <v>0</v>
      </c>
      <c r="O21" s="120">
        <f>'Schedule 2E Adjustments'!AA20</f>
        <v>0</v>
      </c>
    </row>
    <row r="22" spans="1:15" x14ac:dyDescent="0.35">
      <c r="A22" s="24">
        <v>7</v>
      </c>
      <c r="B22" s="513" t="str">
        <f>'Schedule 2E Adjustments'!B21:D21</f>
        <v/>
      </c>
      <c r="C22" s="513"/>
      <c r="D22" s="513"/>
      <c r="F22" s="117">
        <f>'Schedule 2E Adjustments'!H21</f>
        <v>0</v>
      </c>
      <c r="G22" s="68">
        <f>'Schedule 2E Adjustments'!J21</f>
        <v>0</v>
      </c>
      <c r="H22" s="68">
        <f t="shared" si="0"/>
        <v>0</v>
      </c>
      <c r="J22" s="117">
        <f>'Schedule 2E Adjustments'!P21</f>
        <v>0</v>
      </c>
      <c r="K22" s="68">
        <f>'Schedule 2E Adjustments'!R21</f>
        <v>0</v>
      </c>
      <c r="L22" s="68">
        <f t="shared" si="1"/>
        <v>0</v>
      </c>
      <c r="N22" s="120">
        <f>'Schedule 2E Adjustments'!X21</f>
        <v>0</v>
      </c>
      <c r="O22" s="120">
        <f>'Schedule 2E Adjustments'!AA21</f>
        <v>0</v>
      </c>
    </row>
    <row r="23" spans="1:15" x14ac:dyDescent="0.35">
      <c r="A23" s="24">
        <v>8</v>
      </c>
      <c r="B23" s="513" t="str">
        <f>'Schedule 2E Adjustments'!B22:D22</f>
        <v/>
      </c>
      <c r="C23" s="513"/>
      <c r="D23" s="513"/>
      <c r="F23" s="117">
        <f>'Schedule 2E Adjustments'!H22</f>
        <v>0</v>
      </c>
      <c r="G23" s="68">
        <f>'Schedule 2E Adjustments'!J22</f>
        <v>0</v>
      </c>
      <c r="H23" s="68">
        <f t="shared" si="0"/>
        <v>0</v>
      </c>
      <c r="J23" s="117">
        <f>'Schedule 2E Adjustments'!P22</f>
        <v>0</v>
      </c>
      <c r="K23" s="68">
        <f>'Schedule 2E Adjustments'!R22</f>
        <v>0</v>
      </c>
      <c r="L23" s="68">
        <f t="shared" si="1"/>
        <v>0</v>
      </c>
      <c r="N23" s="120">
        <f>'Schedule 2E Adjustments'!X22</f>
        <v>0</v>
      </c>
      <c r="O23" s="120">
        <f>'Schedule 2E Adjustments'!AA22</f>
        <v>0</v>
      </c>
    </row>
    <row r="24" spans="1:15" x14ac:dyDescent="0.35">
      <c r="A24" s="24">
        <v>9</v>
      </c>
      <c r="B24" s="513" t="str">
        <f>'Schedule 2E Adjustments'!B23:D23</f>
        <v/>
      </c>
      <c r="C24" s="513"/>
      <c r="D24" s="513"/>
      <c r="F24" s="117">
        <f>'Schedule 2E Adjustments'!H23</f>
        <v>0</v>
      </c>
      <c r="G24" s="68">
        <f>'Schedule 2E Adjustments'!J23</f>
        <v>0</v>
      </c>
      <c r="H24" s="68">
        <f t="shared" si="0"/>
        <v>0</v>
      </c>
      <c r="J24" s="117">
        <f>'Schedule 2E Adjustments'!P23</f>
        <v>0</v>
      </c>
      <c r="K24" s="68">
        <f>'Schedule 2E Adjustments'!R23</f>
        <v>0</v>
      </c>
      <c r="L24" s="68">
        <f t="shared" si="1"/>
        <v>0</v>
      </c>
      <c r="N24" s="120">
        <f>'Schedule 2E Adjustments'!X23</f>
        <v>0</v>
      </c>
      <c r="O24" s="120">
        <f>'Schedule 2E Adjustments'!AA23</f>
        <v>0</v>
      </c>
    </row>
    <row r="25" spans="1:15" x14ac:dyDescent="0.35">
      <c r="A25" s="24">
        <v>10</v>
      </c>
      <c r="B25" s="513" t="str">
        <f>'Schedule 2E Adjustments'!B24:D24</f>
        <v/>
      </c>
      <c r="C25" s="513"/>
      <c r="D25" s="513"/>
      <c r="F25" s="117">
        <f>'Schedule 2E Adjustments'!H24</f>
        <v>0</v>
      </c>
      <c r="G25" s="68">
        <f>'Schedule 2E Adjustments'!J24</f>
        <v>0</v>
      </c>
      <c r="H25" s="68">
        <f t="shared" si="0"/>
        <v>0</v>
      </c>
      <c r="J25" s="117">
        <f>'Schedule 2E Adjustments'!P24</f>
        <v>0</v>
      </c>
      <c r="K25" s="68">
        <f>'Schedule 2E Adjustments'!R24</f>
        <v>0</v>
      </c>
      <c r="L25" s="68">
        <f t="shared" si="1"/>
        <v>0</v>
      </c>
      <c r="N25" s="120">
        <f>'Schedule 2E Adjustments'!X24</f>
        <v>0</v>
      </c>
      <c r="O25" s="120">
        <f>'Schedule 2E Adjustments'!AA24</f>
        <v>0</v>
      </c>
    </row>
    <row r="26" spans="1:15" x14ac:dyDescent="0.35">
      <c r="A26" s="24">
        <v>11</v>
      </c>
      <c r="B26" s="513" t="str">
        <f>'Schedule 2E Adjustments'!B25:D25</f>
        <v/>
      </c>
      <c r="C26" s="513"/>
      <c r="D26" s="513"/>
      <c r="F26" s="117">
        <f>'Schedule 2E Adjustments'!H25</f>
        <v>0</v>
      </c>
      <c r="G26" s="68">
        <f>'Schedule 2E Adjustments'!J25</f>
        <v>0</v>
      </c>
      <c r="H26" s="68">
        <f t="shared" si="0"/>
        <v>0</v>
      </c>
      <c r="J26" s="117">
        <f>'Schedule 2E Adjustments'!P25</f>
        <v>0</v>
      </c>
      <c r="K26" s="68">
        <f>'Schedule 2E Adjustments'!R25</f>
        <v>0</v>
      </c>
      <c r="L26" s="68">
        <f t="shared" si="1"/>
        <v>0</v>
      </c>
      <c r="N26" s="120">
        <f>'Schedule 2E Adjustments'!X25</f>
        <v>0</v>
      </c>
      <c r="O26" s="120">
        <f>'Schedule 2E Adjustments'!AA25</f>
        <v>0</v>
      </c>
    </row>
    <row r="27" spans="1:15" x14ac:dyDescent="0.35">
      <c r="A27" s="24">
        <v>12</v>
      </c>
      <c r="B27" s="513" t="str">
        <f>'Schedule 2E Adjustments'!B26:D26</f>
        <v/>
      </c>
      <c r="C27" s="513"/>
      <c r="D27" s="513"/>
      <c r="F27" s="117">
        <f>'Schedule 2E Adjustments'!H26</f>
        <v>0</v>
      </c>
      <c r="G27" s="68">
        <f>'Schedule 2E Adjustments'!J26</f>
        <v>0</v>
      </c>
      <c r="H27" s="68">
        <f t="shared" si="0"/>
        <v>0</v>
      </c>
      <c r="J27" s="117">
        <f>'Schedule 2E Adjustments'!P26</f>
        <v>0</v>
      </c>
      <c r="K27" s="68">
        <f>'Schedule 2E Adjustments'!R26</f>
        <v>0</v>
      </c>
      <c r="L27" s="68">
        <f t="shared" si="1"/>
        <v>0</v>
      </c>
      <c r="N27" s="120">
        <f>'Schedule 2E Adjustments'!X26</f>
        <v>0</v>
      </c>
      <c r="O27" s="120">
        <f>'Schedule 2E Adjustments'!AA26</f>
        <v>0</v>
      </c>
    </row>
    <row r="28" spans="1:15" x14ac:dyDescent="0.35">
      <c r="A28" s="24">
        <v>13</v>
      </c>
      <c r="B28" s="513" t="str">
        <f>'Schedule 2E Adjustments'!B27:D27</f>
        <v/>
      </c>
      <c r="C28" s="513"/>
      <c r="D28" s="513"/>
      <c r="F28" s="117">
        <f>'Schedule 2E Adjustments'!H27</f>
        <v>0</v>
      </c>
      <c r="G28" s="68">
        <f>'Schedule 2E Adjustments'!J27</f>
        <v>0</v>
      </c>
      <c r="H28" s="68">
        <f t="shared" si="0"/>
        <v>0</v>
      </c>
      <c r="J28" s="117">
        <f>'Schedule 2E Adjustments'!P27</f>
        <v>0</v>
      </c>
      <c r="K28" s="68">
        <f>'Schedule 2E Adjustments'!R27</f>
        <v>0</v>
      </c>
      <c r="L28" s="68">
        <f t="shared" si="1"/>
        <v>0</v>
      </c>
      <c r="N28" s="120">
        <f>'Schedule 2E Adjustments'!X27</f>
        <v>0</v>
      </c>
      <c r="O28" s="120">
        <f>'Schedule 2E Adjustments'!AA27</f>
        <v>0</v>
      </c>
    </row>
    <row r="29" spans="1:15" x14ac:dyDescent="0.35">
      <c r="A29" s="24">
        <v>14</v>
      </c>
      <c r="B29" s="513" t="str">
        <f>'Schedule 2E Adjustments'!B28:D28</f>
        <v/>
      </c>
      <c r="C29" s="513"/>
      <c r="D29" s="513"/>
      <c r="F29" s="117">
        <f>'Schedule 2E Adjustments'!H28</f>
        <v>0</v>
      </c>
      <c r="G29" s="68">
        <f>'Schedule 2E Adjustments'!J28</f>
        <v>0</v>
      </c>
      <c r="H29" s="68">
        <f t="shared" si="0"/>
        <v>0</v>
      </c>
      <c r="J29" s="117">
        <f>'Schedule 2E Adjustments'!P28</f>
        <v>0</v>
      </c>
      <c r="K29" s="68">
        <f>'Schedule 2E Adjustments'!R28</f>
        <v>0</v>
      </c>
      <c r="L29" s="68">
        <f t="shared" si="1"/>
        <v>0</v>
      </c>
      <c r="N29" s="120">
        <f>'Schedule 2E Adjustments'!X28</f>
        <v>0</v>
      </c>
      <c r="O29" s="120">
        <f>'Schedule 2E Adjustments'!AA28</f>
        <v>0</v>
      </c>
    </row>
    <row r="30" spans="1:15" x14ac:dyDescent="0.35">
      <c r="A30" s="24">
        <v>15</v>
      </c>
      <c r="B30" s="513" t="str">
        <f>'Schedule 2E Adjustments'!B29:D29</f>
        <v/>
      </c>
      <c r="C30" s="513"/>
      <c r="D30" s="513"/>
      <c r="F30" s="117">
        <f>'Schedule 2E Adjustments'!H29</f>
        <v>0</v>
      </c>
      <c r="G30" s="68">
        <f>'Schedule 2E Adjustments'!J29</f>
        <v>0</v>
      </c>
      <c r="H30" s="68">
        <f t="shared" si="0"/>
        <v>0</v>
      </c>
      <c r="J30" s="117">
        <f>'Schedule 2E Adjustments'!P29</f>
        <v>0</v>
      </c>
      <c r="K30" s="68">
        <f>'Schedule 2E Adjustments'!R29</f>
        <v>0</v>
      </c>
      <c r="L30" s="68">
        <f t="shared" si="1"/>
        <v>0</v>
      </c>
      <c r="N30" s="120">
        <f>'Schedule 2E Adjustments'!X29</f>
        <v>0</v>
      </c>
      <c r="O30" s="120">
        <f>'Schedule 2E Adjustments'!AA29</f>
        <v>0</v>
      </c>
    </row>
    <row r="31" spans="1:15" x14ac:dyDescent="0.35">
      <c r="A31" s="24">
        <v>16</v>
      </c>
      <c r="B31" s="513" t="str">
        <f>'Schedule 2E Adjustments'!B30:D30</f>
        <v/>
      </c>
      <c r="C31" s="513"/>
      <c r="D31" s="513"/>
      <c r="F31" s="117">
        <f>'Schedule 2E Adjustments'!H30</f>
        <v>0</v>
      </c>
      <c r="G31" s="68">
        <f>'Schedule 2E Adjustments'!J30</f>
        <v>0</v>
      </c>
      <c r="H31" s="68">
        <f t="shared" si="0"/>
        <v>0</v>
      </c>
      <c r="J31" s="117">
        <f>'Schedule 2E Adjustments'!P30</f>
        <v>0</v>
      </c>
      <c r="K31" s="68">
        <f>'Schedule 2E Adjustments'!R30</f>
        <v>0</v>
      </c>
      <c r="L31" s="68">
        <f t="shared" si="1"/>
        <v>0</v>
      </c>
      <c r="N31" s="120">
        <f>'Schedule 2E Adjustments'!X30</f>
        <v>0</v>
      </c>
      <c r="O31" s="120">
        <f>'Schedule 2E Adjustments'!AA30</f>
        <v>0</v>
      </c>
    </row>
    <row r="32" spans="1:15" x14ac:dyDescent="0.35">
      <c r="A32" s="24">
        <v>17</v>
      </c>
      <c r="B32" s="513" t="str">
        <f>'Schedule 2E Adjustments'!B31:D31</f>
        <v/>
      </c>
      <c r="C32" s="513"/>
      <c r="D32" s="513"/>
      <c r="F32" s="117">
        <f>'Schedule 2E Adjustments'!H31</f>
        <v>0</v>
      </c>
      <c r="G32" s="68">
        <f>'Schedule 2E Adjustments'!J31</f>
        <v>0</v>
      </c>
      <c r="H32" s="68">
        <f t="shared" si="0"/>
        <v>0</v>
      </c>
      <c r="J32" s="117">
        <f>'Schedule 2E Adjustments'!P31</f>
        <v>0</v>
      </c>
      <c r="K32" s="68">
        <f>'Schedule 2E Adjustments'!R31</f>
        <v>0</v>
      </c>
      <c r="L32" s="68">
        <f t="shared" si="1"/>
        <v>0</v>
      </c>
      <c r="N32" s="120">
        <f>'Schedule 2E Adjustments'!X31</f>
        <v>0</v>
      </c>
      <c r="O32" s="120">
        <f>'Schedule 2E Adjustments'!AA31</f>
        <v>0</v>
      </c>
    </row>
    <row r="33" spans="1:15" x14ac:dyDescent="0.35">
      <c r="A33" s="24">
        <v>18</v>
      </c>
      <c r="B33" s="513" t="str">
        <f>'Schedule 2E Adjustments'!B32:D32</f>
        <v/>
      </c>
      <c r="C33" s="513"/>
      <c r="D33" s="513"/>
      <c r="F33" s="117">
        <f>'Schedule 2E Adjustments'!H32</f>
        <v>0</v>
      </c>
      <c r="G33" s="68">
        <f>'Schedule 2E Adjustments'!J32</f>
        <v>0</v>
      </c>
      <c r="H33" s="68">
        <f t="shared" si="0"/>
        <v>0</v>
      </c>
      <c r="J33" s="117">
        <f>'Schedule 2E Adjustments'!P32</f>
        <v>0</v>
      </c>
      <c r="K33" s="68">
        <f>'Schedule 2E Adjustments'!R32</f>
        <v>0</v>
      </c>
      <c r="L33" s="68">
        <f t="shared" si="1"/>
        <v>0</v>
      </c>
      <c r="N33" s="120">
        <f>'Schedule 2E Adjustments'!X32</f>
        <v>0</v>
      </c>
      <c r="O33" s="120">
        <f>'Schedule 2E Adjustments'!AA32</f>
        <v>0</v>
      </c>
    </row>
    <row r="34" spans="1:15" x14ac:dyDescent="0.35">
      <c r="A34" s="24">
        <v>19</v>
      </c>
      <c r="B34" s="513" t="str">
        <f>'Schedule 2E Adjustments'!B33:D33</f>
        <v/>
      </c>
      <c r="C34" s="513"/>
      <c r="D34" s="513"/>
      <c r="F34" s="117">
        <f>'Schedule 2E Adjustments'!H33</f>
        <v>0</v>
      </c>
      <c r="G34" s="68">
        <f>'Schedule 2E Adjustments'!J33</f>
        <v>0</v>
      </c>
      <c r="H34" s="68">
        <f t="shared" si="0"/>
        <v>0</v>
      </c>
      <c r="J34" s="117">
        <f>'Schedule 2E Adjustments'!P33</f>
        <v>0</v>
      </c>
      <c r="K34" s="68">
        <f>'Schedule 2E Adjustments'!R33</f>
        <v>0</v>
      </c>
      <c r="L34" s="68">
        <f t="shared" si="1"/>
        <v>0</v>
      </c>
      <c r="N34" s="120">
        <f>'Schedule 2E Adjustments'!X33</f>
        <v>0</v>
      </c>
      <c r="O34" s="120">
        <f>'Schedule 2E Adjustments'!AA33</f>
        <v>0</v>
      </c>
    </row>
    <row r="35" spans="1:15" x14ac:dyDescent="0.35">
      <c r="A35" s="24">
        <v>20</v>
      </c>
      <c r="B35" s="513" t="str">
        <f>'Schedule 2E Adjustments'!B34:D34</f>
        <v/>
      </c>
      <c r="C35" s="513"/>
      <c r="D35" s="513"/>
      <c r="F35" s="117">
        <f>'Schedule 2E Adjustments'!H34</f>
        <v>0</v>
      </c>
      <c r="G35" s="68">
        <f>'Schedule 2E Adjustments'!J34</f>
        <v>0</v>
      </c>
      <c r="H35" s="68">
        <f t="shared" si="0"/>
        <v>0</v>
      </c>
      <c r="J35" s="117">
        <f>'Schedule 2E Adjustments'!P34</f>
        <v>0</v>
      </c>
      <c r="K35" s="68">
        <f>'Schedule 2E Adjustments'!R34</f>
        <v>0</v>
      </c>
      <c r="L35" s="68">
        <f t="shared" si="1"/>
        <v>0</v>
      </c>
      <c r="N35" s="120">
        <f>'Schedule 2E Adjustments'!X34</f>
        <v>0</v>
      </c>
      <c r="O35" s="120">
        <f>'Schedule 2E Adjustments'!AA34</f>
        <v>0</v>
      </c>
    </row>
    <row r="36" spans="1:15" x14ac:dyDescent="0.35">
      <c r="A36" s="24">
        <v>21</v>
      </c>
      <c r="B36" s="513" t="str">
        <f>'Schedule 2E Adjustments'!B35:D35</f>
        <v/>
      </c>
      <c r="C36" s="513"/>
      <c r="D36" s="513"/>
      <c r="F36" s="117">
        <f>'Schedule 2E Adjustments'!H35</f>
        <v>0</v>
      </c>
      <c r="G36" s="68">
        <f>'Schedule 2E Adjustments'!J35</f>
        <v>0</v>
      </c>
      <c r="H36" s="68">
        <f t="shared" si="0"/>
        <v>0</v>
      </c>
      <c r="J36" s="117">
        <f>'Schedule 2E Adjustments'!P35</f>
        <v>0</v>
      </c>
      <c r="K36" s="68">
        <f>'Schedule 2E Adjustments'!R35</f>
        <v>0</v>
      </c>
      <c r="L36" s="68">
        <f t="shared" si="1"/>
        <v>0</v>
      </c>
      <c r="N36" s="120">
        <f>'Schedule 2E Adjustments'!X35</f>
        <v>0</v>
      </c>
      <c r="O36" s="120">
        <f>'Schedule 2E Adjustments'!AA35</f>
        <v>0</v>
      </c>
    </row>
    <row r="37" spans="1:15" x14ac:dyDescent="0.35">
      <c r="A37" s="24">
        <v>22</v>
      </c>
      <c r="B37" s="513" t="str">
        <f>'Schedule 2E Adjustments'!B36:D36</f>
        <v/>
      </c>
      <c r="C37" s="513"/>
      <c r="D37" s="513"/>
      <c r="F37" s="117">
        <f>'Schedule 2E Adjustments'!H36</f>
        <v>0</v>
      </c>
      <c r="G37" s="68">
        <f>'Schedule 2E Adjustments'!J36</f>
        <v>0</v>
      </c>
      <c r="H37" s="68">
        <f t="shared" si="0"/>
        <v>0</v>
      </c>
      <c r="J37" s="117">
        <f>'Schedule 2E Adjustments'!P36</f>
        <v>0</v>
      </c>
      <c r="K37" s="68">
        <f>'Schedule 2E Adjustments'!R36</f>
        <v>0</v>
      </c>
      <c r="L37" s="68">
        <f t="shared" si="1"/>
        <v>0</v>
      </c>
      <c r="N37" s="120">
        <f>'Schedule 2E Adjustments'!X36</f>
        <v>0</v>
      </c>
      <c r="O37" s="120">
        <f>'Schedule 2E Adjustments'!AA36</f>
        <v>0</v>
      </c>
    </row>
    <row r="38" spans="1:15" x14ac:dyDescent="0.35">
      <c r="A38" s="24">
        <v>23</v>
      </c>
      <c r="B38" s="513" t="str">
        <f>'Schedule 2E Adjustments'!B37:D37</f>
        <v/>
      </c>
      <c r="C38" s="513"/>
      <c r="D38" s="513"/>
      <c r="F38" s="117">
        <f>'Schedule 2E Adjustments'!H37</f>
        <v>0</v>
      </c>
      <c r="G38" s="68">
        <f>'Schedule 2E Adjustments'!J37</f>
        <v>0</v>
      </c>
      <c r="H38" s="68">
        <f t="shared" si="0"/>
        <v>0</v>
      </c>
      <c r="J38" s="117">
        <f>'Schedule 2E Adjustments'!P37</f>
        <v>0</v>
      </c>
      <c r="K38" s="68">
        <f>'Schedule 2E Adjustments'!R37</f>
        <v>0</v>
      </c>
      <c r="L38" s="68">
        <f t="shared" si="1"/>
        <v>0</v>
      </c>
      <c r="N38" s="120">
        <f>'Schedule 2E Adjustments'!X37</f>
        <v>0</v>
      </c>
      <c r="O38" s="120">
        <f>'Schedule 2E Adjustments'!AA37</f>
        <v>0</v>
      </c>
    </row>
    <row r="39" spans="1:15" x14ac:dyDescent="0.35">
      <c r="A39" s="24">
        <v>24</v>
      </c>
      <c r="B39" s="513" t="str">
        <f>'Schedule 2E Adjustments'!B38:D38</f>
        <v/>
      </c>
      <c r="C39" s="513"/>
      <c r="D39" s="513"/>
      <c r="F39" s="117">
        <f>'Schedule 2E Adjustments'!H38</f>
        <v>0</v>
      </c>
      <c r="G39" s="68">
        <f>'Schedule 2E Adjustments'!J38</f>
        <v>0</v>
      </c>
      <c r="H39" s="68">
        <f t="shared" si="0"/>
        <v>0</v>
      </c>
      <c r="J39" s="117">
        <f>'Schedule 2E Adjustments'!P38</f>
        <v>0</v>
      </c>
      <c r="K39" s="68">
        <f>'Schedule 2E Adjustments'!R38</f>
        <v>0</v>
      </c>
      <c r="L39" s="68">
        <f t="shared" si="1"/>
        <v>0</v>
      </c>
      <c r="N39" s="120">
        <f>'Schedule 2E Adjustments'!X38</f>
        <v>0</v>
      </c>
      <c r="O39" s="120">
        <f>'Schedule 2E Adjustments'!AA38</f>
        <v>0</v>
      </c>
    </row>
    <row r="40" spans="1:15" x14ac:dyDescent="0.35">
      <c r="A40" s="24">
        <v>25</v>
      </c>
      <c r="B40" s="513" t="str">
        <f>'Schedule 2E Adjustments'!B39:D39</f>
        <v/>
      </c>
      <c r="C40" s="513"/>
      <c r="D40" s="513"/>
      <c r="F40" s="117">
        <f>'Schedule 2E Adjustments'!H39</f>
        <v>0</v>
      </c>
      <c r="G40" s="68">
        <f>'Schedule 2E Adjustments'!J39</f>
        <v>0</v>
      </c>
      <c r="H40" s="68">
        <f t="shared" si="0"/>
        <v>0</v>
      </c>
      <c r="J40" s="117">
        <f>'Schedule 2E Adjustments'!P39</f>
        <v>0</v>
      </c>
      <c r="K40" s="68">
        <f>'Schedule 2E Adjustments'!R39</f>
        <v>0</v>
      </c>
      <c r="L40" s="68">
        <f t="shared" si="1"/>
        <v>0</v>
      </c>
      <c r="N40" s="120">
        <f>'Schedule 2E Adjustments'!X39</f>
        <v>0</v>
      </c>
      <c r="O40" s="120">
        <f>'Schedule 2E Adjustments'!AA39</f>
        <v>0</v>
      </c>
    </row>
    <row r="41" spans="1:15" x14ac:dyDescent="0.35">
      <c r="A41" s="24">
        <v>26</v>
      </c>
      <c r="B41" s="513" t="str">
        <f>'Schedule 2E Adjustments'!B40:D40</f>
        <v/>
      </c>
      <c r="C41" s="513"/>
      <c r="D41" s="513"/>
      <c r="F41" s="117">
        <f>'Schedule 2E Adjustments'!H40</f>
        <v>0</v>
      </c>
      <c r="G41" s="68">
        <f>'Schedule 2E Adjustments'!J40</f>
        <v>0</v>
      </c>
      <c r="H41" s="68">
        <f t="shared" si="0"/>
        <v>0</v>
      </c>
      <c r="J41" s="117">
        <f>'Schedule 2E Adjustments'!P40</f>
        <v>0</v>
      </c>
      <c r="K41" s="68">
        <f>'Schedule 2E Adjustments'!R40</f>
        <v>0</v>
      </c>
      <c r="L41" s="68">
        <f t="shared" si="1"/>
        <v>0</v>
      </c>
      <c r="N41" s="120">
        <f>'Schedule 2E Adjustments'!X40</f>
        <v>0</v>
      </c>
      <c r="O41" s="120">
        <f>'Schedule 2E Adjustments'!AA40</f>
        <v>0</v>
      </c>
    </row>
    <row r="42" spans="1:15" x14ac:dyDescent="0.35">
      <c r="A42" s="24">
        <v>27</v>
      </c>
      <c r="B42" s="513" t="str">
        <f>'Schedule 2E Adjustments'!B41:D41</f>
        <v/>
      </c>
      <c r="C42" s="513"/>
      <c r="D42" s="513"/>
      <c r="F42" s="117">
        <f>'Schedule 2E Adjustments'!H41</f>
        <v>0</v>
      </c>
      <c r="G42" s="68">
        <f>'Schedule 2E Adjustments'!J41</f>
        <v>0</v>
      </c>
      <c r="H42" s="68">
        <f t="shared" si="0"/>
        <v>0</v>
      </c>
      <c r="J42" s="117">
        <f>'Schedule 2E Adjustments'!P41</f>
        <v>0</v>
      </c>
      <c r="K42" s="68">
        <f>'Schedule 2E Adjustments'!R41</f>
        <v>0</v>
      </c>
      <c r="L42" s="68">
        <f t="shared" si="1"/>
        <v>0</v>
      </c>
      <c r="N42" s="120">
        <f>'Schedule 2E Adjustments'!X41</f>
        <v>0</v>
      </c>
      <c r="O42" s="120">
        <f>'Schedule 2E Adjustments'!AA41</f>
        <v>0</v>
      </c>
    </row>
    <row r="43" spans="1:15" x14ac:dyDescent="0.35">
      <c r="A43" s="24">
        <v>28</v>
      </c>
      <c r="B43" s="513" t="str">
        <f>'Schedule 2E Adjustments'!B42:D42</f>
        <v/>
      </c>
      <c r="C43" s="513"/>
      <c r="D43" s="513"/>
      <c r="F43" s="117">
        <f>'Schedule 2E Adjustments'!H42</f>
        <v>0</v>
      </c>
      <c r="G43" s="68">
        <f>'Schedule 2E Adjustments'!J42</f>
        <v>0</v>
      </c>
      <c r="H43" s="68">
        <f t="shared" si="0"/>
        <v>0</v>
      </c>
      <c r="J43" s="117">
        <f>'Schedule 2E Adjustments'!P42</f>
        <v>0</v>
      </c>
      <c r="K43" s="68">
        <f>'Schedule 2E Adjustments'!R42</f>
        <v>0</v>
      </c>
      <c r="L43" s="68">
        <f t="shared" si="1"/>
        <v>0</v>
      </c>
      <c r="N43" s="120">
        <f>'Schedule 2E Adjustments'!X42</f>
        <v>0</v>
      </c>
      <c r="O43" s="120">
        <f>'Schedule 2E Adjustments'!AA42</f>
        <v>0</v>
      </c>
    </row>
    <row r="44" spans="1:15" x14ac:dyDescent="0.35">
      <c r="A44" s="24">
        <v>29</v>
      </c>
      <c r="B44" s="513" t="str">
        <f>'Schedule 2E Adjustments'!B43:D43</f>
        <v/>
      </c>
      <c r="C44" s="513"/>
      <c r="D44" s="513"/>
      <c r="F44" s="117">
        <f>'Schedule 2E Adjustments'!H43</f>
        <v>0</v>
      </c>
      <c r="G44" s="68">
        <f>'Schedule 2E Adjustments'!J43</f>
        <v>0</v>
      </c>
      <c r="H44" s="68">
        <f t="shared" si="0"/>
        <v>0</v>
      </c>
      <c r="J44" s="117">
        <f>'Schedule 2E Adjustments'!P43</f>
        <v>0</v>
      </c>
      <c r="K44" s="68">
        <f>'Schedule 2E Adjustments'!R43</f>
        <v>0</v>
      </c>
      <c r="L44" s="68">
        <f t="shared" si="1"/>
        <v>0</v>
      </c>
      <c r="N44" s="120">
        <f>'Schedule 2E Adjustments'!X43</f>
        <v>0</v>
      </c>
      <c r="O44" s="120">
        <f>'Schedule 2E Adjustments'!AA43</f>
        <v>0</v>
      </c>
    </row>
    <row r="45" spans="1:15" x14ac:dyDescent="0.35">
      <c r="A45" s="24">
        <v>30</v>
      </c>
      <c r="B45" s="513" t="str">
        <f>'Schedule 2E Adjustments'!B44:D44</f>
        <v/>
      </c>
      <c r="C45" s="513"/>
      <c r="D45" s="513"/>
      <c r="F45" s="117">
        <f>'Schedule 2E Adjustments'!H44</f>
        <v>0</v>
      </c>
      <c r="G45" s="68">
        <f>'Schedule 2E Adjustments'!J44</f>
        <v>0</v>
      </c>
      <c r="H45" s="68">
        <f t="shared" si="0"/>
        <v>0</v>
      </c>
      <c r="J45" s="117">
        <f>'Schedule 2E Adjustments'!P44</f>
        <v>0</v>
      </c>
      <c r="K45" s="68">
        <f>'Schedule 2E Adjustments'!R44</f>
        <v>0</v>
      </c>
      <c r="L45" s="68">
        <f t="shared" si="1"/>
        <v>0</v>
      </c>
      <c r="N45" s="120">
        <f>'Schedule 2E Adjustments'!X44</f>
        <v>0</v>
      </c>
      <c r="O45" s="120">
        <f>'Schedule 2E Adjustments'!AA44</f>
        <v>0</v>
      </c>
    </row>
    <row r="46" spans="1:15" x14ac:dyDescent="0.35">
      <c r="A46" s="24">
        <v>31</v>
      </c>
      <c r="B46" s="513" t="str">
        <f>'Schedule 2E Adjustments'!B45:D45</f>
        <v/>
      </c>
      <c r="C46" s="513"/>
      <c r="D46" s="513"/>
      <c r="F46" s="117">
        <f>'Schedule 2E Adjustments'!H45</f>
        <v>0</v>
      </c>
      <c r="G46" s="68">
        <f>'Schedule 2E Adjustments'!J45</f>
        <v>0</v>
      </c>
      <c r="H46" s="68">
        <f t="shared" si="0"/>
        <v>0</v>
      </c>
      <c r="J46" s="117">
        <f>'Schedule 2E Adjustments'!P45</f>
        <v>0</v>
      </c>
      <c r="K46" s="68">
        <f>'Schedule 2E Adjustments'!R45</f>
        <v>0</v>
      </c>
      <c r="L46" s="68">
        <f t="shared" si="1"/>
        <v>0</v>
      </c>
      <c r="N46" s="120">
        <f>'Schedule 2E Adjustments'!X45</f>
        <v>0</v>
      </c>
      <c r="O46" s="120">
        <f>'Schedule 2E Adjustments'!AA45</f>
        <v>0</v>
      </c>
    </row>
    <row r="47" spans="1:15" x14ac:dyDescent="0.35">
      <c r="A47" s="24">
        <v>32</v>
      </c>
      <c r="B47" s="513" t="str">
        <f>'Schedule 2E Adjustments'!B46:D46</f>
        <v/>
      </c>
      <c r="C47" s="513"/>
      <c r="D47" s="513"/>
      <c r="F47" s="117">
        <f>'Schedule 2E Adjustments'!H46</f>
        <v>0</v>
      </c>
      <c r="G47" s="68">
        <f>'Schedule 2E Adjustments'!J46</f>
        <v>0</v>
      </c>
      <c r="H47" s="68">
        <f t="shared" si="0"/>
        <v>0</v>
      </c>
      <c r="J47" s="117">
        <f>'Schedule 2E Adjustments'!P46</f>
        <v>0</v>
      </c>
      <c r="K47" s="68">
        <f>'Schedule 2E Adjustments'!R46</f>
        <v>0</v>
      </c>
      <c r="L47" s="68">
        <f t="shared" si="1"/>
        <v>0</v>
      </c>
      <c r="N47" s="120">
        <f>'Schedule 2E Adjustments'!X46</f>
        <v>0</v>
      </c>
      <c r="O47" s="120">
        <f>'Schedule 2E Adjustments'!AA46</f>
        <v>0</v>
      </c>
    </row>
    <row r="48" spans="1:15" x14ac:dyDescent="0.35">
      <c r="A48" s="24">
        <v>33</v>
      </c>
      <c r="B48" s="513" t="str">
        <f>'Schedule 2E Adjustments'!B47:D47</f>
        <v/>
      </c>
      <c r="C48" s="513"/>
      <c r="D48" s="513"/>
      <c r="F48" s="117">
        <f>'Schedule 2E Adjustments'!H47</f>
        <v>0</v>
      </c>
      <c r="G48" s="68">
        <f>'Schedule 2E Adjustments'!J47</f>
        <v>0</v>
      </c>
      <c r="H48" s="68">
        <f t="shared" si="0"/>
        <v>0</v>
      </c>
      <c r="J48" s="117">
        <f>'Schedule 2E Adjustments'!P47</f>
        <v>0</v>
      </c>
      <c r="K48" s="68">
        <f>'Schedule 2E Adjustments'!R47</f>
        <v>0</v>
      </c>
      <c r="L48" s="68">
        <f t="shared" si="1"/>
        <v>0</v>
      </c>
      <c r="N48" s="120">
        <f>'Schedule 2E Adjustments'!X47</f>
        <v>0</v>
      </c>
      <c r="O48" s="120">
        <f>'Schedule 2E Adjustments'!AA47</f>
        <v>0</v>
      </c>
    </row>
    <row r="49" spans="1:15" x14ac:dyDescent="0.35">
      <c r="A49" s="24">
        <v>34</v>
      </c>
      <c r="B49" s="513" t="str">
        <f>'Schedule 2E Adjustments'!B48:D48</f>
        <v/>
      </c>
      <c r="C49" s="513"/>
      <c r="D49" s="513"/>
      <c r="F49" s="117">
        <f>'Schedule 2E Adjustments'!H48</f>
        <v>0</v>
      </c>
      <c r="G49" s="68">
        <f>'Schedule 2E Adjustments'!J48</f>
        <v>0</v>
      </c>
      <c r="H49" s="68">
        <f t="shared" si="0"/>
        <v>0</v>
      </c>
      <c r="J49" s="117">
        <f>'Schedule 2E Adjustments'!P48</f>
        <v>0</v>
      </c>
      <c r="K49" s="68">
        <f>'Schedule 2E Adjustments'!R48</f>
        <v>0</v>
      </c>
      <c r="L49" s="68">
        <f t="shared" si="1"/>
        <v>0</v>
      </c>
      <c r="N49" s="120">
        <f>'Schedule 2E Adjustments'!X48</f>
        <v>0</v>
      </c>
      <c r="O49" s="120">
        <f>'Schedule 2E Adjustments'!AA48</f>
        <v>0</v>
      </c>
    </row>
    <row r="50" spans="1:15" x14ac:dyDescent="0.35">
      <c r="A50" s="24">
        <v>35</v>
      </c>
      <c r="B50" s="513" t="str">
        <f>'Schedule 2E Adjustments'!B49:D49</f>
        <v/>
      </c>
      <c r="C50" s="513"/>
      <c r="D50" s="513"/>
      <c r="F50" s="117">
        <f>'Schedule 2E Adjustments'!H49</f>
        <v>0</v>
      </c>
      <c r="G50" s="68">
        <f>'Schedule 2E Adjustments'!J49</f>
        <v>0</v>
      </c>
      <c r="H50" s="68">
        <f t="shared" si="0"/>
        <v>0</v>
      </c>
      <c r="J50" s="117">
        <f>'Schedule 2E Adjustments'!P49</f>
        <v>0</v>
      </c>
      <c r="K50" s="68">
        <f>'Schedule 2E Adjustments'!R49</f>
        <v>0</v>
      </c>
      <c r="L50" s="68">
        <f t="shared" si="1"/>
        <v>0</v>
      </c>
      <c r="N50" s="120">
        <f>'Schedule 2E Adjustments'!X49</f>
        <v>0</v>
      </c>
      <c r="O50" s="120">
        <f>'Schedule 2E Adjustments'!AA49</f>
        <v>0</v>
      </c>
    </row>
    <row r="51" spans="1:15" x14ac:dyDescent="0.35">
      <c r="A51" s="24">
        <v>36</v>
      </c>
      <c r="B51" s="513" t="str">
        <f>'Schedule 2E Adjustments'!B50:D50</f>
        <v/>
      </c>
      <c r="C51" s="513"/>
      <c r="D51" s="513"/>
      <c r="F51" s="117">
        <f>'Schedule 2E Adjustments'!H50</f>
        <v>0</v>
      </c>
      <c r="G51" s="68">
        <f>'Schedule 2E Adjustments'!J50</f>
        <v>0</v>
      </c>
      <c r="H51" s="68">
        <f t="shared" si="0"/>
        <v>0</v>
      </c>
      <c r="J51" s="117">
        <f>'Schedule 2E Adjustments'!P50</f>
        <v>0</v>
      </c>
      <c r="K51" s="68">
        <f>'Schedule 2E Adjustments'!R50</f>
        <v>0</v>
      </c>
      <c r="L51" s="68">
        <f t="shared" si="1"/>
        <v>0</v>
      </c>
      <c r="N51" s="120">
        <f>'Schedule 2E Adjustments'!X50</f>
        <v>0</v>
      </c>
      <c r="O51" s="120">
        <f>'Schedule 2E Adjustments'!AA50</f>
        <v>0</v>
      </c>
    </row>
    <row r="52" spans="1:15" x14ac:dyDescent="0.35">
      <c r="A52" s="24">
        <v>37</v>
      </c>
      <c r="B52" s="513" t="str">
        <f>'Schedule 2E Adjustments'!B51:D51</f>
        <v/>
      </c>
      <c r="C52" s="513"/>
      <c r="D52" s="513"/>
      <c r="F52" s="117">
        <f>'Schedule 2E Adjustments'!H51</f>
        <v>0</v>
      </c>
      <c r="G52" s="68">
        <f>'Schedule 2E Adjustments'!J51</f>
        <v>0</v>
      </c>
      <c r="H52" s="68">
        <f t="shared" si="0"/>
        <v>0</v>
      </c>
      <c r="J52" s="117">
        <f>'Schedule 2E Adjustments'!P51</f>
        <v>0</v>
      </c>
      <c r="K52" s="68">
        <f>'Schedule 2E Adjustments'!R51</f>
        <v>0</v>
      </c>
      <c r="L52" s="68">
        <f t="shared" si="1"/>
        <v>0</v>
      </c>
      <c r="N52" s="120">
        <f>'Schedule 2E Adjustments'!X51</f>
        <v>0</v>
      </c>
      <c r="O52" s="120">
        <f>'Schedule 2E Adjustments'!AA51</f>
        <v>0</v>
      </c>
    </row>
    <row r="53" spans="1:15" x14ac:dyDescent="0.35">
      <c r="A53" s="24">
        <v>38</v>
      </c>
      <c r="B53" s="513" t="str">
        <f>'Schedule 2E Adjustments'!B52:D52</f>
        <v/>
      </c>
      <c r="C53" s="513"/>
      <c r="D53" s="513"/>
      <c r="F53" s="117">
        <f>'Schedule 2E Adjustments'!H52</f>
        <v>0</v>
      </c>
      <c r="G53" s="68">
        <f>'Schedule 2E Adjustments'!J52</f>
        <v>0</v>
      </c>
      <c r="H53" s="68">
        <f t="shared" si="0"/>
        <v>0</v>
      </c>
      <c r="J53" s="117">
        <f>'Schedule 2E Adjustments'!P52</f>
        <v>0</v>
      </c>
      <c r="K53" s="68">
        <f>'Schedule 2E Adjustments'!R52</f>
        <v>0</v>
      </c>
      <c r="L53" s="68">
        <f t="shared" si="1"/>
        <v>0</v>
      </c>
      <c r="N53" s="120">
        <f>'Schedule 2E Adjustments'!X52</f>
        <v>0</v>
      </c>
      <c r="O53" s="120">
        <f>'Schedule 2E Adjustments'!AA52</f>
        <v>0</v>
      </c>
    </row>
    <row r="54" spans="1:15" x14ac:dyDescent="0.35">
      <c r="A54" s="24">
        <v>39</v>
      </c>
      <c r="B54" s="513" t="str">
        <f>'Schedule 2E Adjustments'!B53:D53</f>
        <v/>
      </c>
      <c r="C54" s="513"/>
      <c r="D54" s="513"/>
      <c r="F54" s="117">
        <f>'Schedule 2E Adjustments'!H53</f>
        <v>0</v>
      </c>
      <c r="G54" s="68">
        <f>'Schedule 2E Adjustments'!J53</f>
        <v>0</v>
      </c>
      <c r="H54" s="68">
        <f t="shared" si="0"/>
        <v>0</v>
      </c>
      <c r="J54" s="117">
        <f>'Schedule 2E Adjustments'!P53</f>
        <v>0</v>
      </c>
      <c r="K54" s="68">
        <f>'Schedule 2E Adjustments'!R53</f>
        <v>0</v>
      </c>
      <c r="L54" s="68">
        <f t="shared" si="1"/>
        <v>0</v>
      </c>
      <c r="N54" s="120">
        <f>'Schedule 2E Adjustments'!X53</f>
        <v>0</v>
      </c>
      <c r="O54" s="120">
        <f>'Schedule 2E Adjustments'!AA53</f>
        <v>0</v>
      </c>
    </row>
    <row r="55" spans="1:15" x14ac:dyDescent="0.35">
      <c r="A55" s="24">
        <v>40</v>
      </c>
      <c r="B55" s="513" t="str">
        <f>'Schedule 2E Adjustments'!B54:D54</f>
        <v/>
      </c>
      <c r="C55" s="513"/>
      <c r="D55" s="513"/>
      <c r="F55" s="117">
        <f>'Schedule 2E Adjustments'!H54</f>
        <v>0</v>
      </c>
      <c r="G55" s="68">
        <f>'Schedule 2E Adjustments'!J54</f>
        <v>0</v>
      </c>
      <c r="H55" s="68">
        <f t="shared" si="0"/>
        <v>0</v>
      </c>
      <c r="J55" s="117">
        <f>'Schedule 2E Adjustments'!P54</f>
        <v>0</v>
      </c>
      <c r="K55" s="68">
        <f>'Schedule 2E Adjustments'!R54</f>
        <v>0</v>
      </c>
      <c r="L55" s="68">
        <f t="shared" si="1"/>
        <v>0</v>
      </c>
      <c r="N55" s="120">
        <f>'Schedule 2E Adjustments'!X54</f>
        <v>0</v>
      </c>
      <c r="O55" s="120">
        <f>'Schedule 2E Adjustments'!AA54</f>
        <v>0</v>
      </c>
    </row>
    <row r="56" spans="1:15" x14ac:dyDescent="0.35">
      <c r="A56" s="24">
        <v>41</v>
      </c>
      <c r="B56" s="513" t="str">
        <f>'Schedule 2E Adjustments'!B55:D55</f>
        <v/>
      </c>
      <c r="C56" s="513"/>
      <c r="D56" s="513"/>
      <c r="F56" s="117">
        <f>'Schedule 2E Adjustments'!H55</f>
        <v>0</v>
      </c>
      <c r="G56" s="68">
        <f>'Schedule 2E Adjustments'!J55</f>
        <v>0</v>
      </c>
      <c r="H56" s="68">
        <f t="shared" si="0"/>
        <v>0</v>
      </c>
      <c r="J56" s="117">
        <f>'Schedule 2E Adjustments'!P55</f>
        <v>0</v>
      </c>
      <c r="K56" s="68">
        <f>'Schedule 2E Adjustments'!R55</f>
        <v>0</v>
      </c>
      <c r="L56" s="68">
        <f t="shared" si="1"/>
        <v>0</v>
      </c>
      <c r="N56" s="120">
        <f>'Schedule 2E Adjustments'!X55</f>
        <v>0</v>
      </c>
      <c r="O56" s="120">
        <f>'Schedule 2E Adjustments'!AA55</f>
        <v>0</v>
      </c>
    </row>
    <row r="57" spans="1:15" x14ac:dyDescent="0.35">
      <c r="A57" s="24">
        <v>42</v>
      </c>
      <c r="B57" s="513" t="str">
        <f>'Schedule 2E Adjustments'!B56:D56</f>
        <v/>
      </c>
      <c r="C57" s="513"/>
      <c r="D57" s="513"/>
      <c r="F57" s="117">
        <f>'Schedule 2E Adjustments'!H56</f>
        <v>0</v>
      </c>
      <c r="G57" s="68">
        <f>'Schedule 2E Adjustments'!J56</f>
        <v>0</v>
      </c>
      <c r="H57" s="68">
        <f t="shared" si="0"/>
        <v>0</v>
      </c>
      <c r="J57" s="117">
        <f>'Schedule 2E Adjustments'!P56</f>
        <v>0</v>
      </c>
      <c r="K57" s="68">
        <f>'Schedule 2E Adjustments'!R56</f>
        <v>0</v>
      </c>
      <c r="L57" s="68">
        <f t="shared" si="1"/>
        <v>0</v>
      </c>
      <c r="N57" s="120">
        <f>'Schedule 2E Adjustments'!X56</f>
        <v>0</v>
      </c>
      <c r="O57" s="120">
        <f>'Schedule 2E Adjustments'!AA56</f>
        <v>0</v>
      </c>
    </row>
    <row r="58" spans="1:15" x14ac:dyDescent="0.35">
      <c r="A58" s="24">
        <v>43</v>
      </c>
      <c r="B58" s="513" t="str">
        <f>'Schedule 2E Adjustments'!B57:D57</f>
        <v/>
      </c>
      <c r="C58" s="513"/>
      <c r="D58" s="513"/>
      <c r="F58" s="117">
        <f>'Schedule 2E Adjustments'!H57</f>
        <v>0</v>
      </c>
      <c r="G58" s="68">
        <f>'Schedule 2E Adjustments'!J57</f>
        <v>0</v>
      </c>
      <c r="H58" s="68">
        <f t="shared" si="0"/>
        <v>0</v>
      </c>
      <c r="J58" s="117">
        <f>'Schedule 2E Adjustments'!P57</f>
        <v>0</v>
      </c>
      <c r="K58" s="68">
        <f>'Schedule 2E Adjustments'!R57</f>
        <v>0</v>
      </c>
      <c r="L58" s="68">
        <f t="shared" si="1"/>
        <v>0</v>
      </c>
      <c r="N58" s="120">
        <f>'Schedule 2E Adjustments'!X57</f>
        <v>0</v>
      </c>
      <c r="O58" s="120">
        <f>'Schedule 2E Adjustments'!AA57</f>
        <v>0</v>
      </c>
    </row>
    <row r="59" spans="1:15" x14ac:dyDescent="0.35">
      <c r="A59" s="24">
        <v>44</v>
      </c>
      <c r="B59" s="513" t="str">
        <f>'Schedule 2E Adjustments'!B58:D58</f>
        <v/>
      </c>
      <c r="C59" s="513"/>
      <c r="D59" s="513"/>
      <c r="F59" s="117">
        <f>'Schedule 2E Adjustments'!H58</f>
        <v>0</v>
      </c>
      <c r="G59" s="68">
        <f>'Schedule 2E Adjustments'!J58</f>
        <v>0</v>
      </c>
      <c r="H59" s="68">
        <f t="shared" si="0"/>
        <v>0</v>
      </c>
      <c r="J59" s="117">
        <f>'Schedule 2E Adjustments'!P58</f>
        <v>0</v>
      </c>
      <c r="K59" s="68">
        <f>'Schedule 2E Adjustments'!R58</f>
        <v>0</v>
      </c>
      <c r="L59" s="68">
        <f t="shared" si="1"/>
        <v>0</v>
      </c>
      <c r="N59" s="120">
        <f>'Schedule 2E Adjustments'!X58</f>
        <v>0</v>
      </c>
      <c r="O59" s="120">
        <f>'Schedule 2E Adjustments'!AA58</f>
        <v>0</v>
      </c>
    </row>
    <row r="60" spans="1:15" x14ac:dyDescent="0.35">
      <c r="A60" s="24">
        <v>45</v>
      </c>
      <c r="B60" s="513" t="str">
        <f>'Schedule 2E Adjustments'!B59:D59</f>
        <v/>
      </c>
      <c r="C60" s="513"/>
      <c r="D60" s="513"/>
      <c r="F60" s="117">
        <f>'Schedule 2E Adjustments'!H59</f>
        <v>0</v>
      </c>
      <c r="G60" s="68">
        <f>'Schedule 2E Adjustments'!J59</f>
        <v>0</v>
      </c>
      <c r="H60" s="68">
        <f t="shared" si="0"/>
        <v>0</v>
      </c>
      <c r="J60" s="117">
        <f>'Schedule 2E Adjustments'!P59</f>
        <v>0</v>
      </c>
      <c r="K60" s="68">
        <f>'Schedule 2E Adjustments'!R59</f>
        <v>0</v>
      </c>
      <c r="L60" s="68">
        <f t="shared" si="1"/>
        <v>0</v>
      </c>
      <c r="N60" s="120">
        <f>'Schedule 2E Adjustments'!X59</f>
        <v>0</v>
      </c>
      <c r="O60" s="120">
        <f>'Schedule 2E Adjustments'!AA59</f>
        <v>0</v>
      </c>
    </row>
    <row r="61" spans="1:15" x14ac:dyDescent="0.35">
      <c r="A61" s="24">
        <v>46</v>
      </c>
      <c r="B61" s="513" t="str">
        <f>'Schedule 2E Adjustments'!B60:D60</f>
        <v/>
      </c>
      <c r="C61" s="513"/>
      <c r="D61" s="513"/>
      <c r="F61" s="117">
        <f>'Schedule 2E Adjustments'!H60</f>
        <v>0</v>
      </c>
      <c r="G61" s="68">
        <f>'Schedule 2E Adjustments'!J60</f>
        <v>0</v>
      </c>
      <c r="H61" s="68">
        <f t="shared" si="0"/>
        <v>0</v>
      </c>
      <c r="J61" s="117">
        <f>'Schedule 2E Adjustments'!P60</f>
        <v>0</v>
      </c>
      <c r="K61" s="68">
        <f>'Schedule 2E Adjustments'!R60</f>
        <v>0</v>
      </c>
      <c r="L61" s="68">
        <f t="shared" si="1"/>
        <v>0</v>
      </c>
      <c r="N61" s="120">
        <f>'Schedule 2E Adjustments'!X60</f>
        <v>0</v>
      </c>
      <c r="O61" s="120">
        <f>'Schedule 2E Adjustments'!AA60</f>
        <v>0</v>
      </c>
    </row>
    <row r="62" spans="1:15" x14ac:dyDescent="0.35">
      <c r="A62" s="24">
        <v>47</v>
      </c>
      <c r="B62" s="513" t="str">
        <f>'Schedule 2E Adjustments'!B61:D61</f>
        <v/>
      </c>
      <c r="C62" s="513"/>
      <c r="D62" s="513"/>
      <c r="F62" s="117">
        <f>'Schedule 2E Adjustments'!H61</f>
        <v>0</v>
      </c>
      <c r="G62" s="68">
        <f>'Schedule 2E Adjustments'!J61</f>
        <v>0</v>
      </c>
      <c r="H62" s="68">
        <f t="shared" si="0"/>
        <v>0</v>
      </c>
      <c r="J62" s="117">
        <f>'Schedule 2E Adjustments'!P61</f>
        <v>0</v>
      </c>
      <c r="K62" s="68">
        <f>'Schedule 2E Adjustments'!R61</f>
        <v>0</v>
      </c>
      <c r="L62" s="68">
        <f t="shared" si="1"/>
        <v>0</v>
      </c>
      <c r="N62" s="120">
        <f>'Schedule 2E Adjustments'!X61</f>
        <v>0</v>
      </c>
      <c r="O62" s="120">
        <f>'Schedule 2E Adjustments'!AA61</f>
        <v>0</v>
      </c>
    </row>
    <row r="63" spans="1:15" x14ac:dyDescent="0.35">
      <c r="A63" s="24">
        <v>48</v>
      </c>
      <c r="B63" s="513" t="str">
        <f>'Schedule 2E Adjustments'!B62:D62</f>
        <v/>
      </c>
      <c r="C63" s="513"/>
      <c r="D63" s="513"/>
      <c r="F63" s="117">
        <f>'Schedule 2E Adjustments'!H62</f>
        <v>0</v>
      </c>
      <c r="G63" s="68">
        <f>'Schedule 2E Adjustments'!J62</f>
        <v>0</v>
      </c>
      <c r="H63" s="68">
        <f t="shared" si="0"/>
        <v>0</v>
      </c>
      <c r="J63" s="117">
        <f>'Schedule 2E Adjustments'!P62</f>
        <v>0</v>
      </c>
      <c r="K63" s="68">
        <f>'Schedule 2E Adjustments'!R62</f>
        <v>0</v>
      </c>
      <c r="L63" s="68">
        <f t="shared" si="1"/>
        <v>0</v>
      </c>
      <c r="N63" s="120">
        <f>'Schedule 2E Adjustments'!X62</f>
        <v>0</v>
      </c>
      <c r="O63" s="120">
        <f>'Schedule 2E Adjustments'!AA62</f>
        <v>0</v>
      </c>
    </row>
    <row r="64" spans="1:15" x14ac:dyDescent="0.35">
      <c r="A64" s="24">
        <v>49</v>
      </c>
      <c r="B64" s="513" t="str">
        <f>'Schedule 2E Adjustments'!B63:D63</f>
        <v/>
      </c>
      <c r="C64" s="513"/>
      <c r="D64" s="513"/>
      <c r="F64" s="117">
        <f>'Schedule 2E Adjustments'!H63</f>
        <v>0</v>
      </c>
      <c r="G64" s="68">
        <f>'Schedule 2E Adjustments'!J63</f>
        <v>0</v>
      </c>
      <c r="H64" s="68">
        <f t="shared" si="0"/>
        <v>0</v>
      </c>
      <c r="J64" s="117">
        <f>'Schedule 2E Adjustments'!P63</f>
        <v>0</v>
      </c>
      <c r="K64" s="68">
        <f>'Schedule 2E Adjustments'!R63</f>
        <v>0</v>
      </c>
      <c r="L64" s="68">
        <f t="shared" si="1"/>
        <v>0</v>
      </c>
      <c r="N64" s="120">
        <f>'Schedule 2E Adjustments'!X63</f>
        <v>0</v>
      </c>
      <c r="O64" s="120">
        <f>'Schedule 2E Adjustments'!AA63</f>
        <v>0</v>
      </c>
    </row>
    <row r="65" spans="1:15" x14ac:dyDescent="0.35">
      <c r="A65" s="24">
        <v>50</v>
      </c>
      <c r="B65" s="513" t="str">
        <f>'Schedule 2E Adjustments'!B64:D64</f>
        <v/>
      </c>
      <c r="C65" s="513"/>
      <c r="D65" s="513"/>
      <c r="F65" s="117">
        <f>'Schedule 2E Adjustments'!H64</f>
        <v>0</v>
      </c>
      <c r="G65" s="68">
        <f>'Schedule 2E Adjustments'!J64</f>
        <v>0</v>
      </c>
      <c r="H65" s="68">
        <f t="shared" si="0"/>
        <v>0</v>
      </c>
      <c r="J65" s="117">
        <f>'Schedule 2E Adjustments'!P64</f>
        <v>0</v>
      </c>
      <c r="K65" s="68">
        <f>'Schedule 2E Adjustments'!R64</f>
        <v>0</v>
      </c>
      <c r="L65" s="68">
        <f t="shared" si="1"/>
        <v>0</v>
      </c>
      <c r="N65" s="120">
        <f>'Schedule 2E Adjustments'!X64</f>
        <v>0</v>
      </c>
      <c r="O65" s="120">
        <f>'Schedule 2E Adjustments'!AA64</f>
        <v>0</v>
      </c>
    </row>
    <row r="66" spans="1:15" x14ac:dyDescent="0.35">
      <c r="A66" s="24">
        <v>51</v>
      </c>
      <c r="B66" s="513" t="str">
        <f>'Schedule 2E Adjustments'!B65:D65</f>
        <v/>
      </c>
      <c r="C66" s="513"/>
      <c r="D66" s="513"/>
      <c r="F66" s="117">
        <f>'Schedule 2E Adjustments'!H65</f>
        <v>0</v>
      </c>
      <c r="G66" s="68">
        <f>'Schedule 2E Adjustments'!J65</f>
        <v>0</v>
      </c>
      <c r="H66" s="68">
        <f t="shared" si="0"/>
        <v>0</v>
      </c>
      <c r="J66" s="117">
        <f>'Schedule 2E Adjustments'!P65</f>
        <v>0</v>
      </c>
      <c r="K66" s="68">
        <f>'Schedule 2E Adjustments'!R65</f>
        <v>0</v>
      </c>
      <c r="L66" s="68">
        <f t="shared" si="1"/>
        <v>0</v>
      </c>
      <c r="N66" s="120">
        <f>'Schedule 2E Adjustments'!X65</f>
        <v>0</v>
      </c>
      <c r="O66" s="120">
        <f>'Schedule 2E Adjustments'!AA65</f>
        <v>0</v>
      </c>
    </row>
    <row r="67" spans="1:15" x14ac:dyDescent="0.35">
      <c r="A67" s="24">
        <v>52</v>
      </c>
      <c r="B67" s="513" t="str">
        <f>'Schedule 2E Adjustments'!B66:D66</f>
        <v/>
      </c>
      <c r="C67" s="513"/>
      <c r="D67" s="513"/>
      <c r="F67" s="117">
        <f>'Schedule 2E Adjustments'!H66</f>
        <v>0</v>
      </c>
      <c r="G67" s="68">
        <f>'Schedule 2E Adjustments'!J66</f>
        <v>0</v>
      </c>
      <c r="H67" s="68">
        <f t="shared" si="0"/>
        <v>0</v>
      </c>
      <c r="J67" s="117">
        <f>'Schedule 2E Adjustments'!P66</f>
        <v>0</v>
      </c>
      <c r="K67" s="68">
        <f>'Schedule 2E Adjustments'!R66</f>
        <v>0</v>
      </c>
      <c r="L67" s="68">
        <f t="shared" si="1"/>
        <v>0</v>
      </c>
      <c r="N67" s="120">
        <f>'Schedule 2E Adjustments'!X66</f>
        <v>0</v>
      </c>
      <c r="O67" s="120">
        <f>'Schedule 2E Adjustments'!AA66</f>
        <v>0</v>
      </c>
    </row>
    <row r="68" spans="1:15" x14ac:dyDescent="0.35">
      <c r="A68" s="24">
        <v>53</v>
      </c>
      <c r="B68" s="513" t="str">
        <f>'Schedule 2E Adjustments'!B67:D67</f>
        <v/>
      </c>
      <c r="C68" s="513"/>
      <c r="D68" s="513"/>
      <c r="F68" s="117">
        <f>'Schedule 2E Adjustments'!H67</f>
        <v>0</v>
      </c>
      <c r="G68" s="68">
        <f>'Schedule 2E Adjustments'!J67</f>
        <v>0</v>
      </c>
      <c r="H68" s="68">
        <f t="shared" si="0"/>
        <v>0</v>
      </c>
      <c r="J68" s="117">
        <f>'Schedule 2E Adjustments'!P67</f>
        <v>0</v>
      </c>
      <c r="K68" s="68">
        <f>'Schedule 2E Adjustments'!R67</f>
        <v>0</v>
      </c>
      <c r="L68" s="68">
        <f t="shared" si="1"/>
        <v>0</v>
      </c>
      <c r="N68" s="120">
        <f>'Schedule 2E Adjustments'!X67</f>
        <v>0</v>
      </c>
      <c r="O68" s="120">
        <f>'Schedule 2E Adjustments'!AA67</f>
        <v>0</v>
      </c>
    </row>
    <row r="69" spans="1:15" x14ac:dyDescent="0.35">
      <c r="A69" s="24">
        <v>54</v>
      </c>
      <c r="B69" s="513" t="str">
        <f>'Schedule 2E Adjustments'!B68:D68</f>
        <v/>
      </c>
      <c r="C69" s="513"/>
      <c r="D69" s="513"/>
      <c r="F69" s="117">
        <f>'Schedule 2E Adjustments'!H68</f>
        <v>0</v>
      </c>
      <c r="G69" s="68">
        <f>'Schedule 2E Adjustments'!J68</f>
        <v>0</v>
      </c>
      <c r="H69" s="68">
        <f t="shared" si="0"/>
        <v>0</v>
      </c>
      <c r="J69" s="117">
        <f>'Schedule 2E Adjustments'!P68</f>
        <v>0</v>
      </c>
      <c r="K69" s="68">
        <f>'Schedule 2E Adjustments'!R68</f>
        <v>0</v>
      </c>
      <c r="L69" s="68">
        <f t="shared" si="1"/>
        <v>0</v>
      </c>
      <c r="N69" s="120">
        <f>'Schedule 2E Adjustments'!X68</f>
        <v>0</v>
      </c>
      <c r="O69" s="120">
        <f>'Schedule 2E Adjustments'!AA68</f>
        <v>0</v>
      </c>
    </row>
    <row r="70" spans="1:15" x14ac:dyDescent="0.35">
      <c r="A70" s="24">
        <v>55</v>
      </c>
      <c r="B70" s="513" t="str">
        <f>'Schedule 2E Adjustments'!B69:D69</f>
        <v/>
      </c>
      <c r="C70" s="513"/>
      <c r="D70" s="513"/>
      <c r="F70" s="117">
        <f>'Schedule 2E Adjustments'!H69</f>
        <v>0</v>
      </c>
      <c r="G70" s="68">
        <f>'Schedule 2E Adjustments'!J69</f>
        <v>0</v>
      </c>
      <c r="H70" s="68">
        <f t="shared" si="0"/>
        <v>0</v>
      </c>
      <c r="J70" s="117">
        <f>'Schedule 2E Adjustments'!P69</f>
        <v>0</v>
      </c>
      <c r="K70" s="68">
        <f>'Schedule 2E Adjustments'!R69</f>
        <v>0</v>
      </c>
      <c r="L70" s="68">
        <f t="shared" si="1"/>
        <v>0</v>
      </c>
      <c r="N70" s="120">
        <f>'Schedule 2E Adjustments'!X69</f>
        <v>0</v>
      </c>
      <c r="O70" s="120">
        <f>'Schedule 2E Adjustments'!AA69</f>
        <v>0</v>
      </c>
    </row>
    <row r="71" spans="1:15" x14ac:dyDescent="0.35">
      <c r="A71" s="24">
        <v>56</v>
      </c>
      <c r="B71" s="513" t="str">
        <f>'Schedule 2E Adjustments'!B70:D70</f>
        <v/>
      </c>
      <c r="C71" s="513"/>
      <c r="D71" s="513"/>
      <c r="F71" s="117">
        <f>'Schedule 2E Adjustments'!H70</f>
        <v>0</v>
      </c>
      <c r="G71" s="68">
        <f>'Schedule 2E Adjustments'!J70</f>
        <v>0</v>
      </c>
      <c r="H71" s="68">
        <f t="shared" si="0"/>
        <v>0</v>
      </c>
      <c r="J71" s="117">
        <f>'Schedule 2E Adjustments'!P70</f>
        <v>0</v>
      </c>
      <c r="K71" s="68">
        <f>'Schedule 2E Adjustments'!R70</f>
        <v>0</v>
      </c>
      <c r="L71" s="68">
        <f t="shared" si="1"/>
        <v>0</v>
      </c>
      <c r="N71" s="120">
        <f>'Schedule 2E Adjustments'!X70</f>
        <v>0</v>
      </c>
      <c r="O71" s="120">
        <f>'Schedule 2E Adjustments'!AA70</f>
        <v>0</v>
      </c>
    </row>
    <row r="72" spans="1:15" x14ac:dyDescent="0.35">
      <c r="A72" s="24">
        <v>57</v>
      </c>
      <c r="B72" s="513" t="str">
        <f>'Schedule 2E Adjustments'!B71:D71</f>
        <v/>
      </c>
      <c r="C72" s="513"/>
      <c r="D72" s="513"/>
      <c r="F72" s="117">
        <f>'Schedule 2E Adjustments'!H71</f>
        <v>0</v>
      </c>
      <c r="G72" s="68">
        <f>'Schedule 2E Adjustments'!J71</f>
        <v>0</v>
      </c>
      <c r="H72" s="68">
        <f t="shared" si="0"/>
        <v>0</v>
      </c>
      <c r="J72" s="117">
        <f>'Schedule 2E Adjustments'!P71</f>
        <v>0</v>
      </c>
      <c r="K72" s="68">
        <f>'Schedule 2E Adjustments'!R71</f>
        <v>0</v>
      </c>
      <c r="L72" s="68">
        <f t="shared" si="1"/>
        <v>0</v>
      </c>
      <c r="N72" s="120">
        <f>'Schedule 2E Adjustments'!X71</f>
        <v>0</v>
      </c>
      <c r="O72" s="120">
        <f>'Schedule 2E Adjustments'!AA71</f>
        <v>0</v>
      </c>
    </row>
    <row r="73" spans="1:15" x14ac:dyDescent="0.35">
      <c r="A73" s="24">
        <v>58</v>
      </c>
      <c r="B73" s="513" t="str">
        <f>'Schedule 2E Adjustments'!B72:D72</f>
        <v/>
      </c>
      <c r="C73" s="513"/>
      <c r="D73" s="513"/>
      <c r="F73" s="117">
        <f>'Schedule 2E Adjustments'!H72</f>
        <v>0</v>
      </c>
      <c r="G73" s="68">
        <f>'Schedule 2E Adjustments'!J72</f>
        <v>0</v>
      </c>
      <c r="H73" s="68">
        <f t="shared" si="0"/>
        <v>0</v>
      </c>
      <c r="J73" s="117">
        <f>'Schedule 2E Adjustments'!P72</f>
        <v>0</v>
      </c>
      <c r="K73" s="68">
        <f>'Schedule 2E Adjustments'!R72</f>
        <v>0</v>
      </c>
      <c r="L73" s="68">
        <f t="shared" si="1"/>
        <v>0</v>
      </c>
      <c r="N73" s="120">
        <f>'Schedule 2E Adjustments'!X72</f>
        <v>0</v>
      </c>
      <c r="O73" s="120">
        <f>'Schedule 2E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N14:N15"/>
    <mergeCell ref="B20:D20"/>
    <mergeCell ref="B13:D13"/>
    <mergeCell ref="B14:D15"/>
    <mergeCell ref="F14:H14"/>
    <mergeCell ref="J14:L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6">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849</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Health Solutions</v>
      </c>
    </row>
    <row r="7" spans="1:15" x14ac:dyDescent="0.35">
      <c r="A7" s="1" t="s">
        <v>0</v>
      </c>
      <c r="C7" s="35">
        <f>Results!$C$7</f>
        <v>45473</v>
      </c>
      <c r="F7" s="35"/>
    </row>
    <row r="9" spans="1:15" x14ac:dyDescent="0.35">
      <c r="A9" s="1" t="s">
        <v>253</v>
      </c>
      <c r="B9" s="1" t="s">
        <v>813</v>
      </c>
      <c r="C9" s="1"/>
      <c r="F9" s="119" t="str">
        <f>'Schedule 2F Adjustments'!F8</f>
        <v>Yes/No</v>
      </c>
      <c r="G9" s="41" t="s">
        <v>259</v>
      </c>
    </row>
    <row r="11" spans="1:15" x14ac:dyDescent="0.35">
      <c r="A11" s="1" t="s">
        <v>254</v>
      </c>
      <c r="B11" s="1" t="s">
        <v>256</v>
      </c>
      <c r="C11" s="1"/>
    </row>
    <row r="12" spans="1:15" x14ac:dyDescent="0.35">
      <c r="B12" s="318" t="s">
        <v>598</v>
      </c>
    </row>
    <row r="13" spans="1:15" x14ac:dyDescent="0.35">
      <c r="B13" s="508">
        <v>1</v>
      </c>
      <c r="C13" s="508"/>
      <c r="D13" s="508"/>
      <c r="F13" s="23">
        <v>2</v>
      </c>
      <c r="G13" s="23">
        <v>3</v>
      </c>
      <c r="H13" s="23">
        <v>4</v>
      </c>
      <c r="J13" s="23">
        <v>5</v>
      </c>
      <c r="K13" s="23">
        <v>6</v>
      </c>
      <c r="L13" s="23">
        <v>7</v>
      </c>
      <c r="N13" s="23">
        <v>8</v>
      </c>
      <c r="O13" s="23">
        <v>9</v>
      </c>
    </row>
    <row r="14" spans="1:15" ht="15" customHeight="1" x14ac:dyDescent="0.35">
      <c r="B14" s="517" t="s">
        <v>612</v>
      </c>
      <c r="C14" s="518"/>
      <c r="D14" s="519"/>
      <c r="F14" s="511" t="s">
        <v>261</v>
      </c>
      <c r="G14" s="516"/>
      <c r="H14" s="512"/>
      <c r="J14" s="511" t="s">
        <v>262</v>
      </c>
      <c r="K14" s="516"/>
      <c r="L14" s="512"/>
      <c r="N14" s="514" t="s">
        <v>692</v>
      </c>
      <c r="O14" s="514" t="s">
        <v>693</v>
      </c>
    </row>
    <row r="15" spans="1:15" ht="55.5" customHeight="1" x14ac:dyDescent="0.35">
      <c r="B15" s="520"/>
      <c r="C15" s="521"/>
      <c r="D15" s="522"/>
      <c r="E15" s="48"/>
      <c r="F15" s="10" t="s">
        <v>689</v>
      </c>
      <c r="G15" s="151" t="s">
        <v>690</v>
      </c>
      <c r="H15" s="151" t="s">
        <v>691</v>
      </c>
      <c r="I15" s="100"/>
      <c r="J15" s="10" t="s">
        <v>689</v>
      </c>
      <c r="K15" s="151" t="s">
        <v>690</v>
      </c>
      <c r="L15" s="151" t="s">
        <v>691</v>
      </c>
      <c r="M15" s="48"/>
      <c r="N15" s="515"/>
      <c r="O15" s="515"/>
    </row>
    <row r="16" spans="1:15" x14ac:dyDescent="0.35">
      <c r="A16" s="24">
        <v>1</v>
      </c>
      <c r="B16" s="513" t="str">
        <f>'Schedule 2F Adjustments'!B15:D15</f>
        <v/>
      </c>
      <c r="C16" s="513"/>
      <c r="D16" s="513"/>
      <c r="F16" s="117">
        <f>'Schedule 2F Adjustments'!H15</f>
        <v>0</v>
      </c>
      <c r="G16" s="68">
        <f>'Schedule 2F Adjustments'!J15</f>
        <v>0</v>
      </c>
      <c r="H16" s="68">
        <f>SUM(F16:G16)</f>
        <v>0</v>
      </c>
      <c r="J16" s="117">
        <f>'Schedule 2F Adjustments'!P15</f>
        <v>0</v>
      </c>
      <c r="K16" s="68">
        <f>'Schedule 2F Adjustments'!R15</f>
        <v>0</v>
      </c>
      <c r="L16" s="68">
        <f>SUM(J16:K16)</f>
        <v>0</v>
      </c>
      <c r="N16" s="120">
        <f>'Schedule 2F Adjustments'!X15</f>
        <v>0</v>
      </c>
      <c r="O16" s="120">
        <f>'Schedule 2F Adjustments'!AA15</f>
        <v>0</v>
      </c>
    </row>
    <row r="17" spans="1:15" x14ac:dyDescent="0.35">
      <c r="A17" s="24">
        <v>2</v>
      </c>
      <c r="B17" s="513" t="str">
        <f>'Schedule 2F Adjustments'!B16:D16</f>
        <v/>
      </c>
      <c r="C17" s="513"/>
      <c r="D17" s="513"/>
      <c r="F17" s="117">
        <f>'Schedule 2F Adjustments'!H16</f>
        <v>0</v>
      </c>
      <c r="G17" s="68">
        <f>'Schedule 2F Adjustments'!J16</f>
        <v>0</v>
      </c>
      <c r="H17" s="68">
        <f t="shared" ref="H17:H73" si="0">SUM(F17:G17)</f>
        <v>0</v>
      </c>
      <c r="J17" s="117">
        <f>'Schedule 2F Adjustments'!P16</f>
        <v>0</v>
      </c>
      <c r="K17" s="68">
        <f>'Schedule 2F Adjustments'!R16</f>
        <v>0</v>
      </c>
      <c r="L17" s="68">
        <f t="shared" ref="L17:L73" si="1">SUM(J17:K17)</f>
        <v>0</v>
      </c>
      <c r="N17" s="120">
        <f>'Schedule 2F Adjustments'!X16</f>
        <v>0</v>
      </c>
      <c r="O17" s="120">
        <f>'Schedule 2F Adjustments'!AA16</f>
        <v>0</v>
      </c>
    </row>
    <row r="18" spans="1:15" x14ac:dyDescent="0.35">
      <c r="A18" s="24">
        <v>3</v>
      </c>
      <c r="B18" s="513" t="str">
        <f>'Schedule 2F Adjustments'!B17:D17</f>
        <v/>
      </c>
      <c r="C18" s="513"/>
      <c r="D18" s="513"/>
      <c r="F18" s="117">
        <f>'Schedule 2F Adjustments'!H17</f>
        <v>0</v>
      </c>
      <c r="G18" s="68">
        <f>'Schedule 2F Adjustments'!J17</f>
        <v>0</v>
      </c>
      <c r="H18" s="68">
        <f t="shared" si="0"/>
        <v>0</v>
      </c>
      <c r="J18" s="117">
        <f>'Schedule 2F Adjustments'!P17</f>
        <v>0</v>
      </c>
      <c r="K18" s="68">
        <f>'Schedule 2F Adjustments'!R17</f>
        <v>0</v>
      </c>
      <c r="L18" s="68">
        <f t="shared" si="1"/>
        <v>0</v>
      </c>
      <c r="N18" s="120">
        <f>'Schedule 2F Adjustments'!X17</f>
        <v>0</v>
      </c>
      <c r="O18" s="120">
        <f>'Schedule 2F Adjustments'!AA17</f>
        <v>0</v>
      </c>
    </row>
    <row r="19" spans="1:15" x14ac:dyDescent="0.35">
      <c r="A19" s="24">
        <v>4</v>
      </c>
      <c r="B19" s="513" t="str">
        <f>'Schedule 2F Adjustments'!B18:D18</f>
        <v/>
      </c>
      <c r="C19" s="513"/>
      <c r="D19" s="513"/>
      <c r="F19" s="117">
        <f>'Schedule 2F Adjustments'!H18</f>
        <v>0</v>
      </c>
      <c r="G19" s="68">
        <f>'Schedule 2F Adjustments'!J18</f>
        <v>0</v>
      </c>
      <c r="H19" s="68">
        <f t="shared" si="0"/>
        <v>0</v>
      </c>
      <c r="J19" s="117">
        <f>'Schedule 2F Adjustments'!P18</f>
        <v>0</v>
      </c>
      <c r="K19" s="68">
        <f>'Schedule 2F Adjustments'!R18</f>
        <v>0</v>
      </c>
      <c r="L19" s="68">
        <f t="shared" si="1"/>
        <v>0</v>
      </c>
      <c r="N19" s="120">
        <f>'Schedule 2F Adjustments'!X18</f>
        <v>0</v>
      </c>
      <c r="O19" s="120">
        <f>'Schedule 2F Adjustments'!AA18</f>
        <v>0</v>
      </c>
    </row>
    <row r="20" spans="1:15" x14ac:dyDescent="0.35">
      <c r="A20" s="24">
        <v>5</v>
      </c>
      <c r="B20" s="513" t="str">
        <f>'Schedule 2F Adjustments'!B19:D19</f>
        <v/>
      </c>
      <c r="C20" s="513"/>
      <c r="D20" s="513"/>
      <c r="F20" s="117">
        <f>'Schedule 2F Adjustments'!H19</f>
        <v>0</v>
      </c>
      <c r="G20" s="68">
        <f>'Schedule 2F Adjustments'!J19</f>
        <v>0</v>
      </c>
      <c r="H20" s="68">
        <f t="shared" si="0"/>
        <v>0</v>
      </c>
      <c r="J20" s="117">
        <f>'Schedule 2F Adjustments'!P19</f>
        <v>0</v>
      </c>
      <c r="K20" s="68">
        <f>'Schedule 2F Adjustments'!R19</f>
        <v>0</v>
      </c>
      <c r="L20" s="68">
        <f t="shared" si="1"/>
        <v>0</v>
      </c>
      <c r="N20" s="120">
        <f>'Schedule 2F Adjustments'!X19</f>
        <v>0</v>
      </c>
      <c r="O20" s="120">
        <f>'Schedule 2F Adjustments'!AA19</f>
        <v>0</v>
      </c>
    </row>
    <row r="21" spans="1:15" x14ac:dyDescent="0.35">
      <c r="A21" s="24">
        <v>6</v>
      </c>
      <c r="B21" s="513" t="str">
        <f>'Schedule 2F Adjustments'!B20:D20</f>
        <v/>
      </c>
      <c r="C21" s="513"/>
      <c r="D21" s="513"/>
      <c r="F21" s="117">
        <f>'Schedule 2F Adjustments'!H20</f>
        <v>0</v>
      </c>
      <c r="G21" s="68">
        <f>'Schedule 2F Adjustments'!J20</f>
        <v>0</v>
      </c>
      <c r="H21" s="68">
        <f t="shared" si="0"/>
        <v>0</v>
      </c>
      <c r="J21" s="117">
        <f>'Schedule 2F Adjustments'!P20</f>
        <v>0</v>
      </c>
      <c r="K21" s="68">
        <f>'Schedule 2F Adjustments'!R20</f>
        <v>0</v>
      </c>
      <c r="L21" s="68">
        <f t="shared" si="1"/>
        <v>0</v>
      </c>
      <c r="N21" s="120">
        <f>'Schedule 2F Adjustments'!X20</f>
        <v>0</v>
      </c>
      <c r="O21" s="120">
        <f>'Schedule 2F Adjustments'!AA20</f>
        <v>0</v>
      </c>
    </row>
    <row r="22" spans="1:15" x14ac:dyDescent="0.35">
      <c r="A22" s="24">
        <v>7</v>
      </c>
      <c r="B22" s="513" t="str">
        <f>'Schedule 2F Adjustments'!B21:D21</f>
        <v/>
      </c>
      <c r="C22" s="513"/>
      <c r="D22" s="513"/>
      <c r="F22" s="117">
        <f>'Schedule 2F Adjustments'!H21</f>
        <v>0</v>
      </c>
      <c r="G22" s="68">
        <f>'Schedule 2F Adjustments'!J21</f>
        <v>0</v>
      </c>
      <c r="H22" s="68">
        <f t="shared" si="0"/>
        <v>0</v>
      </c>
      <c r="J22" s="117">
        <f>'Schedule 2F Adjustments'!P21</f>
        <v>0</v>
      </c>
      <c r="K22" s="68">
        <f>'Schedule 2F Adjustments'!R21</f>
        <v>0</v>
      </c>
      <c r="L22" s="68">
        <f t="shared" si="1"/>
        <v>0</v>
      </c>
      <c r="N22" s="120">
        <f>'Schedule 2F Adjustments'!X21</f>
        <v>0</v>
      </c>
      <c r="O22" s="120">
        <f>'Schedule 2F Adjustments'!AA21</f>
        <v>0</v>
      </c>
    </row>
    <row r="23" spans="1:15" x14ac:dyDescent="0.35">
      <c r="A23" s="24">
        <v>8</v>
      </c>
      <c r="B23" s="513" t="str">
        <f>'Schedule 2F Adjustments'!B22:D22</f>
        <v/>
      </c>
      <c r="C23" s="513"/>
      <c r="D23" s="513"/>
      <c r="F23" s="117">
        <f>'Schedule 2F Adjustments'!H22</f>
        <v>0</v>
      </c>
      <c r="G23" s="68">
        <f>'Schedule 2F Adjustments'!J22</f>
        <v>0</v>
      </c>
      <c r="H23" s="68">
        <f t="shared" si="0"/>
        <v>0</v>
      </c>
      <c r="J23" s="117">
        <f>'Schedule 2F Adjustments'!P22</f>
        <v>0</v>
      </c>
      <c r="K23" s="68">
        <f>'Schedule 2F Adjustments'!R22</f>
        <v>0</v>
      </c>
      <c r="L23" s="68">
        <f t="shared" si="1"/>
        <v>0</v>
      </c>
      <c r="N23" s="120">
        <f>'Schedule 2F Adjustments'!X22</f>
        <v>0</v>
      </c>
      <c r="O23" s="120">
        <f>'Schedule 2F Adjustments'!AA22</f>
        <v>0</v>
      </c>
    </row>
    <row r="24" spans="1:15" x14ac:dyDescent="0.35">
      <c r="A24" s="24">
        <v>9</v>
      </c>
      <c r="B24" s="513" t="str">
        <f>'Schedule 2F Adjustments'!B23:D23</f>
        <v/>
      </c>
      <c r="C24" s="513"/>
      <c r="D24" s="513"/>
      <c r="F24" s="117">
        <f>'Schedule 2F Adjustments'!H23</f>
        <v>0</v>
      </c>
      <c r="G24" s="68">
        <f>'Schedule 2F Adjustments'!J23</f>
        <v>0</v>
      </c>
      <c r="H24" s="68">
        <f t="shared" si="0"/>
        <v>0</v>
      </c>
      <c r="J24" s="117">
        <f>'Schedule 2F Adjustments'!P23</f>
        <v>0</v>
      </c>
      <c r="K24" s="68">
        <f>'Schedule 2F Adjustments'!R23</f>
        <v>0</v>
      </c>
      <c r="L24" s="68">
        <f t="shared" si="1"/>
        <v>0</v>
      </c>
      <c r="N24" s="120">
        <f>'Schedule 2F Adjustments'!X23</f>
        <v>0</v>
      </c>
      <c r="O24" s="120">
        <f>'Schedule 2F Adjustments'!AA23</f>
        <v>0</v>
      </c>
    </row>
    <row r="25" spans="1:15" x14ac:dyDescent="0.35">
      <c r="A25" s="24">
        <v>10</v>
      </c>
      <c r="B25" s="513" t="str">
        <f>'Schedule 2F Adjustments'!B24:D24</f>
        <v/>
      </c>
      <c r="C25" s="513"/>
      <c r="D25" s="513"/>
      <c r="F25" s="117">
        <f>'Schedule 2F Adjustments'!H24</f>
        <v>0</v>
      </c>
      <c r="G25" s="68">
        <f>'Schedule 2F Adjustments'!J24</f>
        <v>0</v>
      </c>
      <c r="H25" s="68">
        <f t="shared" si="0"/>
        <v>0</v>
      </c>
      <c r="J25" s="117">
        <f>'Schedule 2F Adjustments'!P24</f>
        <v>0</v>
      </c>
      <c r="K25" s="68">
        <f>'Schedule 2F Adjustments'!R24</f>
        <v>0</v>
      </c>
      <c r="L25" s="68">
        <f t="shared" si="1"/>
        <v>0</v>
      </c>
      <c r="N25" s="120">
        <f>'Schedule 2F Adjustments'!X24</f>
        <v>0</v>
      </c>
      <c r="O25" s="120">
        <f>'Schedule 2F Adjustments'!AA24</f>
        <v>0</v>
      </c>
    </row>
    <row r="26" spans="1:15" x14ac:dyDescent="0.35">
      <c r="A26" s="24">
        <v>11</v>
      </c>
      <c r="B26" s="513" t="str">
        <f>'Schedule 2F Adjustments'!B25:D25</f>
        <v/>
      </c>
      <c r="C26" s="513"/>
      <c r="D26" s="513"/>
      <c r="F26" s="117">
        <f>'Schedule 2F Adjustments'!H25</f>
        <v>0</v>
      </c>
      <c r="G26" s="68">
        <f>'Schedule 2F Adjustments'!J25</f>
        <v>0</v>
      </c>
      <c r="H26" s="68">
        <f t="shared" si="0"/>
        <v>0</v>
      </c>
      <c r="J26" s="117">
        <f>'Schedule 2F Adjustments'!P25</f>
        <v>0</v>
      </c>
      <c r="K26" s="68">
        <f>'Schedule 2F Adjustments'!R25</f>
        <v>0</v>
      </c>
      <c r="L26" s="68">
        <f t="shared" si="1"/>
        <v>0</v>
      </c>
      <c r="N26" s="120">
        <f>'Schedule 2F Adjustments'!X25</f>
        <v>0</v>
      </c>
      <c r="O26" s="120">
        <f>'Schedule 2F Adjustments'!AA25</f>
        <v>0</v>
      </c>
    </row>
    <row r="27" spans="1:15" x14ac:dyDescent="0.35">
      <c r="A27" s="24">
        <v>12</v>
      </c>
      <c r="B27" s="513" t="str">
        <f>'Schedule 2F Adjustments'!B26:D26</f>
        <v/>
      </c>
      <c r="C27" s="513"/>
      <c r="D27" s="513"/>
      <c r="F27" s="117">
        <f>'Schedule 2F Adjustments'!H26</f>
        <v>0</v>
      </c>
      <c r="G27" s="68">
        <f>'Schedule 2F Adjustments'!J26</f>
        <v>0</v>
      </c>
      <c r="H27" s="68">
        <f t="shared" si="0"/>
        <v>0</v>
      </c>
      <c r="J27" s="117">
        <f>'Schedule 2F Adjustments'!P26</f>
        <v>0</v>
      </c>
      <c r="K27" s="68">
        <f>'Schedule 2F Adjustments'!R26</f>
        <v>0</v>
      </c>
      <c r="L27" s="68">
        <f t="shared" si="1"/>
        <v>0</v>
      </c>
      <c r="N27" s="120">
        <f>'Schedule 2F Adjustments'!X26</f>
        <v>0</v>
      </c>
      <c r="O27" s="120">
        <f>'Schedule 2F Adjustments'!AA26</f>
        <v>0</v>
      </c>
    </row>
    <row r="28" spans="1:15" x14ac:dyDescent="0.35">
      <c r="A28" s="24">
        <v>13</v>
      </c>
      <c r="B28" s="513" t="str">
        <f>'Schedule 2F Adjustments'!B27:D27</f>
        <v/>
      </c>
      <c r="C28" s="513"/>
      <c r="D28" s="513"/>
      <c r="F28" s="117">
        <f>'Schedule 2F Adjustments'!H27</f>
        <v>0</v>
      </c>
      <c r="G28" s="68">
        <f>'Schedule 2F Adjustments'!J27</f>
        <v>0</v>
      </c>
      <c r="H28" s="68">
        <f t="shared" si="0"/>
        <v>0</v>
      </c>
      <c r="J28" s="117">
        <f>'Schedule 2F Adjustments'!P27</f>
        <v>0</v>
      </c>
      <c r="K28" s="68">
        <f>'Schedule 2F Adjustments'!R27</f>
        <v>0</v>
      </c>
      <c r="L28" s="68">
        <f t="shared" si="1"/>
        <v>0</v>
      </c>
      <c r="N28" s="120">
        <f>'Schedule 2F Adjustments'!X27</f>
        <v>0</v>
      </c>
      <c r="O28" s="120">
        <f>'Schedule 2F Adjustments'!AA27</f>
        <v>0</v>
      </c>
    </row>
    <row r="29" spans="1:15" x14ac:dyDescent="0.35">
      <c r="A29" s="24">
        <v>14</v>
      </c>
      <c r="B29" s="513" t="str">
        <f>'Schedule 2F Adjustments'!B28:D28</f>
        <v/>
      </c>
      <c r="C29" s="513"/>
      <c r="D29" s="513"/>
      <c r="F29" s="117">
        <f>'Schedule 2F Adjustments'!H28</f>
        <v>0</v>
      </c>
      <c r="G29" s="68">
        <f>'Schedule 2F Adjustments'!J28</f>
        <v>0</v>
      </c>
      <c r="H29" s="68">
        <f t="shared" si="0"/>
        <v>0</v>
      </c>
      <c r="J29" s="117">
        <f>'Schedule 2F Adjustments'!P28</f>
        <v>0</v>
      </c>
      <c r="K29" s="68">
        <f>'Schedule 2F Adjustments'!R28</f>
        <v>0</v>
      </c>
      <c r="L29" s="68">
        <f t="shared" si="1"/>
        <v>0</v>
      </c>
      <c r="N29" s="120">
        <f>'Schedule 2F Adjustments'!X28</f>
        <v>0</v>
      </c>
      <c r="O29" s="120">
        <f>'Schedule 2F Adjustments'!AA28</f>
        <v>0</v>
      </c>
    </row>
    <row r="30" spans="1:15" x14ac:dyDescent="0.35">
      <c r="A30" s="24">
        <v>15</v>
      </c>
      <c r="B30" s="513" t="str">
        <f>'Schedule 2F Adjustments'!B29:D29</f>
        <v/>
      </c>
      <c r="C30" s="513"/>
      <c r="D30" s="513"/>
      <c r="F30" s="117">
        <f>'Schedule 2F Adjustments'!H29</f>
        <v>0</v>
      </c>
      <c r="G30" s="68">
        <f>'Schedule 2F Adjustments'!J29</f>
        <v>0</v>
      </c>
      <c r="H30" s="68">
        <f t="shared" si="0"/>
        <v>0</v>
      </c>
      <c r="J30" s="117">
        <f>'Schedule 2F Adjustments'!P29</f>
        <v>0</v>
      </c>
      <c r="K30" s="68">
        <f>'Schedule 2F Adjustments'!R29</f>
        <v>0</v>
      </c>
      <c r="L30" s="68">
        <f t="shared" si="1"/>
        <v>0</v>
      </c>
      <c r="N30" s="120">
        <f>'Schedule 2F Adjustments'!X29</f>
        <v>0</v>
      </c>
      <c r="O30" s="120">
        <f>'Schedule 2F Adjustments'!AA29</f>
        <v>0</v>
      </c>
    </row>
    <row r="31" spans="1:15" x14ac:dyDescent="0.35">
      <c r="A31" s="24">
        <v>16</v>
      </c>
      <c r="B31" s="513" t="str">
        <f>'Schedule 2F Adjustments'!B30:D30</f>
        <v/>
      </c>
      <c r="C31" s="513"/>
      <c r="D31" s="513"/>
      <c r="F31" s="117">
        <f>'Schedule 2F Adjustments'!H30</f>
        <v>0</v>
      </c>
      <c r="G31" s="68">
        <f>'Schedule 2F Adjustments'!J30</f>
        <v>0</v>
      </c>
      <c r="H31" s="68">
        <f t="shared" si="0"/>
        <v>0</v>
      </c>
      <c r="J31" s="117">
        <f>'Schedule 2F Adjustments'!P30</f>
        <v>0</v>
      </c>
      <c r="K31" s="68">
        <f>'Schedule 2F Adjustments'!R30</f>
        <v>0</v>
      </c>
      <c r="L31" s="68">
        <f t="shared" si="1"/>
        <v>0</v>
      </c>
      <c r="N31" s="120">
        <f>'Schedule 2F Adjustments'!X30</f>
        <v>0</v>
      </c>
      <c r="O31" s="120">
        <f>'Schedule 2F Adjustments'!AA30</f>
        <v>0</v>
      </c>
    </row>
    <row r="32" spans="1:15" x14ac:dyDescent="0.35">
      <c r="A32" s="24">
        <v>17</v>
      </c>
      <c r="B32" s="513" t="str">
        <f>'Schedule 2F Adjustments'!B31:D31</f>
        <v/>
      </c>
      <c r="C32" s="513"/>
      <c r="D32" s="513"/>
      <c r="F32" s="117">
        <f>'Schedule 2F Adjustments'!H31</f>
        <v>0</v>
      </c>
      <c r="G32" s="68">
        <f>'Schedule 2F Adjustments'!J31</f>
        <v>0</v>
      </c>
      <c r="H32" s="68">
        <f t="shared" si="0"/>
        <v>0</v>
      </c>
      <c r="J32" s="117">
        <f>'Schedule 2F Adjustments'!P31</f>
        <v>0</v>
      </c>
      <c r="K32" s="68">
        <f>'Schedule 2F Adjustments'!R31</f>
        <v>0</v>
      </c>
      <c r="L32" s="68">
        <f t="shared" si="1"/>
        <v>0</v>
      </c>
      <c r="N32" s="120">
        <f>'Schedule 2F Adjustments'!X31</f>
        <v>0</v>
      </c>
      <c r="O32" s="120">
        <f>'Schedule 2F Adjustments'!AA31</f>
        <v>0</v>
      </c>
    </row>
    <row r="33" spans="1:15" x14ac:dyDescent="0.35">
      <c r="A33" s="24">
        <v>18</v>
      </c>
      <c r="B33" s="513" t="str">
        <f>'Schedule 2F Adjustments'!B32:D32</f>
        <v/>
      </c>
      <c r="C33" s="513"/>
      <c r="D33" s="513"/>
      <c r="F33" s="117">
        <f>'Schedule 2F Adjustments'!H32</f>
        <v>0</v>
      </c>
      <c r="G33" s="68">
        <f>'Schedule 2F Adjustments'!J32</f>
        <v>0</v>
      </c>
      <c r="H33" s="68">
        <f t="shared" si="0"/>
        <v>0</v>
      </c>
      <c r="J33" s="117">
        <f>'Schedule 2F Adjustments'!P32</f>
        <v>0</v>
      </c>
      <c r="K33" s="68">
        <f>'Schedule 2F Adjustments'!R32</f>
        <v>0</v>
      </c>
      <c r="L33" s="68">
        <f t="shared" si="1"/>
        <v>0</v>
      </c>
      <c r="N33" s="120">
        <f>'Schedule 2F Adjustments'!X32</f>
        <v>0</v>
      </c>
      <c r="O33" s="120">
        <f>'Schedule 2F Adjustments'!AA32</f>
        <v>0</v>
      </c>
    </row>
    <row r="34" spans="1:15" x14ac:dyDescent="0.35">
      <c r="A34" s="24">
        <v>19</v>
      </c>
      <c r="B34" s="513" t="str">
        <f>'Schedule 2F Adjustments'!B33:D33</f>
        <v/>
      </c>
      <c r="C34" s="513"/>
      <c r="D34" s="513"/>
      <c r="F34" s="117">
        <f>'Schedule 2F Adjustments'!H33</f>
        <v>0</v>
      </c>
      <c r="G34" s="68">
        <f>'Schedule 2F Adjustments'!J33</f>
        <v>0</v>
      </c>
      <c r="H34" s="68">
        <f t="shared" si="0"/>
        <v>0</v>
      </c>
      <c r="J34" s="117">
        <f>'Schedule 2F Adjustments'!P33</f>
        <v>0</v>
      </c>
      <c r="K34" s="68">
        <f>'Schedule 2F Adjustments'!R33</f>
        <v>0</v>
      </c>
      <c r="L34" s="68">
        <f t="shared" si="1"/>
        <v>0</v>
      </c>
      <c r="N34" s="120">
        <f>'Schedule 2F Adjustments'!X33</f>
        <v>0</v>
      </c>
      <c r="O34" s="120">
        <f>'Schedule 2F Adjustments'!AA33</f>
        <v>0</v>
      </c>
    </row>
    <row r="35" spans="1:15" x14ac:dyDescent="0.35">
      <c r="A35" s="24">
        <v>20</v>
      </c>
      <c r="B35" s="513" t="str">
        <f>'Schedule 2F Adjustments'!B34:D34</f>
        <v/>
      </c>
      <c r="C35" s="513"/>
      <c r="D35" s="513"/>
      <c r="F35" s="117">
        <f>'Schedule 2F Adjustments'!H34</f>
        <v>0</v>
      </c>
      <c r="G35" s="68">
        <f>'Schedule 2F Adjustments'!J34</f>
        <v>0</v>
      </c>
      <c r="H35" s="68">
        <f t="shared" si="0"/>
        <v>0</v>
      </c>
      <c r="J35" s="117">
        <f>'Schedule 2F Adjustments'!P34</f>
        <v>0</v>
      </c>
      <c r="K35" s="68">
        <f>'Schedule 2F Adjustments'!R34</f>
        <v>0</v>
      </c>
      <c r="L35" s="68">
        <f t="shared" si="1"/>
        <v>0</v>
      </c>
      <c r="N35" s="120">
        <f>'Schedule 2F Adjustments'!X34</f>
        <v>0</v>
      </c>
      <c r="O35" s="120">
        <f>'Schedule 2F Adjustments'!AA34</f>
        <v>0</v>
      </c>
    </row>
    <row r="36" spans="1:15" x14ac:dyDescent="0.35">
      <c r="A36" s="24">
        <v>21</v>
      </c>
      <c r="B36" s="513" t="str">
        <f>'Schedule 2F Adjustments'!B35:D35</f>
        <v/>
      </c>
      <c r="C36" s="513"/>
      <c r="D36" s="513"/>
      <c r="F36" s="117">
        <f>'Schedule 2F Adjustments'!H35</f>
        <v>0</v>
      </c>
      <c r="G36" s="68">
        <f>'Schedule 2F Adjustments'!J35</f>
        <v>0</v>
      </c>
      <c r="H36" s="68">
        <f t="shared" si="0"/>
        <v>0</v>
      </c>
      <c r="J36" s="117">
        <f>'Schedule 2F Adjustments'!P35</f>
        <v>0</v>
      </c>
      <c r="K36" s="68">
        <f>'Schedule 2F Adjustments'!R35</f>
        <v>0</v>
      </c>
      <c r="L36" s="68">
        <f t="shared" si="1"/>
        <v>0</v>
      </c>
      <c r="N36" s="120">
        <f>'Schedule 2F Adjustments'!X35</f>
        <v>0</v>
      </c>
      <c r="O36" s="120">
        <f>'Schedule 2F Adjustments'!AA35</f>
        <v>0</v>
      </c>
    </row>
    <row r="37" spans="1:15" x14ac:dyDescent="0.35">
      <c r="A37" s="24">
        <v>22</v>
      </c>
      <c r="B37" s="513" t="str">
        <f>'Schedule 2F Adjustments'!B36:D36</f>
        <v/>
      </c>
      <c r="C37" s="513"/>
      <c r="D37" s="513"/>
      <c r="F37" s="117">
        <f>'Schedule 2F Adjustments'!H36</f>
        <v>0</v>
      </c>
      <c r="G37" s="68">
        <f>'Schedule 2F Adjustments'!J36</f>
        <v>0</v>
      </c>
      <c r="H37" s="68">
        <f t="shared" si="0"/>
        <v>0</v>
      </c>
      <c r="J37" s="117">
        <f>'Schedule 2F Adjustments'!P36</f>
        <v>0</v>
      </c>
      <c r="K37" s="68">
        <f>'Schedule 2F Adjustments'!R36</f>
        <v>0</v>
      </c>
      <c r="L37" s="68">
        <f t="shared" si="1"/>
        <v>0</v>
      </c>
      <c r="N37" s="120">
        <f>'Schedule 2F Adjustments'!X36</f>
        <v>0</v>
      </c>
      <c r="O37" s="120">
        <f>'Schedule 2F Adjustments'!AA36</f>
        <v>0</v>
      </c>
    </row>
    <row r="38" spans="1:15" x14ac:dyDescent="0.35">
      <c r="A38" s="24">
        <v>23</v>
      </c>
      <c r="B38" s="513" t="str">
        <f>'Schedule 2F Adjustments'!B37:D37</f>
        <v/>
      </c>
      <c r="C38" s="513"/>
      <c r="D38" s="513"/>
      <c r="F38" s="117">
        <f>'Schedule 2F Adjustments'!H37</f>
        <v>0</v>
      </c>
      <c r="G38" s="68">
        <f>'Schedule 2F Adjustments'!J37</f>
        <v>0</v>
      </c>
      <c r="H38" s="68">
        <f t="shared" si="0"/>
        <v>0</v>
      </c>
      <c r="J38" s="117">
        <f>'Schedule 2F Adjustments'!P37</f>
        <v>0</v>
      </c>
      <c r="K38" s="68">
        <f>'Schedule 2F Adjustments'!R37</f>
        <v>0</v>
      </c>
      <c r="L38" s="68">
        <f t="shared" si="1"/>
        <v>0</v>
      </c>
      <c r="N38" s="120">
        <f>'Schedule 2F Adjustments'!X37</f>
        <v>0</v>
      </c>
      <c r="O38" s="120">
        <f>'Schedule 2F Adjustments'!AA37</f>
        <v>0</v>
      </c>
    </row>
    <row r="39" spans="1:15" x14ac:dyDescent="0.35">
      <c r="A39" s="24">
        <v>24</v>
      </c>
      <c r="B39" s="513" t="str">
        <f>'Schedule 2F Adjustments'!B38:D38</f>
        <v/>
      </c>
      <c r="C39" s="513"/>
      <c r="D39" s="513"/>
      <c r="F39" s="117">
        <f>'Schedule 2F Adjustments'!H38</f>
        <v>0</v>
      </c>
      <c r="G39" s="68">
        <f>'Schedule 2F Adjustments'!J38</f>
        <v>0</v>
      </c>
      <c r="H39" s="68">
        <f t="shared" si="0"/>
        <v>0</v>
      </c>
      <c r="J39" s="117">
        <f>'Schedule 2F Adjustments'!P38</f>
        <v>0</v>
      </c>
      <c r="K39" s="68">
        <f>'Schedule 2F Adjustments'!R38</f>
        <v>0</v>
      </c>
      <c r="L39" s="68">
        <f t="shared" si="1"/>
        <v>0</v>
      </c>
      <c r="N39" s="120">
        <f>'Schedule 2F Adjustments'!X38</f>
        <v>0</v>
      </c>
      <c r="O39" s="120">
        <f>'Schedule 2F Adjustments'!AA38</f>
        <v>0</v>
      </c>
    </row>
    <row r="40" spans="1:15" x14ac:dyDescent="0.35">
      <c r="A40" s="24">
        <v>25</v>
      </c>
      <c r="B40" s="513" t="str">
        <f>'Schedule 2F Adjustments'!B39:D39</f>
        <v/>
      </c>
      <c r="C40" s="513"/>
      <c r="D40" s="513"/>
      <c r="F40" s="117">
        <f>'Schedule 2F Adjustments'!H39</f>
        <v>0</v>
      </c>
      <c r="G40" s="68">
        <f>'Schedule 2F Adjustments'!J39</f>
        <v>0</v>
      </c>
      <c r="H40" s="68">
        <f t="shared" si="0"/>
        <v>0</v>
      </c>
      <c r="J40" s="117">
        <f>'Schedule 2F Adjustments'!P39</f>
        <v>0</v>
      </c>
      <c r="K40" s="68">
        <f>'Schedule 2F Adjustments'!R39</f>
        <v>0</v>
      </c>
      <c r="L40" s="68">
        <f t="shared" si="1"/>
        <v>0</v>
      </c>
      <c r="N40" s="120">
        <f>'Schedule 2F Adjustments'!X39</f>
        <v>0</v>
      </c>
      <c r="O40" s="120">
        <f>'Schedule 2F Adjustments'!AA39</f>
        <v>0</v>
      </c>
    </row>
    <row r="41" spans="1:15" x14ac:dyDescent="0.35">
      <c r="A41" s="24">
        <v>26</v>
      </c>
      <c r="B41" s="513" t="str">
        <f>'Schedule 2F Adjustments'!B40:D40</f>
        <v/>
      </c>
      <c r="C41" s="513"/>
      <c r="D41" s="513"/>
      <c r="F41" s="117">
        <f>'Schedule 2F Adjustments'!H40</f>
        <v>0</v>
      </c>
      <c r="G41" s="68">
        <f>'Schedule 2F Adjustments'!J40</f>
        <v>0</v>
      </c>
      <c r="H41" s="68">
        <f t="shared" si="0"/>
        <v>0</v>
      </c>
      <c r="J41" s="117">
        <f>'Schedule 2F Adjustments'!P40</f>
        <v>0</v>
      </c>
      <c r="K41" s="68">
        <f>'Schedule 2F Adjustments'!R40</f>
        <v>0</v>
      </c>
      <c r="L41" s="68">
        <f t="shared" si="1"/>
        <v>0</v>
      </c>
      <c r="N41" s="120">
        <f>'Schedule 2F Adjustments'!X40</f>
        <v>0</v>
      </c>
      <c r="O41" s="120">
        <f>'Schedule 2F Adjustments'!AA40</f>
        <v>0</v>
      </c>
    </row>
    <row r="42" spans="1:15" x14ac:dyDescent="0.35">
      <c r="A42" s="24">
        <v>27</v>
      </c>
      <c r="B42" s="513" t="str">
        <f>'Schedule 2F Adjustments'!B41:D41</f>
        <v/>
      </c>
      <c r="C42" s="513"/>
      <c r="D42" s="513"/>
      <c r="F42" s="117">
        <f>'Schedule 2F Adjustments'!H41</f>
        <v>0</v>
      </c>
      <c r="G42" s="68">
        <f>'Schedule 2F Adjustments'!J41</f>
        <v>0</v>
      </c>
      <c r="H42" s="68">
        <f t="shared" si="0"/>
        <v>0</v>
      </c>
      <c r="J42" s="117">
        <f>'Schedule 2F Adjustments'!P41</f>
        <v>0</v>
      </c>
      <c r="K42" s="68">
        <f>'Schedule 2F Adjustments'!R41</f>
        <v>0</v>
      </c>
      <c r="L42" s="68">
        <f t="shared" si="1"/>
        <v>0</v>
      </c>
      <c r="N42" s="120">
        <f>'Schedule 2F Adjustments'!X41</f>
        <v>0</v>
      </c>
      <c r="O42" s="120">
        <f>'Schedule 2F Adjustments'!AA41</f>
        <v>0</v>
      </c>
    </row>
    <row r="43" spans="1:15" x14ac:dyDescent="0.35">
      <c r="A43" s="24">
        <v>28</v>
      </c>
      <c r="B43" s="513" t="str">
        <f>'Schedule 2F Adjustments'!B42:D42</f>
        <v/>
      </c>
      <c r="C43" s="513"/>
      <c r="D43" s="513"/>
      <c r="F43" s="117">
        <f>'Schedule 2F Adjustments'!H42</f>
        <v>0</v>
      </c>
      <c r="G43" s="68">
        <f>'Schedule 2F Adjustments'!J42</f>
        <v>0</v>
      </c>
      <c r="H43" s="68">
        <f t="shared" si="0"/>
        <v>0</v>
      </c>
      <c r="J43" s="117">
        <f>'Schedule 2F Adjustments'!P42</f>
        <v>0</v>
      </c>
      <c r="K43" s="68">
        <f>'Schedule 2F Adjustments'!R42</f>
        <v>0</v>
      </c>
      <c r="L43" s="68">
        <f t="shared" si="1"/>
        <v>0</v>
      </c>
      <c r="N43" s="120">
        <f>'Schedule 2F Adjustments'!X42</f>
        <v>0</v>
      </c>
      <c r="O43" s="120">
        <f>'Schedule 2F Adjustments'!AA42</f>
        <v>0</v>
      </c>
    </row>
    <row r="44" spans="1:15" x14ac:dyDescent="0.35">
      <c r="A44" s="24">
        <v>29</v>
      </c>
      <c r="B44" s="513" t="str">
        <f>'Schedule 2F Adjustments'!B43:D43</f>
        <v/>
      </c>
      <c r="C44" s="513"/>
      <c r="D44" s="513"/>
      <c r="F44" s="117">
        <f>'Schedule 2F Adjustments'!H43</f>
        <v>0</v>
      </c>
      <c r="G44" s="68">
        <f>'Schedule 2F Adjustments'!J43</f>
        <v>0</v>
      </c>
      <c r="H44" s="68">
        <f t="shared" si="0"/>
        <v>0</v>
      </c>
      <c r="J44" s="117">
        <f>'Schedule 2F Adjustments'!P43</f>
        <v>0</v>
      </c>
      <c r="K44" s="68">
        <f>'Schedule 2F Adjustments'!R43</f>
        <v>0</v>
      </c>
      <c r="L44" s="68">
        <f t="shared" si="1"/>
        <v>0</v>
      </c>
      <c r="N44" s="120">
        <f>'Schedule 2F Adjustments'!X43</f>
        <v>0</v>
      </c>
      <c r="O44" s="120">
        <f>'Schedule 2F Adjustments'!AA43</f>
        <v>0</v>
      </c>
    </row>
    <row r="45" spans="1:15" x14ac:dyDescent="0.35">
      <c r="A45" s="24">
        <v>30</v>
      </c>
      <c r="B45" s="513" t="str">
        <f>'Schedule 2F Adjustments'!B44:D44</f>
        <v/>
      </c>
      <c r="C45" s="513"/>
      <c r="D45" s="513"/>
      <c r="F45" s="117">
        <f>'Schedule 2F Adjustments'!H44</f>
        <v>0</v>
      </c>
      <c r="G45" s="68">
        <f>'Schedule 2F Adjustments'!J44</f>
        <v>0</v>
      </c>
      <c r="H45" s="68">
        <f t="shared" si="0"/>
        <v>0</v>
      </c>
      <c r="J45" s="117">
        <f>'Schedule 2F Adjustments'!P44</f>
        <v>0</v>
      </c>
      <c r="K45" s="68">
        <f>'Schedule 2F Adjustments'!R44</f>
        <v>0</v>
      </c>
      <c r="L45" s="68">
        <f t="shared" si="1"/>
        <v>0</v>
      </c>
      <c r="N45" s="120">
        <f>'Schedule 2F Adjustments'!X44</f>
        <v>0</v>
      </c>
      <c r="O45" s="120">
        <f>'Schedule 2F Adjustments'!AA44</f>
        <v>0</v>
      </c>
    </row>
    <row r="46" spans="1:15" x14ac:dyDescent="0.35">
      <c r="A46" s="24">
        <v>31</v>
      </c>
      <c r="B46" s="513" t="str">
        <f>'Schedule 2F Adjustments'!B45:D45</f>
        <v/>
      </c>
      <c r="C46" s="513"/>
      <c r="D46" s="513"/>
      <c r="F46" s="117">
        <f>'Schedule 2F Adjustments'!H45</f>
        <v>0</v>
      </c>
      <c r="G46" s="68">
        <f>'Schedule 2F Adjustments'!J45</f>
        <v>0</v>
      </c>
      <c r="H46" s="68">
        <f t="shared" si="0"/>
        <v>0</v>
      </c>
      <c r="J46" s="117">
        <f>'Schedule 2F Adjustments'!P45</f>
        <v>0</v>
      </c>
      <c r="K46" s="68">
        <f>'Schedule 2F Adjustments'!R45</f>
        <v>0</v>
      </c>
      <c r="L46" s="68">
        <f t="shared" si="1"/>
        <v>0</v>
      </c>
      <c r="N46" s="120">
        <f>'Schedule 2F Adjustments'!X45</f>
        <v>0</v>
      </c>
      <c r="O46" s="120">
        <f>'Schedule 2F Adjustments'!AA45</f>
        <v>0</v>
      </c>
    </row>
    <row r="47" spans="1:15" x14ac:dyDescent="0.35">
      <c r="A47" s="24">
        <v>32</v>
      </c>
      <c r="B47" s="513" t="str">
        <f>'Schedule 2F Adjustments'!B46:D46</f>
        <v/>
      </c>
      <c r="C47" s="513"/>
      <c r="D47" s="513"/>
      <c r="F47" s="117">
        <f>'Schedule 2F Adjustments'!H46</f>
        <v>0</v>
      </c>
      <c r="G47" s="68">
        <f>'Schedule 2F Adjustments'!J46</f>
        <v>0</v>
      </c>
      <c r="H47" s="68">
        <f t="shared" si="0"/>
        <v>0</v>
      </c>
      <c r="J47" s="117">
        <f>'Schedule 2F Adjustments'!P46</f>
        <v>0</v>
      </c>
      <c r="K47" s="68">
        <f>'Schedule 2F Adjustments'!R46</f>
        <v>0</v>
      </c>
      <c r="L47" s="68">
        <f t="shared" si="1"/>
        <v>0</v>
      </c>
      <c r="N47" s="120">
        <f>'Schedule 2F Adjustments'!X46</f>
        <v>0</v>
      </c>
      <c r="O47" s="120">
        <f>'Schedule 2F Adjustments'!AA46</f>
        <v>0</v>
      </c>
    </row>
    <row r="48" spans="1:15" x14ac:dyDescent="0.35">
      <c r="A48" s="24">
        <v>33</v>
      </c>
      <c r="B48" s="513" t="str">
        <f>'Schedule 2F Adjustments'!B47:D47</f>
        <v/>
      </c>
      <c r="C48" s="513"/>
      <c r="D48" s="513"/>
      <c r="F48" s="117">
        <f>'Schedule 2F Adjustments'!H47</f>
        <v>0</v>
      </c>
      <c r="G48" s="68">
        <f>'Schedule 2F Adjustments'!J47</f>
        <v>0</v>
      </c>
      <c r="H48" s="68">
        <f t="shared" si="0"/>
        <v>0</v>
      </c>
      <c r="J48" s="117">
        <f>'Schedule 2F Adjustments'!P47</f>
        <v>0</v>
      </c>
      <c r="K48" s="68">
        <f>'Schedule 2F Adjustments'!R47</f>
        <v>0</v>
      </c>
      <c r="L48" s="68">
        <f t="shared" si="1"/>
        <v>0</v>
      </c>
      <c r="N48" s="120">
        <f>'Schedule 2F Adjustments'!X47</f>
        <v>0</v>
      </c>
      <c r="O48" s="120">
        <f>'Schedule 2F Adjustments'!AA47</f>
        <v>0</v>
      </c>
    </row>
    <row r="49" spans="1:15" x14ac:dyDescent="0.35">
      <c r="A49" s="24">
        <v>34</v>
      </c>
      <c r="B49" s="513" t="str">
        <f>'Schedule 2F Adjustments'!B48:D48</f>
        <v/>
      </c>
      <c r="C49" s="513"/>
      <c r="D49" s="513"/>
      <c r="F49" s="117">
        <f>'Schedule 2F Adjustments'!H48</f>
        <v>0</v>
      </c>
      <c r="G49" s="68">
        <f>'Schedule 2F Adjustments'!J48</f>
        <v>0</v>
      </c>
      <c r="H49" s="68">
        <f t="shared" si="0"/>
        <v>0</v>
      </c>
      <c r="J49" s="117">
        <f>'Schedule 2F Adjustments'!P48</f>
        <v>0</v>
      </c>
      <c r="K49" s="68">
        <f>'Schedule 2F Adjustments'!R48</f>
        <v>0</v>
      </c>
      <c r="L49" s="68">
        <f t="shared" si="1"/>
        <v>0</v>
      </c>
      <c r="N49" s="120">
        <f>'Schedule 2F Adjustments'!X48</f>
        <v>0</v>
      </c>
      <c r="O49" s="120">
        <f>'Schedule 2F Adjustments'!AA48</f>
        <v>0</v>
      </c>
    </row>
    <row r="50" spans="1:15" x14ac:dyDescent="0.35">
      <c r="A50" s="24">
        <v>35</v>
      </c>
      <c r="B50" s="513" t="str">
        <f>'Schedule 2F Adjustments'!B49:D49</f>
        <v/>
      </c>
      <c r="C50" s="513"/>
      <c r="D50" s="513"/>
      <c r="F50" s="117">
        <f>'Schedule 2F Adjustments'!H49</f>
        <v>0</v>
      </c>
      <c r="G50" s="68">
        <f>'Schedule 2F Adjustments'!J49</f>
        <v>0</v>
      </c>
      <c r="H50" s="68">
        <f t="shared" si="0"/>
        <v>0</v>
      </c>
      <c r="J50" s="117">
        <f>'Schedule 2F Adjustments'!P49</f>
        <v>0</v>
      </c>
      <c r="K50" s="68">
        <f>'Schedule 2F Adjustments'!R49</f>
        <v>0</v>
      </c>
      <c r="L50" s="68">
        <f t="shared" si="1"/>
        <v>0</v>
      </c>
      <c r="N50" s="120">
        <f>'Schedule 2F Adjustments'!X49</f>
        <v>0</v>
      </c>
      <c r="O50" s="120">
        <f>'Schedule 2F Adjustments'!AA49</f>
        <v>0</v>
      </c>
    </row>
    <row r="51" spans="1:15" x14ac:dyDescent="0.35">
      <c r="A51" s="24">
        <v>36</v>
      </c>
      <c r="B51" s="513" t="str">
        <f>'Schedule 2F Adjustments'!B50:D50</f>
        <v/>
      </c>
      <c r="C51" s="513"/>
      <c r="D51" s="513"/>
      <c r="F51" s="117">
        <f>'Schedule 2F Adjustments'!H50</f>
        <v>0</v>
      </c>
      <c r="G51" s="68">
        <f>'Schedule 2F Adjustments'!J50</f>
        <v>0</v>
      </c>
      <c r="H51" s="68">
        <f t="shared" si="0"/>
        <v>0</v>
      </c>
      <c r="J51" s="117">
        <f>'Schedule 2F Adjustments'!P50</f>
        <v>0</v>
      </c>
      <c r="K51" s="68">
        <f>'Schedule 2F Adjustments'!R50</f>
        <v>0</v>
      </c>
      <c r="L51" s="68">
        <f t="shared" si="1"/>
        <v>0</v>
      </c>
      <c r="N51" s="120">
        <f>'Schedule 2F Adjustments'!X50</f>
        <v>0</v>
      </c>
      <c r="O51" s="120">
        <f>'Schedule 2F Adjustments'!AA50</f>
        <v>0</v>
      </c>
    </row>
    <row r="52" spans="1:15" x14ac:dyDescent="0.35">
      <c r="A52" s="24">
        <v>37</v>
      </c>
      <c r="B52" s="513" t="str">
        <f>'Schedule 2F Adjustments'!B51:D51</f>
        <v/>
      </c>
      <c r="C52" s="513"/>
      <c r="D52" s="513"/>
      <c r="F52" s="117">
        <f>'Schedule 2F Adjustments'!H51</f>
        <v>0</v>
      </c>
      <c r="G52" s="68">
        <f>'Schedule 2F Adjustments'!J51</f>
        <v>0</v>
      </c>
      <c r="H52" s="68">
        <f t="shared" si="0"/>
        <v>0</v>
      </c>
      <c r="J52" s="117">
        <f>'Schedule 2F Adjustments'!P51</f>
        <v>0</v>
      </c>
      <c r="K52" s="68">
        <f>'Schedule 2F Adjustments'!R51</f>
        <v>0</v>
      </c>
      <c r="L52" s="68">
        <f t="shared" si="1"/>
        <v>0</v>
      </c>
      <c r="N52" s="120">
        <f>'Schedule 2F Adjustments'!X51</f>
        <v>0</v>
      </c>
      <c r="O52" s="120">
        <f>'Schedule 2F Adjustments'!AA51</f>
        <v>0</v>
      </c>
    </row>
    <row r="53" spans="1:15" x14ac:dyDescent="0.35">
      <c r="A53" s="24">
        <v>38</v>
      </c>
      <c r="B53" s="513" t="str">
        <f>'Schedule 2F Adjustments'!B52:D52</f>
        <v/>
      </c>
      <c r="C53" s="513"/>
      <c r="D53" s="513"/>
      <c r="F53" s="117">
        <f>'Schedule 2F Adjustments'!H52</f>
        <v>0</v>
      </c>
      <c r="G53" s="68">
        <f>'Schedule 2F Adjustments'!J52</f>
        <v>0</v>
      </c>
      <c r="H53" s="68">
        <f t="shared" si="0"/>
        <v>0</v>
      </c>
      <c r="J53" s="117">
        <f>'Schedule 2F Adjustments'!P52</f>
        <v>0</v>
      </c>
      <c r="K53" s="68">
        <f>'Schedule 2F Adjustments'!R52</f>
        <v>0</v>
      </c>
      <c r="L53" s="68">
        <f t="shared" si="1"/>
        <v>0</v>
      </c>
      <c r="N53" s="120">
        <f>'Schedule 2F Adjustments'!X52</f>
        <v>0</v>
      </c>
      <c r="O53" s="120">
        <f>'Schedule 2F Adjustments'!AA52</f>
        <v>0</v>
      </c>
    </row>
    <row r="54" spans="1:15" x14ac:dyDescent="0.35">
      <c r="A54" s="24">
        <v>39</v>
      </c>
      <c r="B54" s="513" t="str">
        <f>'Schedule 2F Adjustments'!B53:D53</f>
        <v/>
      </c>
      <c r="C54" s="513"/>
      <c r="D54" s="513"/>
      <c r="F54" s="117">
        <f>'Schedule 2F Adjustments'!H53</f>
        <v>0</v>
      </c>
      <c r="G54" s="68">
        <f>'Schedule 2F Adjustments'!J53</f>
        <v>0</v>
      </c>
      <c r="H54" s="68">
        <f t="shared" si="0"/>
        <v>0</v>
      </c>
      <c r="J54" s="117">
        <f>'Schedule 2F Adjustments'!P53</f>
        <v>0</v>
      </c>
      <c r="K54" s="68">
        <f>'Schedule 2F Adjustments'!R53</f>
        <v>0</v>
      </c>
      <c r="L54" s="68">
        <f t="shared" si="1"/>
        <v>0</v>
      </c>
      <c r="N54" s="120">
        <f>'Schedule 2F Adjustments'!X53</f>
        <v>0</v>
      </c>
      <c r="O54" s="120">
        <f>'Schedule 2F Adjustments'!AA53</f>
        <v>0</v>
      </c>
    </row>
    <row r="55" spans="1:15" x14ac:dyDescent="0.35">
      <c r="A55" s="24">
        <v>40</v>
      </c>
      <c r="B55" s="513" t="str">
        <f>'Schedule 2F Adjustments'!B54:D54</f>
        <v/>
      </c>
      <c r="C55" s="513"/>
      <c r="D55" s="513"/>
      <c r="F55" s="117">
        <f>'Schedule 2F Adjustments'!H54</f>
        <v>0</v>
      </c>
      <c r="G55" s="68">
        <f>'Schedule 2F Adjustments'!J54</f>
        <v>0</v>
      </c>
      <c r="H55" s="68">
        <f t="shared" si="0"/>
        <v>0</v>
      </c>
      <c r="J55" s="117">
        <f>'Schedule 2F Adjustments'!P54</f>
        <v>0</v>
      </c>
      <c r="K55" s="68">
        <f>'Schedule 2F Adjustments'!R54</f>
        <v>0</v>
      </c>
      <c r="L55" s="68">
        <f t="shared" si="1"/>
        <v>0</v>
      </c>
      <c r="N55" s="120">
        <f>'Schedule 2F Adjustments'!X54</f>
        <v>0</v>
      </c>
      <c r="O55" s="120">
        <f>'Schedule 2F Adjustments'!AA54</f>
        <v>0</v>
      </c>
    </row>
    <row r="56" spans="1:15" x14ac:dyDescent="0.35">
      <c r="A56" s="24">
        <v>41</v>
      </c>
      <c r="B56" s="513" t="str">
        <f>'Schedule 2F Adjustments'!B55:D55</f>
        <v/>
      </c>
      <c r="C56" s="513"/>
      <c r="D56" s="513"/>
      <c r="F56" s="117">
        <f>'Schedule 2F Adjustments'!H55</f>
        <v>0</v>
      </c>
      <c r="G56" s="68">
        <f>'Schedule 2F Adjustments'!J55</f>
        <v>0</v>
      </c>
      <c r="H56" s="68">
        <f t="shared" si="0"/>
        <v>0</v>
      </c>
      <c r="J56" s="117">
        <f>'Schedule 2F Adjustments'!P55</f>
        <v>0</v>
      </c>
      <c r="K56" s="68">
        <f>'Schedule 2F Adjustments'!R55</f>
        <v>0</v>
      </c>
      <c r="L56" s="68">
        <f t="shared" si="1"/>
        <v>0</v>
      </c>
      <c r="N56" s="120">
        <f>'Schedule 2F Adjustments'!X55</f>
        <v>0</v>
      </c>
      <c r="O56" s="120">
        <f>'Schedule 2F Adjustments'!AA55</f>
        <v>0</v>
      </c>
    </row>
    <row r="57" spans="1:15" x14ac:dyDescent="0.35">
      <c r="A57" s="24">
        <v>42</v>
      </c>
      <c r="B57" s="513" t="str">
        <f>'Schedule 2F Adjustments'!B56:D56</f>
        <v/>
      </c>
      <c r="C57" s="513"/>
      <c r="D57" s="513"/>
      <c r="F57" s="117">
        <f>'Schedule 2F Adjustments'!H56</f>
        <v>0</v>
      </c>
      <c r="G57" s="68">
        <f>'Schedule 2F Adjustments'!J56</f>
        <v>0</v>
      </c>
      <c r="H57" s="68">
        <f t="shared" si="0"/>
        <v>0</v>
      </c>
      <c r="J57" s="117">
        <f>'Schedule 2F Adjustments'!P56</f>
        <v>0</v>
      </c>
      <c r="K57" s="68">
        <f>'Schedule 2F Adjustments'!R56</f>
        <v>0</v>
      </c>
      <c r="L57" s="68">
        <f t="shared" si="1"/>
        <v>0</v>
      </c>
      <c r="N57" s="120">
        <f>'Schedule 2F Adjustments'!X56</f>
        <v>0</v>
      </c>
      <c r="O57" s="120">
        <f>'Schedule 2F Adjustments'!AA56</f>
        <v>0</v>
      </c>
    </row>
    <row r="58" spans="1:15" x14ac:dyDescent="0.35">
      <c r="A58" s="24">
        <v>43</v>
      </c>
      <c r="B58" s="513" t="str">
        <f>'Schedule 2F Adjustments'!B57:D57</f>
        <v/>
      </c>
      <c r="C58" s="513"/>
      <c r="D58" s="513"/>
      <c r="F58" s="117">
        <f>'Schedule 2F Adjustments'!H57</f>
        <v>0</v>
      </c>
      <c r="G58" s="68">
        <f>'Schedule 2F Adjustments'!J57</f>
        <v>0</v>
      </c>
      <c r="H58" s="68">
        <f t="shared" si="0"/>
        <v>0</v>
      </c>
      <c r="J58" s="117">
        <f>'Schedule 2F Adjustments'!P57</f>
        <v>0</v>
      </c>
      <c r="K58" s="68">
        <f>'Schedule 2F Adjustments'!R57</f>
        <v>0</v>
      </c>
      <c r="L58" s="68">
        <f t="shared" si="1"/>
        <v>0</v>
      </c>
      <c r="N58" s="120">
        <f>'Schedule 2F Adjustments'!X57</f>
        <v>0</v>
      </c>
      <c r="O58" s="120">
        <f>'Schedule 2F Adjustments'!AA57</f>
        <v>0</v>
      </c>
    </row>
    <row r="59" spans="1:15" x14ac:dyDescent="0.35">
      <c r="A59" s="24">
        <v>44</v>
      </c>
      <c r="B59" s="513" t="str">
        <f>'Schedule 2F Adjustments'!B58:D58</f>
        <v/>
      </c>
      <c r="C59" s="513"/>
      <c r="D59" s="513"/>
      <c r="F59" s="117">
        <f>'Schedule 2F Adjustments'!H58</f>
        <v>0</v>
      </c>
      <c r="G59" s="68">
        <f>'Schedule 2F Adjustments'!J58</f>
        <v>0</v>
      </c>
      <c r="H59" s="68">
        <f t="shared" si="0"/>
        <v>0</v>
      </c>
      <c r="J59" s="117">
        <f>'Schedule 2F Adjustments'!P58</f>
        <v>0</v>
      </c>
      <c r="K59" s="68">
        <f>'Schedule 2F Adjustments'!R58</f>
        <v>0</v>
      </c>
      <c r="L59" s="68">
        <f t="shared" si="1"/>
        <v>0</v>
      </c>
      <c r="N59" s="120">
        <f>'Schedule 2F Adjustments'!X58</f>
        <v>0</v>
      </c>
      <c r="O59" s="120">
        <f>'Schedule 2F Adjustments'!AA58</f>
        <v>0</v>
      </c>
    </row>
    <row r="60" spans="1:15" x14ac:dyDescent="0.35">
      <c r="A60" s="24">
        <v>45</v>
      </c>
      <c r="B60" s="513" t="str">
        <f>'Schedule 2F Adjustments'!B59:D59</f>
        <v/>
      </c>
      <c r="C60" s="513"/>
      <c r="D60" s="513"/>
      <c r="F60" s="117">
        <f>'Schedule 2F Adjustments'!H59</f>
        <v>0</v>
      </c>
      <c r="G60" s="68">
        <f>'Schedule 2F Adjustments'!J59</f>
        <v>0</v>
      </c>
      <c r="H60" s="68">
        <f t="shared" si="0"/>
        <v>0</v>
      </c>
      <c r="J60" s="117">
        <f>'Schedule 2F Adjustments'!P59</f>
        <v>0</v>
      </c>
      <c r="K60" s="68">
        <f>'Schedule 2F Adjustments'!R59</f>
        <v>0</v>
      </c>
      <c r="L60" s="68">
        <f t="shared" si="1"/>
        <v>0</v>
      </c>
      <c r="N60" s="120">
        <f>'Schedule 2F Adjustments'!X59</f>
        <v>0</v>
      </c>
      <c r="O60" s="120">
        <f>'Schedule 2F Adjustments'!AA59</f>
        <v>0</v>
      </c>
    </row>
    <row r="61" spans="1:15" x14ac:dyDescent="0.35">
      <c r="A61" s="24">
        <v>46</v>
      </c>
      <c r="B61" s="513" t="str">
        <f>'Schedule 2F Adjustments'!B60:D60</f>
        <v/>
      </c>
      <c r="C61" s="513"/>
      <c r="D61" s="513"/>
      <c r="F61" s="117">
        <f>'Schedule 2F Adjustments'!H60</f>
        <v>0</v>
      </c>
      <c r="G61" s="68">
        <f>'Schedule 2F Adjustments'!J60</f>
        <v>0</v>
      </c>
      <c r="H61" s="68">
        <f t="shared" si="0"/>
        <v>0</v>
      </c>
      <c r="J61" s="117">
        <f>'Schedule 2F Adjustments'!P60</f>
        <v>0</v>
      </c>
      <c r="K61" s="68">
        <f>'Schedule 2F Adjustments'!R60</f>
        <v>0</v>
      </c>
      <c r="L61" s="68">
        <f t="shared" si="1"/>
        <v>0</v>
      </c>
      <c r="N61" s="120">
        <f>'Schedule 2F Adjustments'!X60</f>
        <v>0</v>
      </c>
      <c r="O61" s="120">
        <f>'Schedule 2F Adjustments'!AA60</f>
        <v>0</v>
      </c>
    </row>
    <row r="62" spans="1:15" x14ac:dyDescent="0.35">
      <c r="A62" s="24">
        <v>47</v>
      </c>
      <c r="B62" s="513" t="str">
        <f>'Schedule 2F Adjustments'!B61:D61</f>
        <v/>
      </c>
      <c r="C62" s="513"/>
      <c r="D62" s="513"/>
      <c r="F62" s="117">
        <f>'Schedule 2F Adjustments'!H61</f>
        <v>0</v>
      </c>
      <c r="G62" s="68">
        <f>'Schedule 2F Adjustments'!J61</f>
        <v>0</v>
      </c>
      <c r="H62" s="68">
        <f t="shared" si="0"/>
        <v>0</v>
      </c>
      <c r="J62" s="117">
        <f>'Schedule 2F Adjustments'!P61</f>
        <v>0</v>
      </c>
      <c r="K62" s="68">
        <f>'Schedule 2F Adjustments'!R61</f>
        <v>0</v>
      </c>
      <c r="L62" s="68">
        <f t="shared" si="1"/>
        <v>0</v>
      </c>
      <c r="N62" s="120">
        <f>'Schedule 2F Adjustments'!X61</f>
        <v>0</v>
      </c>
      <c r="O62" s="120">
        <f>'Schedule 2F Adjustments'!AA61</f>
        <v>0</v>
      </c>
    </row>
    <row r="63" spans="1:15" x14ac:dyDescent="0.35">
      <c r="A63" s="24">
        <v>48</v>
      </c>
      <c r="B63" s="513" t="str">
        <f>'Schedule 2F Adjustments'!B62:D62</f>
        <v/>
      </c>
      <c r="C63" s="513"/>
      <c r="D63" s="513"/>
      <c r="F63" s="117">
        <f>'Schedule 2F Adjustments'!H62</f>
        <v>0</v>
      </c>
      <c r="G63" s="68">
        <f>'Schedule 2F Adjustments'!J62</f>
        <v>0</v>
      </c>
      <c r="H63" s="68">
        <f t="shared" si="0"/>
        <v>0</v>
      </c>
      <c r="J63" s="117">
        <f>'Schedule 2F Adjustments'!P62</f>
        <v>0</v>
      </c>
      <c r="K63" s="68">
        <f>'Schedule 2F Adjustments'!R62</f>
        <v>0</v>
      </c>
      <c r="L63" s="68">
        <f t="shared" si="1"/>
        <v>0</v>
      </c>
      <c r="N63" s="120">
        <f>'Schedule 2F Adjustments'!X62</f>
        <v>0</v>
      </c>
      <c r="O63" s="120">
        <f>'Schedule 2F Adjustments'!AA62</f>
        <v>0</v>
      </c>
    </row>
    <row r="64" spans="1:15" x14ac:dyDescent="0.35">
      <c r="A64" s="24">
        <v>49</v>
      </c>
      <c r="B64" s="513" t="str">
        <f>'Schedule 2F Adjustments'!B63:D63</f>
        <v/>
      </c>
      <c r="C64" s="513"/>
      <c r="D64" s="513"/>
      <c r="F64" s="117">
        <f>'Schedule 2F Adjustments'!H63</f>
        <v>0</v>
      </c>
      <c r="G64" s="68">
        <f>'Schedule 2F Adjustments'!J63</f>
        <v>0</v>
      </c>
      <c r="H64" s="68">
        <f t="shared" si="0"/>
        <v>0</v>
      </c>
      <c r="J64" s="117">
        <f>'Schedule 2F Adjustments'!P63</f>
        <v>0</v>
      </c>
      <c r="K64" s="68">
        <f>'Schedule 2F Adjustments'!R63</f>
        <v>0</v>
      </c>
      <c r="L64" s="68">
        <f t="shared" si="1"/>
        <v>0</v>
      </c>
      <c r="N64" s="120">
        <f>'Schedule 2F Adjustments'!X63</f>
        <v>0</v>
      </c>
      <c r="O64" s="120">
        <f>'Schedule 2F Adjustments'!AA63</f>
        <v>0</v>
      </c>
    </row>
    <row r="65" spans="1:15" x14ac:dyDescent="0.35">
      <c r="A65" s="24">
        <v>50</v>
      </c>
      <c r="B65" s="513" t="str">
        <f>'Schedule 2F Adjustments'!B64:D64</f>
        <v/>
      </c>
      <c r="C65" s="513"/>
      <c r="D65" s="513"/>
      <c r="F65" s="117">
        <f>'Schedule 2F Adjustments'!H64</f>
        <v>0</v>
      </c>
      <c r="G65" s="68">
        <f>'Schedule 2F Adjustments'!J64</f>
        <v>0</v>
      </c>
      <c r="H65" s="68">
        <f t="shared" si="0"/>
        <v>0</v>
      </c>
      <c r="J65" s="117">
        <f>'Schedule 2F Adjustments'!P64</f>
        <v>0</v>
      </c>
      <c r="K65" s="68">
        <f>'Schedule 2F Adjustments'!R64</f>
        <v>0</v>
      </c>
      <c r="L65" s="68">
        <f t="shared" si="1"/>
        <v>0</v>
      </c>
      <c r="N65" s="120">
        <f>'Schedule 2F Adjustments'!X64</f>
        <v>0</v>
      </c>
      <c r="O65" s="120">
        <f>'Schedule 2F Adjustments'!AA64</f>
        <v>0</v>
      </c>
    </row>
    <row r="66" spans="1:15" x14ac:dyDescent="0.35">
      <c r="A66" s="24">
        <v>51</v>
      </c>
      <c r="B66" s="513" t="str">
        <f>'Schedule 2F Adjustments'!B65:D65</f>
        <v/>
      </c>
      <c r="C66" s="513"/>
      <c r="D66" s="513"/>
      <c r="F66" s="117">
        <f>'Schedule 2F Adjustments'!H65</f>
        <v>0</v>
      </c>
      <c r="G66" s="68">
        <f>'Schedule 2F Adjustments'!J65</f>
        <v>0</v>
      </c>
      <c r="H66" s="68">
        <f t="shared" si="0"/>
        <v>0</v>
      </c>
      <c r="J66" s="117">
        <f>'Schedule 2F Adjustments'!P65</f>
        <v>0</v>
      </c>
      <c r="K66" s="68">
        <f>'Schedule 2F Adjustments'!R65</f>
        <v>0</v>
      </c>
      <c r="L66" s="68">
        <f t="shared" si="1"/>
        <v>0</v>
      </c>
      <c r="N66" s="120">
        <f>'Schedule 2F Adjustments'!X65</f>
        <v>0</v>
      </c>
      <c r="O66" s="120">
        <f>'Schedule 2F Adjustments'!AA65</f>
        <v>0</v>
      </c>
    </row>
    <row r="67" spans="1:15" x14ac:dyDescent="0.35">
      <c r="A67" s="24">
        <v>52</v>
      </c>
      <c r="B67" s="513" t="str">
        <f>'Schedule 2F Adjustments'!B66:D66</f>
        <v/>
      </c>
      <c r="C67" s="513"/>
      <c r="D67" s="513"/>
      <c r="F67" s="117">
        <f>'Schedule 2F Adjustments'!H66</f>
        <v>0</v>
      </c>
      <c r="G67" s="68">
        <f>'Schedule 2F Adjustments'!J66</f>
        <v>0</v>
      </c>
      <c r="H67" s="68">
        <f t="shared" si="0"/>
        <v>0</v>
      </c>
      <c r="J67" s="117">
        <f>'Schedule 2F Adjustments'!P66</f>
        <v>0</v>
      </c>
      <c r="K67" s="68">
        <f>'Schedule 2F Adjustments'!R66</f>
        <v>0</v>
      </c>
      <c r="L67" s="68">
        <f t="shared" si="1"/>
        <v>0</v>
      </c>
      <c r="N67" s="120">
        <f>'Schedule 2F Adjustments'!X66</f>
        <v>0</v>
      </c>
      <c r="O67" s="120">
        <f>'Schedule 2F Adjustments'!AA66</f>
        <v>0</v>
      </c>
    </row>
    <row r="68" spans="1:15" x14ac:dyDescent="0.35">
      <c r="A68" s="24">
        <v>53</v>
      </c>
      <c r="B68" s="513" t="str">
        <f>'Schedule 2F Adjustments'!B67:D67</f>
        <v/>
      </c>
      <c r="C68" s="513"/>
      <c r="D68" s="513"/>
      <c r="F68" s="117">
        <f>'Schedule 2F Adjustments'!H67</f>
        <v>0</v>
      </c>
      <c r="G68" s="68">
        <f>'Schedule 2F Adjustments'!J67</f>
        <v>0</v>
      </c>
      <c r="H68" s="68">
        <f t="shared" si="0"/>
        <v>0</v>
      </c>
      <c r="J68" s="117">
        <f>'Schedule 2F Adjustments'!P67</f>
        <v>0</v>
      </c>
      <c r="K68" s="68">
        <f>'Schedule 2F Adjustments'!R67</f>
        <v>0</v>
      </c>
      <c r="L68" s="68">
        <f t="shared" si="1"/>
        <v>0</v>
      </c>
      <c r="N68" s="120">
        <f>'Schedule 2F Adjustments'!X67</f>
        <v>0</v>
      </c>
      <c r="O68" s="120">
        <f>'Schedule 2F Adjustments'!AA67</f>
        <v>0</v>
      </c>
    </row>
    <row r="69" spans="1:15" x14ac:dyDescent="0.35">
      <c r="A69" s="24">
        <v>54</v>
      </c>
      <c r="B69" s="513" t="str">
        <f>'Schedule 2F Adjustments'!B68:D68</f>
        <v/>
      </c>
      <c r="C69" s="513"/>
      <c r="D69" s="513"/>
      <c r="F69" s="117">
        <f>'Schedule 2F Adjustments'!H68</f>
        <v>0</v>
      </c>
      <c r="G69" s="68">
        <f>'Schedule 2F Adjustments'!J68</f>
        <v>0</v>
      </c>
      <c r="H69" s="68">
        <f t="shared" si="0"/>
        <v>0</v>
      </c>
      <c r="J69" s="117">
        <f>'Schedule 2F Adjustments'!P68</f>
        <v>0</v>
      </c>
      <c r="K69" s="68">
        <f>'Schedule 2F Adjustments'!R68</f>
        <v>0</v>
      </c>
      <c r="L69" s="68">
        <f t="shared" si="1"/>
        <v>0</v>
      </c>
      <c r="N69" s="120">
        <f>'Schedule 2F Adjustments'!X68</f>
        <v>0</v>
      </c>
      <c r="O69" s="120">
        <f>'Schedule 2F Adjustments'!AA68</f>
        <v>0</v>
      </c>
    </row>
    <row r="70" spans="1:15" x14ac:dyDescent="0.35">
      <c r="A70" s="24">
        <v>55</v>
      </c>
      <c r="B70" s="513" t="str">
        <f>'Schedule 2F Adjustments'!B69:D69</f>
        <v/>
      </c>
      <c r="C70" s="513"/>
      <c r="D70" s="513"/>
      <c r="F70" s="117">
        <f>'Schedule 2F Adjustments'!H69</f>
        <v>0</v>
      </c>
      <c r="G70" s="68">
        <f>'Schedule 2F Adjustments'!J69</f>
        <v>0</v>
      </c>
      <c r="H70" s="68">
        <f t="shared" si="0"/>
        <v>0</v>
      </c>
      <c r="J70" s="117">
        <f>'Schedule 2F Adjustments'!P69</f>
        <v>0</v>
      </c>
      <c r="K70" s="68">
        <f>'Schedule 2F Adjustments'!R69</f>
        <v>0</v>
      </c>
      <c r="L70" s="68">
        <f t="shared" si="1"/>
        <v>0</v>
      </c>
      <c r="N70" s="120">
        <f>'Schedule 2F Adjustments'!X69</f>
        <v>0</v>
      </c>
      <c r="O70" s="120">
        <f>'Schedule 2F Adjustments'!AA69</f>
        <v>0</v>
      </c>
    </row>
    <row r="71" spans="1:15" x14ac:dyDescent="0.35">
      <c r="A71" s="24">
        <v>56</v>
      </c>
      <c r="B71" s="513" t="str">
        <f>'Schedule 2F Adjustments'!B70:D70</f>
        <v/>
      </c>
      <c r="C71" s="513"/>
      <c r="D71" s="513"/>
      <c r="F71" s="117">
        <f>'Schedule 2F Adjustments'!H70</f>
        <v>0</v>
      </c>
      <c r="G71" s="68">
        <f>'Schedule 2F Adjustments'!J70</f>
        <v>0</v>
      </c>
      <c r="H71" s="68">
        <f t="shared" si="0"/>
        <v>0</v>
      </c>
      <c r="J71" s="117">
        <f>'Schedule 2F Adjustments'!P70</f>
        <v>0</v>
      </c>
      <c r="K71" s="68">
        <f>'Schedule 2F Adjustments'!R70</f>
        <v>0</v>
      </c>
      <c r="L71" s="68">
        <f t="shared" si="1"/>
        <v>0</v>
      </c>
      <c r="N71" s="120">
        <f>'Schedule 2F Adjustments'!X70</f>
        <v>0</v>
      </c>
      <c r="O71" s="120">
        <f>'Schedule 2F Adjustments'!AA70</f>
        <v>0</v>
      </c>
    </row>
    <row r="72" spans="1:15" x14ac:dyDescent="0.35">
      <c r="A72" s="24">
        <v>57</v>
      </c>
      <c r="B72" s="513" t="str">
        <f>'Schedule 2F Adjustments'!B71:D71</f>
        <v/>
      </c>
      <c r="C72" s="513"/>
      <c r="D72" s="513"/>
      <c r="F72" s="117">
        <f>'Schedule 2F Adjustments'!H71</f>
        <v>0</v>
      </c>
      <c r="G72" s="68">
        <f>'Schedule 2F Adjustments'!J71</f>
        <v>0</v>
      </c>
      <c r="H72" s="68">
        <f t="shared" si="0"/>
        <v>0</v>
      </c>
      <c r="J72" s="117">
        <f>'Schedule 2F Adjustments'!P71</f>
        <v>0</v>
      </c>
      <c r="K72" s="68">
        <f>'Schedule 2F Adjustments'!R71</f>
        <v>0</v>
      </c>
      <c r="L72" s="68">
        <f t="shared" si="1"/>
        <v>0</v>
      </c>
      <c r="N72" s="120">
        <f>'Schedule 2F Adjustments'!X71</f>
        <v>0</v>
      </c>
      <c r="O72" s="120">
        <f>'Schedule 2F Adjustments'!AA71</f>
        <v>0</v>
      </c>
    </row>
    <row r="73" spans="1:15" x14ac:dyDescent="0.35">
      <c r="A73" s="24">
        <v>58</v>
      </c>
      <c r="B73" s="513" t="str">
        <f>'Schedule 2F Adjustments'!B72:D72</f>
        <v/>
      </c>
      <c r="C73" s="513"/>
      <c r="D73" s="513"/>
      <c r="F73" s="117">
        <f>'Schedule 2F Adjustments'!H72</f>
        <v>0</v>
      </c>
      <c r="G73" s="68">
        <f>'Schedule 2F Adjustments'!J72</f>
        <v>0</v>
      </c>
      <c r="H73" s="68">
        <f t="shared" si="0"/>
        <v>0</v>
      </c>
      <c r="J73" s="117">
        <f>'Schedule 2F Adjustments'!P72</f>
        <v>0</v>
      </c>
      <c r="K73" s="68">
        <f>'Schedule 2F Adjustments'!R72</f>
        <v>0</v>
      </c>
      <c r="L73" s="68">
        <f t="shared" si="1"/>
        <v>0</v>
      </c>
      <c r="N73" s="120">
        <f>'Schedule 2F Adjustments'!X72</f>
        <v>0</v>
      </c>
      <c r="O73" s="120">
        <f>'Schedule 2F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7">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850</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Health Solutions</v>
      </c>
    </row>
    <row r="7" spans="1:15" x14ac:dyDescent="0.35">
      <c r="A7" s="1" t="s">
        <v>0</v>
      </c>
      <c r="C7" s="35">
        <f>Results!$C$7</f>
        <v>45473</v>
      </c>
      <c r="F7" s="35"/>
    </row>
    <row r="9" spans="1:15" x14ac:dyDescent="0.35">
      <c r="A9" s="1" t="s">
        <v>253</v>
      </c>
      <c r="B9" s="1" t="s">
        <v>816</v>
      </c>
      <c r="C9" s="1"/>
      <c r="F9" s="119" t="str">
        <f>'Schedule 2G Adjustments'!F8</f>
        <v>Yes/No</v>
      </c>
      <c r="G9" s="41" t="s">
        <v>259</v>
      </c>
    </row>
    <row r="11" spans="1:15" x14ac:dyDescent="0.35">
      <c r="A11" s="1" t="s">
        <v>254</v>
      </c>
      <c r="B11" s="1" t="s">
        <v>256</v>
      </c>
      <c r="C11" s="1"/>
    </row>
    <row r="12" spans="1:15" x14ac:dyDescent="0.35">
      <c r="B12" s="318" t="s">
        <v>598</v>
      </c>
    </row>
    <row r="13" spans="1:15" x14ac:dyDescent="0.35">
      <c r="B13" s="508">
        <v>1</v>
      </c>
      <c r="C13" s="508"/>
      <c r="D13" s="508"/>
      <c r="F13" s="23">
        <v>2</v>
      </c>
      <c r="G13" s="23">
        <v>3</v>
      </c>
      <c r="H13" s="23">
        <v>4</v>
      </c>
      <c r="J13" s="23">
        <v>5</v>
      </c>
      <c r="K13" s="23">
        <v>6</v>
      </c>
      <c r="L13" s="23">
        <v>7</v>
      </c>
      <c r="N13" s="23">
        <v>8</v>
      </c>
      <c r="O13" s="23">
        <v>9</v>
      </c>
    </row>
    <row r="14" spans="1:15" ht="15" customHeight="1" x14ac:dyDescent="0.35">
      <c r="B14" s="517" t="s">
        <v>612</v>
      </c>
      <c r="C14" s="518"/>
      <c r="D14" s="519"/>
      <c r="F14" s="511" t="s">
        <v>261</v>
      </c>
      <c r="G14" s="516"/>
      <c r="H14" s="512"/>
      <c r="J14" s="511" t="s">
        <v>262</v>
      </c>
      <c r="K14" s="516"/>
      <c r="L14" s="512"/>
      <c r="N14" s="514" t="s">
        <v>692</v>
      </c>
      <c r="O14" s="514" t="s">
        <v>693</v>
      </c>
    </row>
    <row r="15" spans="1:15" ht="55.5" customHeight="1" x14ac:dyDescent="0.35">
      <c r="B15" s="520"/>
      <c r="C15" s="521"/>
      <c r="D15" s="522"/>
      <c r="E15" s="48"/>
      <c r="F15" s="10" t="s">
        <v>689</v>
      </c>
      <c r="G15" s="151" t="s">
        <v>690</v>
      </c>
      <c r="H15" s="151" t="s">
        <v>691</v>
      </c>
      <c r="I15" s="100"/>
      <c r="J15" s="10" t="s">
        <v>689</v>
      </c>
      <c r="K15" s="151" t="s">
        <v>690</v>
      </c>
      <c r="L15" s="151" t="s">
        <v>691</v>
      </c>
      <c r="M15" s="48"/>
      <c r="N15" s="515"/>
      <c r="O15" s="515"/>
    </row>
    <row r="16" spans="1:15" x14ac:dyDescent="0.35">
      <c r="A16" s="24">
        <v>1</v>
      </c>
      <c r="B16" s="513" t="str">
        <f>'Schedule 2G Adjustments'!B15:D15</f>
        <v/>
      </c>
      <c r="C16" s="513"/>
      <c r="D16" s="513"/>
      <c r="F16" s="117">
        <f>'Schedule 2G Adjustments'!H15</f>
        <v>0</v>
      </c>
      <c r="G16" s="68">
        <f>'Schedule 2G Adjustments'!J15</f>
        <v>0</v>
      </c>
      <c r="H16" s="68">
        <f>SUM(F16:G16)</f>
        <v>0</v>
      </c>
      <c r="J16" s="117">
        <f>'Schedule 2G Adjustments'!P15</f>
        <v>0</v>
      </c>
      <c r="K16" s="68">
        <f>'Schedule 2G Adjustments'!R15</f>
        <v>0</v>
      </c>
      <c r="L16" s="68">
        <f>SUM(J16:K16)</f>
        <v>0</v>
      </c>
      <c r="N16" s="120">
        <f>'Schedule 2G Adjustments'!X15</f>
        <v>0</v>
      </c>
      <c r="O16" s="120">
        <f>'Schedule 2G Adjustments'!AA15</f>
        <v>0</v>
      </c>
    </row>
    <row r="17" spans="1:15" x14ac:dyDescent="0.35">
      <c r="A17" s="24">
        <v>2</v>
      </c>
      <c r="B17" s="513" t="str">
        <f>'Schedule 2G Adjustments'!B16:D16</f>
        <v/>
      </c>
      <c r="C17" s="513"/>
      <c r="D17" s="513"/>
      <c r="F17" s="117">
        <f>'Schedule 2G Adjustments'!H16</f>
        <v>0</v>
      </c>
      <c r="G17" s="68">
        <f>'Schedule 2G Adjustments'!J16</f>
        <v>0</v>
      </c>
      <c r="H17" s="68">
        <f t="shared" ref="H17:H73" si="0">SUM(F17:G17)</f>
        <v>0</v>
      </c>
      <c r="J17" s="117">
        <f>'Schedule 2G Adjustments'!P16</f>
        <v>0</v>
      </c>
      <c r="K17" s="68">
        <f>'Schedule 2G Adjustments'!R16</f>
        <v>0</v>
      </c>
      <c r="L17" s="68">
        <f t="shared" ref="L17:L73" si="1">SUM(J17:K17)</f>
        <v>0</v>
      </c>
      <c r="N17" s="120">
        <f>'Schedule 2G Adjustments'!X16</f>
        <v>0</v>
      </c>
      <c r="O17" s="120">
        <f>'Schedule 2G Adjustments'!AA16</f>
        <v>0</v>
      </c>
    </row>
    <row r="18" spans="1:15" x14ac:dyDescent="0.35">
      <c r="A18" s="24">
        <v>3</v>
      </c>
      <c r="B18" s="513" t="str">
        <f>'Schedule 2G Adjustments'!B17:D17</f>
        <v/>
      </c>
      <c r="C18" s="513"/>
      <c r="D18" s="513"/>
      <c r="F18" s="117">
        <f>'Schedule 2G Adjustments'!H17</f>
        <v>0</v>
      </c>
      <c r="G18" s="68">
        <f>'Schedule 2G Adjustments'!J17</f>
        <v>0</v>
      </c>
      <c r="H18" s="68">
        <f t="shared" si="0"/>
        <v>0</v>
      </c>
      <c r="J18" s="117">
        <f>'Schedule 2G Adjustments'!P17</f>
        <v>0</v>
      </c>
      <c r="K18" s="68">
        <f>'Schedule 2G Adjustments'!R17</f>
        <v>0</v>
      </c>
      <c r="L18" s="68">
        <f t="shared" si="1"/>
        <v>0</v>
      </c>
      <c r="N18" s="120">
        <f>'Schedule 2G Adjustments'!X17</f>
        <v>0</v>
      </c>
      <c r="O18" s="120">
        <f>'Schedule 2G Adjustments'!AA17</f>
        <v>0</v>
      </c>
    </row>
    <row r="19" spans="1:15" x14ac:dyDescent="0.35">
      <c r="A19" s="24">
        <v>4</v>
      </c>
      <c r="B19" s="513" t="str">
        <f>'Schedule 2G Adjustments'!B18:D18</f>
        <v/>
      </c>
      <c r="C19" s="513"/>
      <c r="D19" s="513"/>
      <c r="F19" s="117">
        <f>'Schedule 2G Adjustments'!H18</f>
        <v>0</v>
      </c>
      <c r="G19" s="68">
        <f>'Schedule 2G Adjustments'!J18</f>
        <v>0</v>
      </c>
      <c r="H19" s="68">
        <f t="shared" si="0"/>
        <v>0</v>
      </c>
      <c r="J19" s="117">
        <f>'Schedule 2G Adjustments'!P18</f>
        <v>0</v>
      </c>
      <c r="K19" s="68">
        <f>'Schedule 2G Adjustments'!R18</f>
        <v>0</v>
      </c>
      <c r="L19" s="68">
        <f t="shared" si="1"/>
        <v>0</v>
      </c>
      <c r="N19" s="120">
        <f>'Schedule 2G Adjustments'!X18</f>
        <v>0</v>
      </c>
      <c r="O19" s="120">
        <f>'Schedule 2G Adjustments'!AA18</f>
        <v>0</v>
      </c>
    </row>
    <row r="20" spans="1:15" x14ac:dyDescent="0.35">
      <c r="A20" s="24">
        <v>5</v>
      </c>
      <c r="B20" s="513" t="str">
        <f>'Schedule 2G Adjustments'!B19:D19</f>
        <v/>
      </c>
      <c r="C20" s="513"/>
      <c r="D20" s="513"/>
      <c r="F20" s="117">
        <f>'Schedule 2G Adjustments'!H19</f>
        <v>0</v>
      </c>
      <c r="G20" s="68">
        <f>'Schedule 2G Adjustments'!J19</f>
        <v>0</v>
      </c>
      <c r="H20" s="68">
        <f t="shared" si="0"/>
        <v>0</v>
      </c>
      <c r="J20" s="117">
        <f>'Schedule 2G Adjustments'!P19</f>
        <v>0</v>
      </c>
      <c r="K20" s="68">
        <f>'Schedule 2G Adjustments'!R19</f>
        <v>0</v>
      </c>
      <c r="L20" s="68">
        <f t="shared" si="1"/>
        <v>0</v>
      </c>
      <c r="N20" s="120">
        <f>'Schedule 2G Adjustments'!X19</f>
        <v>0</v>
      </c>
      <c r="O20" s="120">
        <f>'Schedule 2G Adjustments'!AA19</f>
        <v>0</v>
      </c>
    </row>
    <row r="21" spans="1:15" x14ac:dyDescent="0.35">
      <c r="A21" s="24">
        <v>6</v>
      </c>
      <c r="B21" s="513" t="str">
        <f>'Schedule 2G Adjustments'!B20:D20</f>
        <v/>
      </c>
      <c r="C21" s="513"/>
      <c r="D21" s="513"/>
      <c r="F21" s="117">
        <f>'Schedule 2G Adjustments'!H20</f>
        <v>0</v>
      </c>
      <c r="G21" s="68">
        <f>'Schedule 2G Adjustments'!J20</f>
        <v>0</v>
      </c>
      <c r="H21" s="68">
        <f t="shared" si="0"/>
        <v>0</v>
      </c>
      <c r="J21" s="117">
        <f>'Schedule 2G Adjustments'!P20</f>
        <v>0</v>
      </c>
      <c r="K21" s="68">
        <f>'Schedule 2G Adjustments'!R20</f>
        <v>0</v>
      </c>
      <c r="L21" s="68">
        <f t="shared" si="1"/>
        <v>0</v>
      </c>
      <c r="N21" s="120">
        <f>'Schedule 2G Adjustments'!X20</f>
        <v>0</v>
      </c>
      <c r="O21" s="120">
        <f>'Schedule 2G Adjustments'!AA20</f>
        <v>0</v>
      </c>
    </row>
    <row r="22" spans="1:15" x14ac:dyDescent="0.35">
      <c r="A22" s="24">
        <v>7</v>
      </c>
      <c r="B22" s="513" t="str">
        <f>'Schedule 2G Adjustments'!B21:D21</f>
        <v/>
      </c>
      <c r="C22" s="513"/>
      <c r="D22" s="513"/>
      <c r="F22" s="117">
        <f>'Schedule 2G Adjustments'!H21</f>
        <v>0</v>
      </c>
      <c r="G22" s="68">
        <f>'Schedule 2G Adjustments'!J21</f>
        <v>0</v>
      </c>
      <c r="H22" s="68">
        <f t="shared" si="0"/>
        <v>0</v>
      </c>
      <c r="J22" s="117">
        <f>'Schedule 2G Adjustments'!P21</f>
        <v>0</v>
      </c>
      <c r="K22" s="68">
        <f>'Schedule 2G Adjustments'!R21</f>
        <v>0</v>
      </c>
      <c r="L22" s="68">
        <f t="shared" si="1"/>
        <v>0</v>
      </c>
      <c r="N22" s="120">
        <f>'Schedule 2G Adjustments'!X21</f>
        <v>0</v>
      </c>
      <c r="O22" s="120">
        <f>'Schedule 2G Adjustments'!AA21</f>
        <v>0</v>
      </c>
    </row>
    <row r="23" spans="1:15" x14ac:dyDescent="0.35">
      <c r="A23" s="24">
        <v>8</v>
      </c>
      <c r="B23" s="513" t="str">
        <f>'Schedule 2G Adjustments'!B22:D22</f>
        <v/>
      </c>
      <c r="C23" s="513"/>
      <c r="D23" s="513"/>
      <c r="F23" s="117">
        <f>'Schedule 2G Adjustments'!H22</f>
        <v>0</v>
      </c>
      <c r="G23" s="68">
        <f>'Schedule 2G Adjustments'!J22</f>
        <v>0</v>
      </c>
      <c r="H23" s="68">
        <f t="shared" si="0"/>
        <v>0</v>
      </c>
      <c r="J23" s="117">
        <f>'Schedule 2G Adjustments'!P22</f>
        <v>0</v>
      </c>
      <c r="K23" s="68">
        <f>'Schedule 2G Adjustments'!R22</f>
        <v>0</v>
      </c>
      <c r="L23" s="68">
        <f t="shared" si="1"/>
        <v>0</v>
      </c>
      <c r="N23" s="120">
        <f>'Schedule 2G Adjustments'!X22</f>
        <v>0</v>
      </c>
      <c r="O23" s="120">
        <f>'Schedule 2G Adjustments'!AA22</f>
        <v>0</v>
      </c>
    </row>
    <row r="24" spans="1:15" x14ac:dyDescent="0.35">
      <c r="A24" s="24">
        <v>9</v>
      </c>
      <c r="B24" s="513" t="str">
        <f>'Schedule 2G Adjustments'!B23:D23</f>
        <v/>
      </c>
      <c r="C24" s="513"/>
      <c r="D24" s="513"/>
      <c r="F24" s="117">
        <f>'Schedule 2G Adjustments'!H23</f>
        <v>0</v>
      </c>
      <c r="G24" s="68">
        <f>'Schedule 2G Adjustments'!J23</f>
        <v>0</v>
      </c>
      <c r="H24" s="68">
        <f t="shared" si="0"/>
        <v>0</v>
      </c>
      <c r="J24" s="117">
        <f>'Schedule 2G Adjustments'!P23</f>
        <v>0</v>
      </c>
      <c r="K24" s="68">
        <f>'Schedule 2G Adjustments'!R23</f>
        <v>0</v>
      </c>
      <c r="L24" s="68">
        <f t="shared" si="1"/>
        <v>0</v>
      </c>
      <c r="N24" s="120">
        <f>'Schedule 2G Adjustments'!X23</f>
        <v>0</v>
      </c>
      <c r="O24" s="120">
        <f>'Schedule 2G Adjustments'!AA23</f>
        <v>0</v>
      </c>
    </row>
    <row r="25" spans="1:15" x14ac:dyDescent="0.35">
      <c r="A25" s="24">
        <v>10</v>
      </c>
      <c r="B25" s="513" t="str">
        <f>'Schedule 2G Adjustments'!B24:D24</f>
        <v/>
      </c>
      <c r="C25" s="513"/>
      <c r="D25" s="513"/>
      <c r="F25" s="117">
        <f>'Schedule 2G Adjustments'!H24</f>
        <v>0</v>
      </c>
      <c r="G25" s="68">
        <f>'Schedule 2G Adjustments'!J24</f>
        <v>0</v>
      </c>
      <c r="H25" s="68">
        <f t="shared" si="0"/>
        <v>0</v>
      </c>
      <c r="J25" s="117">
        <f>'Schedule 2G Adjustments'!P24</f>
        <v>0</v>
      </c>
      <c r="K25" s="68">
        <f>'Schedule 2G Adjustments'!R24</f>
        <v>0</v>
      </c>
      <c r="L25" s="68">
        <f t="shared" si="1"/>
        <v>0</v>
      </c>
      <c r="N25" s="120">
        <f>'Schedule 2G Adjustments'!X24</f>
        <v>0</v>
      </c>
      <c r="O25" s="120">
        <f>'Schedule 2G Adjustments'!AA24</f>
        <v>0</v>
      </c>
    </row>
    <row r="26" spans="1:15" x14ac:dyDescent="0.35">
      <c r="A26" s="24">
        <v>11</v>
      </c>
      <c r="B26" s="513" t="str">
        <f>'Schedule 2G Adjustments'!B25:D25</f>
        <v/>
      </c>
      <c r="C26" s="513"/>
      <c r="D26" s="513"/>
      <c r="F26" s="117">
        <f>'Schedule 2G Adjustments'!H25</f>
        <v>0</v>
      </c>
      <c r="G26" s="68">
        <f>'Schedule 2G Adjustments'!J25</f>
        <v>0</v>
      </c>
      <c r="H26" s="68">
        <f t="shared" si="0"/>
        <v>0</v>
      </c>
      <c r="J26" s="117">
        <f>'Schedule 2G Adjustments'!P25</f>
        <v>0</v>
      </c>
      <c r="K26" s="68">
        <f>'Schedule 2G Adjustments'!R25</f>
        <v>0</v>
      </c>
      <c r="L26" s="68">
        <f t="shared" si="1"/>
        <v>0</v>
      </c>
      <c r="N26" s="120">
        <f>'Schedule 2G Adjustments'!X25</f>
        <v>0</v>
      </c>
      <c r="O26" s="120">
        <f>'Schedule 2G Adjustments'!AA25</f>
        <v>0</v>
      </c>
    </row>
    <row r="27" spans="1:15" x14ac:dyDescent="0.35">
      <c r="A27" s="24">
        <v>12</v>
      </c>
      <c r="B27" s="513" t="str">
        <f>'Schedule 2G Adjustments'!B26:D26</f>
        <v/>
      </c>
      <c r="C27" s="513"/>
      <c r="D27" s="513"/>
      <c r="F27" s="117">
        <f>'Schedule 2G Adjustments'!H26</f>
        <v>0</v>
      </c>
      <c r="G27" s="68">
        <f>'Schedule 2G Adjustments'!J26</f>
        <v>0</v>
      </c>
      <c r="H27" s="68">
        <f t="shared" si="0"/>
        <v>0</v>
      </c>
      <c r="J27" s="117">
        <f>'Schedule 2G Adjustments'!P26</f>
        <v>0</v>
      </c>
      <c r="K27" s="68">
        <f>'Schedule 2G Adjustments'!R26</f>
        <v>0</v>
      </c>
      <c r="L27" s="68">
        <f t="shared" si="1"/>
        <v>0</v>
      </c>
      <c r="N27" s="120">
        <f>'Schedule 2G Adjustments'!X26</f>
        <v>0</v>
      </c>
      <c r="O27" s="120">
        <f>'Schedule 2G Adjustments'!AA26</f>
        <v>0</v>
      </c>
    </row>
    <row r="28" spans="1:15" x14ac:dyDescent="0.35">
      <c r="A28" s="24">
        <v>13</v>
      </c>
      <c r="B28" s="513" t="str">
        <f>'Schedule 2G Adjustments'!B27:D27</f>
        <v/>
      </c>
      <c r="C28" s="513"/>
      <c r="D28" s="513"/>
      <c r="F28" s="117">
        <f>'Schedule 2G Adjustments'!H27</f>
        <v>0</v>
      </c>
      <c r="G28" s="68">
        <f>'Schedule 2G Adjustments'!J27</f>
        <v>0</v>
      </c>
      <c r="H28" s="68">
        <f t="shared" si="0"/>
        <v>0</v>
      </c>
      <c r="J28" s="117">
        <f>'Schedule 2G Adjustments'!P27</f>
        <v>0</v>
      </c>
      <c r="K28" s="68">
        <f>'Schedule 2G Adjustments'!R27</f>
        <v>0</v>
      </c>
      <c r="L28" s="68">
        <f t="shared" si="1"/>
        <v>0</v>
      </c>
      <c r="N28" s="120">
        <f>'Schedule 2G Adjustments'!X27</f>
        <v>0</v>
      </c>
      <c r="O28" s="120">
        <f>'Schedule 2G Adjustments'!AA27</f>
        <v>0</v>
      </c>
    </row>
    <row r="29" spans="1:15" x14ac:dyDescent="0.35">
      <c r="A29" s="24">
        <v>14</v>
      </c>
      <c r="B29" s="513" t="str">
        <f>'Schedule 2G Adjustments'!B28:D28</f>
        <v/>
      </c>
      <c r="C29" s="513"/>
      <c r="D29" s="513"/>
      <c r="F29" s="117">
        <f>'Schedule 2G Adjustments'!H28</f>
        <v>0</v>
      </c>
      <c r="G29" s="68">
        <f>'Schedule 2G Adjustments'!J28</f>
        <v>0</v>
      </c>
      <c r="H29" s="68">
        <f t="shared" si="0"/>
        <v>0</v>
      </c>
      <c r="J29" s="117">
        <f>'Schedule 2G Adjustments'!P28</f>
        <v>0</v>
      </c>
      <c r="K29" s="68">
        <f>'Schedule 2G Adjustments'!R28</f>
        <v>0</v>
      </c>
      <c r="L29" s="68">
        <f t="shared" si="1"/>
        <v>0</v>
      </c>
      <c r="N29" s="120">
        <f>'Schedule 2G Adjustments'!X28</f>
        <v>0</v>
      </c>
      <c r="O29" s="120">
        <f>'Schedule 2G Adjustments'!AA28</f>
        <v>0</v>
      </c>
    </row>
    <row r="30" spans="1:15" x14ac:dyDescent="0.35">
      <c r="A30" s="24">
        <v>15</v>
      </c>
      <c r="B30" s="513" t="str">
        <f>'Schedule 2G Adjustments'!B29:D29</f>
        <v/>
      </c>
      <c r="C30" s="513"/>
      <c r="D30" s="513"/>
      <c r="F30" s="117">
        <f>'Schedule 2G Adjustments'!H29</f>
        <v>0</v>
      </c>
      <c r="G30" s="68">
        <f>'Schedule 2G Adjustments'!J29</f>
        <v>0</v>
      </c>
      <c r="H30" s="68">
        <f t="shared" si="0"/>
        <v>0</v>
      </c>
      <c r="J30" s="117">
        <f>'Schedule 2G Adjustments'!P29</f>
        <v>0</v>
      </c>
      <c r="K30" s="68">
        <f>'Schedule 2G Adjustments'!R29</f>
        <v>0</v>
      </c>
      <c r="L30" s="68">
        <f t="shared" si="1"/>
        <v>0</v>
      </c>
      <c r="N30" s="120">
        <f>'Schedule 2G Adjustments'!X29</f>
        <v>0</v>
      </c>
      <c r="O30" s="120">
        <f>'Schedule 2G Adjustments'!AA29</f>
        <v>0</v>
      </c>
    </row>
    <row r="31" spans="1:15" x14ac:dyDescent="0.35">
      <c r="A31" s="24">
        <v>16</v>
      </c>
      <c r="B31" s="513" t="str">
        <f>'Schedule 2G Adjustments'!B30:D30</f>
        <v/>
      </c>
      <c r="C31" s="513"/>
      <c r="D31" s="513"/>
      <c r="F31" s="117">
        <f>'Schedule 2G Adjustments'!H30</f>
        <v>0</v>
      </c>
      <c r="G31" s="68">
        <f>'Schedule 2G Adjustments'!J30</f>
        <v>0</v>
      </c>
      <c r="H31" s="68">
        <f t="shared" si="0"/>
        <v>0</v>
      </c>
      <c r="J31" s="117">
        <f>'Schedule 2G Adjustments'!P30</f>
        <v>0</v>
      </c>
      <c r="K31" s="68">
        <f>'Schedule 2G Adjustments'!R30</f>
        <v>0</v>
      </c>
      <c r="L31" s="68">
        <f t="shared" si="1"/>
        <v>0</v>
      </c>
      <c r="N31" s="120">
        <f>'Schedule 2G Adjustments'!X30</f>
        <v>0</v>
      </c>
      <c r="O31" s="120">
        <f>'Schedule 2G Adjustments'!AA30</f>
        <v>0</v>
      </c>
    </row>
    <row r="32" spans="1:15" x14ac:dyDescent="0.35">
      <c r="A32" s="24">
        <v>17</v>
      </c>
      <c r="B32" s="513" t="str">
        <f>'Schedule 2G Adjustments'!B31:D31</f>
        <v/>
      </c>
      <c r="C32" s="513"/>
      <c r="D32" s="513"/>
      <c r="F32" s="117">
        <f>'Schedule 2G Adjustments'!H31</f>
        <v>0</v>
      </c>
      <c r="G32" s="68">
        <f>'Schedule 2G Adjustments'!J31</f>
        <v>0</v>
      </c>
      <c r="H32" s="68">
        <f t="shared" si="0"/>
        <v>0</v>
      </c>
      <c r="J32" s="117">
        <f>'Schedule 2G Adjustments'!P31</f>
        <v>0</v>
      </c>
      <c r="K32" s="68">
        <f>'Schedule 2G Adjustments'!R31</f>
        <v>0</v>
      </c>
      <c r="L32" s="68">
        <f t="shared" si="1"/>
        <v>0</v>
      </c>
      <c r="N32" s="120">
        <f>'Schedule 2G Adjustments'!X31</f>
        <v>0</v>
      </c>
      <c r="O32" s="120">
        <f>'Schedule 2G Adjustments'!AA31</f>
        <v>0</v>
      </c>
    </row>
    <row r="33" spans="1:15" x14ac:dyDescent="0.35">
      <c r="A33" s="24">
        <v>18</v>
      </c>
      <c r="B33" s="513" t="str">
        <f>'Schedule 2G Adjustments'!B32:D32</f>
        <v/>
      </c>
      <c r="C33" s="513"/>
      <c r="D33" s="513"/>
      <c r="F33" s="117">
        <f>'Schedule 2G Adjustments'!H32</f>
        <v>0</v>
      </c>
      <c r="G33" s="68">
        <f>'Schedule 2G Adjustments'!J32</f>
        <v>0</v>
      </c>
      <c r="H33" s="68">
        <f t="shared" si="0"/>
        <v>0</v>
      </c>
      <c r="J33" s="117">
        <f>'Schedule 2G Adjustments'!P32</f>
        <v>0</v>
      </c>
      <c r="K33" s="68">
        <f>'Schedule 2G Adjustments'!R32</f>
        <v>0</v>
      </c>
      <c r="L33" s="68">
        <f t="shared" si="1"/>
        <v>0</v>
      </c>
      <c r="N33" s="120">
        <f>'Schedule 2G Adjustments'!X32</f>
        <v>0</v>
      </c>
      <c r="O33" s="120">
        <f>'Schedule 2G Adjustments'!AA32</f>
        <v>0</v>
      </c>
    </row>
    <row r="34" spans="1:15" x14ac:dyDescent="0.35">
      <c r="A34" s="24">
        <v>19</v>
      </c>
      <c r="B34" s="513" t="str">
        <f>'Schedule 2G Adjustments'!B33:D33</f>
        <v/>
      </c>
      <c r="C34" s="513"/>
      <c r="D34" s="513"/>
      <c r="F34" s="117">
        <f>'Schedule 2G Adjustments'!H33</f>
        <v>0</v>
      </c>
      <c r="G34" s="68">
        <f>'Schedule 2G Adjustments'!J33</f>
        <v>0</v>
      </c>
      <c r="H34" s="68">
        <f t="shared" si="0"/>
        <v>0</v>
      </c>
      <c r="J34" s="117">
        <f>'Schedule 2G Adjustments'!P33</f>
        <v>0</v>
      </c>
      <c r="K34" s="68">
        <f>'Schedule 2G Adjustments'!R33</f>
        <v>0</v>
      </c>
      <c r="L34" s="68">
        <f t="shared" si="1"/>
        <v>0</v>
      </c>
      <c r="N34" s="120">
        <f>'Schedule 2G Adjustments'!X33</f>
        <v>0</v>
      </c>
      <c r="O34" s="120">
        <f>'Schedule 2G Adjustments'!AA33</f>
        <v>0</v>
      </c>
    </row>
    <row r="35" spans="1:15" x14ac:dyDescent="0.35">
      <c r="A35" s="24">
        <v>20</v>
      </c>
      <c r="B35" s="513" t="str">
        <f>'Schedule 2G Adjustments'!B34:D34</f>
        <v/>
      </c>
      <c r="C35" s="513"/>
      <c r="D35" s="513"/>
      <c r="F35" s="117">
        <f>'Schedule 2G Adjustments'!H34</f>
        <v>0</v>
      </c>
      <c r="G35" s="68">
        <f>'Schedule 2G Adjustments'!J34</f>
        <v>0</v>
      </c>
      <c r="H35" s="68">
        <f t="shared" si="0"/>
        <v>0</v>
      </c>
      <c r="J35" s="117">
        <f>'Schedule 2G Adjustments'!P34</f>
        <v>0</v>
      </c>
      <c r="K35" s="68">
        <f>'Schedule 2G Adjustments'!R34</f>
        <v>0</v>
      </c>
      <c r="L35" s="68">
        <f t="shared" si="1"/>
        <v>0</v>
      </c>
      <c r="N35" s="120">
        <f>'Schedule 2G Adjustments'!X34</f>
        <v>0</v>
      </c>
      <c r="O35" s="120">
        <f>'Schedule 2G Adjustments'!AA34</f>
        <v>0</v>
      </c>
    </row>
    <row r="36" spans="1:15" x14ac:dyDescent="0.35">
      <c r="A36" s="24">
        <v>21</v>
      </c>
      <c r="B36" s="513" t="str">
        <f>'Schedule 2G Adjustments'!B35:D35</f>
        <v/>
      </c>
      <c r="C36" s="513"/>
      <c r="D36" s="513"/>
      <c r="F36" s="117">
        <f>'Schedule 2G Adjustments'!H35</f>
        <v>0</v>
      </c>
      <c r="G36" s="68">
        <f>'Schedule 2G Adjustments'!J35</f>
        <v>0</v>
      </c>
      <c r="H36" s="68">
        <f t="shared" si="0"/>
        <v>0</v>
      </c>
      <c r="J36" s="117">
        <f>'Schedule 2G Adjustments'!P35</f>
        <v>0</v>
      </c>
      <c r="K36" s="68">
        <f>'Schedule 2G Adjustments'!R35</f>
        <v>0</v>
      </c>
      <c r="L36" s="68">
        <f t="shared" si="1"/>
        <v>0</v>
      </c>
      <c r="N36" s="120">
        <f>'Schedule 2G Adjustments'!X35</f>
        <v>0</v>
      </c>
      <c r="O36" s="120">
        <f>'Schedule 2G Adjustments'!AA35</f>
        <v>0</v>
      </c>
    </row>
    <row r="37" spans="1:15" x14ac:dyDescent="0.35">
      <c r="A37" s="24">
        <v>22</v>
      </c>
      <c r="B37" s="513" t="str">
        <f>'Schedule 2G Adjustments'!B36:D36</f>
        <v/>
      </c>
      <c r="C37" s="513"/>
      <c r="D37" s="513"/>
      <c r="F37" s="117">
        <f>'Schedule 2G Adjustments'!H36</f>
        <v>0</v>
      </c>
      <c r="G37" s="68">
        <f>'Schedule 2G Adjustments'!J36</f>
        <v>0</v>
      </c>
      <c r="H37" s="68">
        <f t="shared" si="0"/>
        <v>0</v>
      </c>
      <c r="J37" s="117">
        <f>'Schedule 2G Adjustments'!P36</f>
        <v>0</v>
      </c>
      <c r="K37" s="68">
        <f>'Schedule 2G Adjustments'!R36</f>
        <v>0</v>
      </c>
      <c r="L37" s="68">
        <f t="shared" si="1"/>
        <v>0</v>
      </c>
      <c r="N37" s="120">
        <f>'Schedule 2G Adjustments'!X36</f>
        <v>0</v>
      </c>
      <c r="O37" s="120">
        <f>'Schedule 2G Adjustments'!AA36</f>
        <v>0</v>
      </c>
    </row>
    <row r="38" spans="1:15" x14ac:dyDescent="0.35">
      <c r="A38" s="24">
        <v>23</v>
      </c>
      <c r="B38" s="513" t="str">
        <f>'Schedule 2G Adjustments'!B37:D37</f>
        <v/>
      </c>
      <c r="C38" s="513"/>
      <c r="D38" s="513"/>
      <c r="F38" s="117">
        <f>'Schedule 2G Adjustments'!H37</f>
        <v>0</v>
      </c>
      <c r="G38" s="68">
        <f>'Schedule 2G Adjustments'!J37</f>
        <v>0</v>
      </c>
      <c r="H38" s="68">
        <f t="shared" si="0"/>
        <v>0</v>
      </c>
      <c r="J38" s="117">
        <f>'Schedule 2G Adjustments'!P37</f>
        <v>0</v>
      </c>
      <c r="K38" s="68">
        <f>'Schedule 2G Adjustments'!R37</f>
        <v>0</v>
      </c>
      <c r="L38" s="68">
        <f t="shared" si="1"/>
        <v>0</v>
      </c>
      <c r="N38" s="120">
        <f>'Schedule 2G Adjustments'!X37</f>
        <v>0</v>
      </c>
      <c r="O38" s="120">
        <f>'Schedule 2G Adjustments'!AA37</f>
        <v>0</v>
      </c>
    </row>
    <row r="39" spans="1:15" x14ac:dyDescent="0.35">
      <c r="A39" s="24">
        <v>24</v>
      </c>
      <c r="B39" s="513" t="str">
        <f>'Schedule 2G Adjustments'!B38:D38</f>
        <v/>
      </c>
      <c r="C39" s="513"/>
      <c r="D39" s="513"/>
      <c r="F39" s="117">
        <f>'Schedule 2G Adjustments'!H38</f>
        <v>0</v>
      </c>
      <c r="G39" s="68">
        <f>'Schedule 2G Adjustments'!J38</f>
        <v>0</v>
      </c>
      <c r="H39" s="68">
        <f t="shared" si="0"/>
        <v>0</v>
      </c>
      <c r="J39" s="117">
        <f>'Schedule 2G Adjustments'!P38</f>
        <v>0</v>
      </c>
      <c r="K39" s="68">
        <f>'Schedule 2G Adjustments'!R38</f>
        <v>0</v>
      </c>
      <c r="L39" s="68">
        <f t="shared" si="1"/>
        <v>0</v>
      </c>
      <c r="N39" s="120">
        <f>'Schedule 2G Adjustments'!X38</f>
        <v>0</v>
      </c>
      <c r="O39" s="120">
        <f>'Schedule 2G Adjustments'!AA38</f>
        <v>0</v>
      </c>
    </row>
    <row r="40" spans="1:15" x14ac:dyDescent="0.35">
      <c r="A40" s="24">
        <v>25</v>
      </c>
      <c r="B40" s="513" t="str">
        <f>'Schedule 2G Adjustments'!B39:D39</f>
        <v/>
      </c>
      <c r="C40" s="513"/>
      <c r="D40" s="513"/>
      <c r="F40" s="117">
        <f>'Schedule 2G Adjustments'!H39</f>
        <v>0</v>
      </c>
      <c r="G40" s="68">
        <f>'Schedule 2G Adjustments'!J39</f>
        <v>0</v>
      </c>
      <c r="H40" s="68">
        <f t="shared" si="0"/>
        <v>0</v>
      </c>
      <c r="J40" s="117">
        <f>'Schedule 2G Adjustments'!P39</f>
        <v>0</v>
      </c>
      <c r="K40" s="68">
        <f>'Schedule 2G Adjustments'!R39</f>
        <v>0</v>
      </c>
      <c r="L40" s="68">
        <f t="shared" si="1"/>
        <v>0</v>
      </c>
      <c r="N40" s="120">
        <f>'Schedule 2G Adjustments'!X39</f>
        <v>0</v>
      </c>
      <c r="O40" s="120">
        <f>'Schedule 2G Adjustments'!AA39</f>
        <v>0</v>
      </c>
    </row>
    <row r="41" spans="1:15" x14ac:dyDescent="0.35">
      <c r="A41" s="24">
        <v>26</v>
      </c>
      <c r="B41" s="513" t="str">
        <f>'Schedule 2G Adjustments'!B40:D40</f>
        <v/>
      </c>
      <c r="C41" s="513"/>
      <c r="D41" s="513"/>
      <c r="F41" s="117">
        <f>'Schedule 2G Adjustments'!H40</f>
        <v>0</v>
      </c>
      <c r="G41" s="68">
        <f>'Schedule 2G Adjustments'!J40</f>
        <v>0</v>
      </c>
      <c r="H41" s="68">
        <f t="shared" si="0"/>
        <v>0</v>
      </c>
      <c r="J41" s="117">
        <f>'Schedule 2G Adjustments'!P40</f>
        <v>0</v>
      </c>
      <c r="K41" s="68">
        <f>'Schedule 2G Adjustments'!R40</f>
        <v>0</v>
      </c>
      <c r="L41" s="68">
        <f t="shared" si="1"/>
        <v>0</v>
      </c>
      <c r="N41" s="120">
        <f>'Schedule 2G Adjustments'!X40</f>
        <v>0</v>
      </c>
      <c r="O41" s="120">
        <f>'Schedule 2G Adjustments'!AA40</f>
        <v>0</v>
      </c>
    </row>
    <row r="42" spans="1:15" x14ac:dyDescent="0.35">
      <c r="A42" s="24">
        <v>27</v>
      </c>
      <c r="B42" s="513" t="str">
        <f>'Schedule 2G Adjustments'!B41:D41</f>
        <v/>
      </c>
      <c r="C42" s="513"/>
      <c r="D42" s="513"/>
      <c r="F42" s="117">
        <f>'Schedule 2G Adjustments'!H41</f>
        <v>0</v>
      </c>
      <c r="G42" s="68">
        <f>'Schedule 2G Adjustments'!J41</f>
        <v>0</v>
      </c>
      <c r="H42" s="68">
        <f t="shared" si="0"/>
        <v>0</v>
      </c>
      <c r="J42" s="117">
        <f>'Schedule 2G Adjustments'!P41</f>
        <v>0</v>
      </c>
      <c r="K42" s="68">
        <f>'Schedule 2G Adjustments'!R41</f>
        <v>0</v>
      </c>
      <c r="L42" s="68">
        <f t="shared" si="1"/>
        <v>0</v>
      </c>
      <c r="N42" s="120">
        <f>'Schedule 2G Adjustments'!X41</f>
        <v>0</v>
      </c>
      <c r="O42" s="120">
        <f>'Schedule 2G Adjustments'!AA41</f>
        <v>0</v>
      </c>
    </row>
    <row r="43" spans="1:15" x14ac:dyDescent="0.35">
      <c r="A43" s="24">
        <v>28</v>
      </c>
      <c r="B43" s="513" t="str">
        <f>'Schedule 2G Adjustments'!B42:D42</f>
        <v/>
      </c>
      <c r="C43" s="513"/>
      <c r="D43" s="513"/>
      <c r="F43" s="117">
        <f>'Schedule 2G Adjustments'!H42</f>
        <v>0</v>
      </c>
      <c r="G43" s="68">
        <f>'Schedule 2G Adjustments'!J42</f>
        <v>0</v>
      </c>
      <c r="H43" s="68">
        <f t="shared" si="0"/>
        <v>0</v>
      </c>
      <c r="J43" s="117">
        <f>'Schedule 2G Adjustments'!P42</f>
        <v>0</v>
      </c>
      <c r="K43" s="68">
        <f>'Schedule 2G Adjustments'!R42</f>
        <v>0</v>
      </c>
      <c r="L43" s="68">
        <f t="shared" si="1"/>
        <v>0</v>
      </c>
      <c r="N43" s="120">
        <f>'Schedule 2G Adjustments'!X42</f>
        <v>0</v>
      </c>
      <c r="O43" s="120">
        <f>'Schedule 2G Adjustments'!AA42</f>
        <v>0</v>
      </c>
    </row>
    <row r="44" spans="1:15" x14ac:dyDescent="0.35">
      <c r="A44" s="24">
        <v>29</v>
      </c>
      <c r="B44" s="513" t="str">
        <f>'Schedule 2G Adjustments'!B43:D43</f>
        <v/>
      </c>
      <c r="C44" s="513"/>
      <c r="D44" s="513"/>
      <c r="F44" s="117">
        <f>'Schedule 2G Adjustments'!H43</f>
        <v>0</v>
      </c>
      <c r="G44" s="68">
        <f>'Schedule 2G Adjustments'!J43</f>
        <v>0</v>
      </c>
      <c r="H44" s="68">
        <f t="shared" si="0"/>
        <v>0</v>
      </c>
      <c r="J44" s="117">
        <f>'Schedule 2G Adjustments'!P43</f>
        <v>0</v>
      </c>
      <c r="K44" s="68">
        <f>'Schedule 2G Adjustments'!R43</f>
        <v>0</v>
      </c>
      <c r="L44" s="68">
        <f t="shared" si="1"/>
        <v>0</v>
      </c>
      <c r="N44" s="120">
        <f>'Schedule 2G Adjustments'!X43</f>
        <v>0</v>
      </c>
      <c r="O44" s="120">
        <f>'Schedule 2G Adjustments'!AA43</f>
        <v>0</v>
      </c>
    </row>
    <row r="45" spans="1:15" x14ac:dyDescent="0.35">
      <c r="A45" s="24">
        <v>30</v>
      </c>
      <c r="B45" s="513" t="str">
        <f>'Schedule 2G Adjustments'!B44:D44</f>
        <v/>
      </c>
      <c r="C45" s="513"/>
      <c r="D45" s="513"/>
      <c r="F45" s="117">
        <f>'Schedule 2G Adjustments'!H44</f>
        <v>0</v>
      </c>
      <c r="G45" s="68">
        <f>'Schedule 2G Adjustments'!J44</f>
        <v>0</v>
      </c>
      <c r="H45" s="68">
        <f t="shared" si="0"/>
        <v>0</v>
      </c>
      <c r="J45" s="117">
        <f>'Schedule 2G Adjustments'!P44</f>
        <v>0</v>
      </c>
      <c r="K45" s="68">
        <f>'Schedule 2G Adjustments'!R44</f>
        <v>0</v>
      </c>
      <c r="L45" s="68">
        <f t="shared" si="1"/>
        <v>0</v>
      </c>
      <c r="N45" s="120">
        <f>'Schedule 2G Adjustments'!X44</f>
        <v>0</v>
      </c>
      <c r="O45" s="120">
        <f>'Schedule 2G Adjustments'!AA44</f>
        <v>0</v>
      </c>
    </row>
    <row r="46" spans="1:15" x14ac:dyDescent="0.35">
      <c r="A46" s="24">
        <v>31</v>
      </c>
      <c r="B46" s="513" t="str">
        <f>'Schedule 2G Adjustments'!B45:D45</f>
        <v/>
      </c>
      <c r="C46" s="513"/>
      <c r="D46" s="513"/>
      <c r="F46" s="117">
        <f>'Schedule 2G Adjustments'!H45</f>
        <v>0</v>
      </c>
      <c r="G46" s="68">
        <f>'Schedule 2G Adjustments'!J45</f>
        <v>0</v>
      </c>
      <c r="H46" s="68">
        <f t="shared" si="0"/>
        <v>0</v>
      </c>
      <c r="J46" s="117">
        <f>'Schedule 2G Adjustments'!P45</f>
        <v>0</v>
      </c>
      <c r="K46" s="68">
        <f>'Schedule 2G Adjustments'!R45</f>
        <v>0</v>
      </c>
      <c r="L46" s="68">
        <f t="shared" si="1"/>
        <v>0</v>
      </c>
      <c r="N46" s="120">
        <f>'Schedule 2G Adjustments'!X45</f>
        <v>0</v>
      </c>
      <c r="O46" s="120">
        <f>'Schedule 2G Adjustments'!AA45</f>
        <v>0</v>
      </c>
    </row>
    <row r="47" spans="1:15" x14ac:dyDescent="0.35">
      <c r="A47" s="24">
        <v>32</v>
      </c>
      <c r="B47" s="513" t="str">
        <f>'Schedule 2G Adjustments'!B46:D46</f>
        <v/>
      </c>
      <c r="C47" s="513"/>
      <c r="D47" s="513"/>
      <c r="F47" s="117">
        <f>'Schedule 2G Adjustments'!H46</f>
        <v>0</v>
      </c>
      <c r="G47" s="68">
        <f>'Schedule 2G Adjustments'!J46</f>
        <v>0</v>
      </c>
      <c r="H47" s="68">
        <f t="shared" si="0"/>
        <v>0</v>
      </c>
      <c r="J47" s="117">
        <f>'Schedule 2G Adjustments'!P46</f>
        <v>0</v>
      </c>
      <c r="K47" s="68">
        <f>'Schedule 2G Adjustments'!R46</f>
        <v>0</v>
      </c>
      <c r="L47" s="68">
        <f t="shared" si="1"/>
        <v>0</v>
      </c>
      <c r="N47" s="120">
        <f>'Schedule 2G Adjustments'!X46</f>
        <v>0</v>
      </c>
      <c r="O47" s="120">
        <f>'Schedule 2G Adjustments'!AA46</f>
        <v>0</v>
      </c>
    </row>
    <row r="48" spans="1:15" x14ac:dyDescent="0.35">
      <c r="A48" s="24">
        <v>33</v>
      </c>
      <c r="B48" s="513" t="str">
        <f>'Schedule 2G Adjustments'!B47:D47</f>
        <v/>
      </c>
      <c r="C48" s="513"/>
      <c r="D48" s="513"/>
      <c r="F48" s="117">
        <f>'Schedule 2G Adjustments'!H47</f>
        <v>0</v>
      </c>
      <c r="G48" s="68">
        <f>'Schedule 2G Adjustments'!J47</f>
        <v>0</v>
      </c>
      <c r="H48" s="68">
        <f t="shared" si="0"/>
        <v>0</v>
      </c>
      <c r="J48" s="117">
        <f>'Schedule 2G Adjustments'!P47</f>
        <v>0</v>
      </c>
      <c r="K48" s="68">
        <f>'Schedule 2G Adjustments'!R47</f>
        <v>0</v>
      </c>
      <c r="L48" s="68">
        <f t="shared" si="1"/>
        <v>0</v>
      </c>
      <c r="N48" s="120">
        <f>'Schedule 2G Adjustments'!X47</f>
        <v>0</v>
      </c>
      <c r="O48" s="120">
        <f>'Schedule 2G Adjustments'!AA47</f>
        <v>0</v>
      </c>
    </row>
    <row r="49" spans="1:15" x14ac:dyDescent="0.35">
      <c r="A49" s="24">
        <v>34</v>
      </c>
      <c r="B49" s="513" t="str">
        <f>'Schedule 2G Adjustments'!B48:D48</f>
        <v/>
      </c>
      <c r="C49" s="513"/>
      <c r="D49" s="513"/>
      <c r="F49" s="117">
        <f>'Schedule 2G Adjustments'!H48</f>
        <v>0</v>
      </c>
      <c r="G49" s="68">
        <f>'Schedule 2G Adjustments'!J48</f>
        <v>0</v>
      </c>
      <c r="H49" s="68">
        <f t="shared" si="0"/>
        <v>0</v>
      </c>
      <c r="J49" s="117">
        <f>'Schedule 2G Adjustments'!P48</f>
        <v>0</v>
      </c>
      <c r="K49" s="68">
        <f>'Schedule 2G Adjustments'!R48</f>
        <v>0</v>
      </c>
      <c r="L49" s="68">
        <f t="shared" si="1"/>
        <v>0</v>
      </c>
      <c r="N49" s="120">
        <f>'Schedule 2G Adjustments'!X48</f>
        <v>0</v>
      </c>
      <c r="O49" s="120">
        <f>'Schedule 2G Adjustments'!AA48</f>
        <v>0</v>
      </c>
    </row>
    <row r="50" spans="1:15" x14ac:dyDescent="0.35">
      <c r="A50" s="24">
        <v>35</v>
      </c>
      <c r="B50" s="513" t="str">
        <f>'Schedule 2G Adjustments'!B49:D49</f>
        <v/>
      </c>
      <c r="C50" s="513"/>
      <c r="D50" s="513"/>
      <c r="F50" s="117">
        <f>'Schedule 2G Adjustments'!H49</f>
        <v>0</v>
      </c>
      <c r="G50" s="68">
        <f>'Schedule 2G Adjustments'!J49</f>
        <v>0</v>
      </c>
      <c r="H50" s="68">
        <f t="shared" si="0"/>
        <v>0</v>
      </c>
      <c r="J50" s="117">
        <f>'Schedule 2G Adjustments'!P49</f>
        <v>0</v>
      </c>
      <c r="K50" s="68">
        <f>'Schedule 2G Adjustments'!R49</f>
        <v>0</v>
      </c>
      <c r="L50" s="68">
        <f t="shared" si="1"/>
        <v>0</v>
      </c>
      <c r="N50" s="120">
        <f>'Schedule 2G Adjustments'!X49</f>
        <v>0</v>
      </c>
      <c r="O50" s="120">
        <f>'Schedule 2G Adjustments'!AA49</f>
        <v>0</v>
      </c>
    </row>
    <row r="51" spans="1:15" x14ac:dyDescent="0.35">
      <c r="A51" s="24">
        <v>36</v>
      </c>
      <c r="B51" s="513" t="str">
        <f>'Schedule 2G Adjustments'!B50:D50</f>
        <v/>
      </c>
      <c r="C51" s="513"/>
      <c r="D51" s="513"/>
      <c r="F51" s="117">
        <f>'Schedule 2G Adjustments'!H50</f>
        <v>0</v>
      </c>
      <c r="G51" s="68">
        <f>'Schedule 2G Adjustments'!J50</f>
        <v>0</v>
      </c>
      <c r="H51" s="68">
        <f t="shared" si="0"/>
        <v>0</v>
      </c>
      <c r="J51" s="117">
        <f>'Schedule 2G Adjustments'!P50</f>
        <v>0</v>
      </c>
      <c r="K51" s="68">
        <f>'Schedule 2G Adjustments'!R50</f>
        <v>0</v>
      </c>
      <c r="L51" s="68">
        <f t="shared" si="1"/>
        <v>0</v>
      </c>
      <c r="N51" s="120">
        <f>'Schedule 2G Adjustments'!X50</f>
        <v>0</v>
      </c>
      <c r="O51" s="120">
        <f>'Schedule 2G Adjustments'!AA50</f>
        <v>0</v>
      </c>
    </row>
    <row r="52" spans="1:15" x14ac:dyDescent="0.35">
      <c r="A52" s="24">
        <v>37</v>
      </c>
      <c r="B52" s="513" t="str">
        <f>'Schedule 2G Adjustments'!B51:D51</f>
        <v/>
      </c>
      <c r="C52" s="513"/>
      <c r="D52" s="513"/>
      <c r="F52" s="117">
        <f>'Schedule 2G Adjustments'!H51</f>
        <v>0</v>
      </c>
      <c r="G52" s="68">
        <f>'Schedule 2G Adjustments'!J51</f>
        <v>0</v>
      </c>
      <c r="H52" s="68">
        <f t="shared" si="0"/>
        <v>0</v>
      </c>
      <c r="J52" s="117">
        <f>'Schedule 2G Adjustments'!P51</f>
        <v>0</v>
      </c>
      <c r="K52" s="68">
        <f>'Schedule 2G Adjustments'!R51</f>
        <v>0</v>
      </c>
      <c r="L52" s="68">
        <f t="shared" si="1"/>
        <v>0</v>
      </c>
      <c r="N52" s="120">
        <f>'Schedule 2G Adjustments'!X51</f>
        <v>0</v>
      </c>
      <c r="O52" s="120">
        <f>'Schedule 2G Adjustments'!AA51</f>
        <v>0</v>
      </c>
    </row>
    <row r="53" spans="1:15" x14ac:dyDescent="0.35">
      <c r="A53" s="24">
        <v>38</v>
      </c>
      <c r="B53" s="513" t="str">
        <f>'Schedule 2G Adjustments'!B52:D52</f>
        <v/>
      </c>
      <c r="C53" s="513"/>
      <c r="D53" s="513"/>
      <c r="F53" s="117">
        <f>'Schedule 2G Adjustments'!H52</f>
        <v>0</v>
      </c>
      <c r="G53" s="68">
        <f>'Schedule 2G Adjustments'!J52</f>
        <v>0</v>
      </c>
      <c r="H53" s="68">
        <f t="shared" si="0"/>
        <v>0</v>
      </c>
      <c r="J53" s="117">
        <f>'Schedule 2G Adjustments'!P52</f>
        <v>0</v>
      </c>
      <c r="K53" s="68">
        <f>'Schedule 2G Adjustments'!R52</f>
        <v>0</v>
      </c>
      <c r="L53" s="68">
        <f t="shared" si="1"/>
        <v>0</v>
      </c>
      <c r="N53" s="120">
        <f>'Schedule 2G Adjustments'!X52</f>
        <v>0</v>
      </c>
      <c r="O53" s="120">
        <f>'Schedule 2G Adjustments'!AA52</f>
        <v>0</v>
      </c>
    </row>
    <row r="54" spans="1:15" x14ac:dyDescent="0.35">
      <c r="A54" s="24">
        <v>39</v>
      </c>
      <c r="B54" s="513" t="str">
        <f>'Schedule 2G Adjustments'!B53:D53</f>
        <v/>
      </c>
      <c r="C54" s="513"/>
      <c r="D54" s="513"/>
      <c r="F54" s="117">
        <f>'Schedule 2G Adjustments'!H53</f>
        <v>0</v>
      </c>
      <c r="G54" s="68">
        <f>'Schedule 2G Adjustments'!J53</f>
        <v>0</v>
      </c>
      <c r="H54" s="68">
        <f t="shared" si="0"/>
        <v>0</v>
      </c>
      <c r="J54" s="117">
        <f>'Schedule 2G Adjustments'!P53</f>
        <v>0</v>
      </c>
      <c r="K54" s="68">
        <f>'Schedule 2G Adjustments'!R53</f>
        <v>0</v>
      </c>
      <c r="L54" s="68">
        <f t="shared" si="1"/>
        <v>0</v>
      </c>
      <c r="N54" s="120">
        <f>'Schedule 2G Adjustments'!X53</f>
        <v>0</v>
      </c>
      <c r="O54" s="120">
        <f>'Schedule 2G Adjustments'!AA53</f>
        <v>0</v>
      </c>
    </row>
    <row r="55" spans="1:15" x14ac:dyDescent="0.35">
      <c r="A55" s="24">
        <v>40</v>
      </c>
      <c r="B55" s="513" t="str">
        <f>'Schedule 2G Adjustments'!B54:D54</f>
        <v/>
      </c>
      <c r="C55" s="513"/>
      <c r="D55" s="513"/>
      <c r="F55" s="117">
        <f>'Schedule 2G Adjustments'!H54</f>
        <v>0</v>
      </c>
      <c r="G55" s="68">
        <f>'Schedule 2G Adjustments'!J54</f>
        <v>0</v>
      </c>
      <c r="H55" s="68">
        <f t="shared" si="0"/>
        <v>0</v>
      </c>
      <c r="J55" s="117">
        <f>'Schedule 2G Adjustments'!P54</f>
        <v>0</v>
      </c>
      <c r="K55" s="68">
        <f>'Schedule 2G Adjustments'!R54</f>
        <v>0</v>
      </c>
      <c r="L55" s="68">
        <f t="shared" si="1"/>
        <v>0</v>
      </c>
      <c r="N55" s="120">
        <f>'Schedule 2G Adjustments'!X54</f>
        <v>0</v>
      </c>
      <c r="O55" s="120">
        <f>'Schedule 2G Adjustments'!AA54</f>
        <v>0</v>
      </c>
    </row>
    <row r="56" spans="1:15" x14ac:dyDescent="0.35">
      <c r="A56" s="24">
        <v>41</v>
      </c>
      <c r="B56" s="513" t="str">
        <f>'Schedule 2G Adjustments'!B55:D55</f>
        <v/>
      </c>
      <c r="C56" s="513"/>
      <c r="D56" s="513"/>
      <c r="F56" s="117">
        <f>'Schedule 2G Adjustments'!H55</f>
        <v>0</v>
      </c>
      <c r="G56" s="68">
        <f>'Schedule 2G Adjustments'!J55</f>
        <v>0</v>
      </c>
      <c r="H56" s="68">
        <f t="shared" si="0"/>
        <v>0</v>
      </c>
      <c r="J56" s="117">
        <f>'Schedule 2G Adjustments'!P55</f>
        <v>0</v>
      </c>
      <c r="K56" s="68">
        <f>'Schedule 2G Adjustments'!R55</f>
        <v>0</v>
      </c>
      <c r="L56" s="68">
        <f t="shared" si="1"/>
        <v>0</v>
      </c>
      <c r="N56" s="120">
        <f>'Schedule 2G Adjustments'!X55</f>
        <v>0</v>
      </c>
      <c r="O56" s="120">
        <f>'Schedule 2G Adjustments'!AA55</f>
        <v>0</v>
      </c>
    </row>
    <row r="57" spans="1:15" x14ac:dyDescent="0.35">
      <c r="A57" s="24">
        <v>42</v>
      </c>
      <c r="B57" s="513" t="str">
        <f>'Schedule 2G Adjustments'!B56:D56</f>
        <v/>
      </c>
      <c r="C57" s="513"/>
      <c r="D57" s="513"/>
      <c r="F57" s="117">
        <f>'Schedule 2G Adjustments'!H56</f>
        <v>0</v>
      </c>
      <c r="G57" s="68">
        <f>'Schedule 2G Adjustments'!J56</f>
        <v>0</v>
      </c>
      <c r="H57" s="68">
        <f t="shared" si="0"/>
        <v>0</v>
      </c>
      <c r="J57" s="117">
        <f>'Schedule 2G Adjustments'!P56</f>
        <v>0</v>
      </c>
      <c r="K57" s="68">
        <f>'Schedule 2G Adjustments'!R56</f>
        <v>0</v>
      </c>
      <c r="L57" s="68">
        <f t="shared" si="1"/>
        <v>0</v>
      </c>
      <c r="N57" s="120">
        <f>'Schedule 2G Adjustments'!X56</f>
        <v>0</v>
      </c>
      <c r="O57" s="120">
        <f>'Schedule 2G Adjustments'!AA56</f>
        <v>0</v>
      </c>
    </row>
    <row r="58" spans="1:15" x14ac:dyDescent="0.35">
      <c r="A58" s="24">
        <v>43</v>
      </c>
      <c r="B58" s="513" t="str">
        <f>'Schedule 2G Adjustments'!B57:D57</f>
        <v/>
      </c>
      <c r="C58" s="513"/>
      <c r="D58" s="513"/>
      <c r="F58" s="117">
        <f>'Schedule 2G Adjustments'!H57</f>
        <v>0</v>
      </c>
      <c r="G58" s="68">
        <f>'Schedule 2G Adjustments'!J57</f>
        <v>0</v>
      </c>
      <c r="H58" s="68">
        <f t="shared" si="0"/>
        <v>0</v>
      </c>
      <c r="J58" s="117">
        <f>'Schedule 2G Adjustments'!P57</f>
        <v>0</v>
      </c>
      <c r="K58" s="68">
        <f>'Schedule 2G Adjustments'!R57</f>
        <v>0</v>
      </c>
      <c r="L58" s="68">
        <f t="shared" si="1"/>
        <v>0</v>
      </c>
      <c r="N58" s="120">
        <f>'Schedule 2G Adjustments'!X57</f>
        <v>0</v>
      </c>
      <c r="O58" s="120">
        <f>'Schedule 2G Adjustments'!AA57</f>
        <v>0</v>
      </c>
    </row>
    <row r="59" spans="1:15" x14ac:dyDescent="0.35">
      <c r="A59" s="24">
        <v>44</v>
      </c>
      <c r="B59" s="513" t="str">
        <f>'Schedule 2G Adjustments'!B58:D58</f>
        <v/>
      </c>
      <c r="C59" s="513"/>
      <c r="D59" s="513"/>
      <c r="F59" s="117">
        <f>'Schedule 2G Adjustments'!H58</f>
        <v>0</v>
      </c>
      <c r="G59" s="68">
        <f>'Schedule 2G Adjustments'!J58</f>
        <v>0</v>
      </c>
      <c r="H59" s="68">
        <f t="shared" si="0"/>
        <v>0</v>
      </c>
      <c r="J59" s="117">
        <f>'Schedule 2G Adjustments'!P58</f>
        <v>0</v>
      </c>
      <c r="K59" s="68">
        <f>'Schedule 2G Adjustments'!R58</f>
        <v>0</v>
      </c>
      <c r="L59" s="68">
        <f t="shared" si="1"/>
        <v>0</v>
      </c>
      <c r="N59" s="120">
        <f>'Schedule 2G Adjustments'!X58</f>
        <v>0</v>
      </c>
      <c r="O59" s="120">
        <f>'Schedule 2G Adjustments'!AA58</f>
        <v>0</v>
      </c>
    </row>
    <row r="60" spans="1:15" x14ac:dyDescent="0.35">
      <c r="A60" s="24">
        <v>45</v>
      </c>
      <c r="B60" s="513" t="str">
        <f>'Schedule 2G Adjustments'!B59:D59</f>
        <v/>
      </c>
      <c r="C60" s="513"/>
      <c r="D60" s="513"/>
      <c r="F60" s="117">
        <f>'Schedule 2G Adjustments'!H59</f>
        <v>0</v>
      </c>
      <c r="G60" s="68">
        <f>'Schedule 2G Adjustments'!J59</f>
        <v>0</v>
      </c>
      <c r="H60" s="68">
        <f t="shared" si="0"/>
        <v>0</v>
      </c>
      <c r="J60" s="117">
        <f>'Schedule 2G Adjustments'!P59</f>
        <v>0</v>
      </c>
      <c r="K60" s="68">
        <f>'Schedule 2G Adjustments'!R59</f>
        <v>0</v>
      </c>
      <c r="L60" s="68">
        <f t="shared" si="1"/>
        <v>0</v>
      </c>
      <c r="N60" s="120">
        <f>'Schedule 2G Adjustments'!X59</f>
        <v>0</v>
      </c>
      <c r="O60" s="120">
        <f>'Schedule 2G Adjustments'!AA59</f>
        <v>0</v>
      </c>
    </row>
    <row r="61" spans="1:15" x14ac:dyDescent="0.35">
      <c r="A61" s="24">
        <v>46</v>
      </c>
      <c r="B61" s="513" t="str">
        <f>'Schedule 2G Adjustments'!B60:D60</f>
        <v/>
      </c>
      <c r="C61" s="513"/>
      <c r="D61" s="513"/>
      <c r="F61" s="117">
        <f>'Schedule 2G Adjustments'!H60</f>
        <v>0</v>
      </c>
      <c r="G61" s="68">
        <f>'Schedule 2G Adjustments'!J60</f>
        <v>0</v>
      </c>
      <c r="H61" s="68">
        <f t="shared" si="0"/>
        <v>0</v>
      </c>
      <c r="J61" s="117">
        <f>'Schedule 2G Adjustments'!P60</f>
        <v>0</v>
      </c>
      <c r="K61" s="68">
        <f>'Schedule 2G Adjustments'!R60</f>
        <v>0</v>
      </c>
      <c r="L61" s="68">
        <f t="shared" si="1"/>
        <v>0</v>
      </c>
      <c r="N61" s="120">
        <f>'Schedule 2G Adjustments'!X60</f>
        <v>0</v>
      </c>
      <c r="O61" s="120">
        <f>'Schedule 2G Adjustments'!AA60</f>
        <v>0</v>
      </c>
    </row>
    <row r="62" spans="1:15" x14ac:dyDescent="0.35">
      <c r="A62" s="24">
        <v>47</v>
      </c>
      <c r="B62" s="513" t="str">
        <f>'Schedule 2G Adjustments'!B61:D61</f>
        <v/>
      </c>
      <c r="C62" s="513"/>
      <c r="D62" s="513"/>
      <c r="F62" s="117">
        <f>'Schedule 2G Adjustments'!H61</f>
        <v>0</v>
      </c>
      <c r="G62" s="68">
        <f>'Schedule 2G Adjustments'!J61</f>
        <v>0</v>
      </c>
      <c r="H62" s="68">
        <f t="shared" si="0"/>
        <v>0</v>
      </c>
      <c r="J62" s="117">
        <f>'Schedule 2G Adjustments'!P61</f>
        <v>0</v>
      </c>
      <c r="K62" s="68">
        <f>'Schedule 2G Adjustments'!R61</f>
        <v>0</v>
      </c>
      <c r="L62" s="68">
        <f t="shared" si="1"/>
        <v>0</v>
      </c>
      <c r="N62" s="120">
        <f>'Schedule 2G Adjustments'!X61</f>
        <v>0</v>
      </c>
      <c r="O62" s="120">
        <f>'Schedule 2G Adjustments'!AA61</f>
        <v>0</v>
      </c>
    </row>
    <row r="63" spans="1:15" x14ac:dyDescent="0.35">
      <c r="A63" s="24">
        <v>48</v>
      </c>
      <c r="B63" s="513" t="str">
        <f>'Schedule 2G Adjustments'!B62:D62</f>
        <v/>
      </c>
      <c r="C63" s="513"/>
      <c r="D63" s="513"/>
      <c r="F63" s="117">
        <f>'Schedule 2G Adjustments'!H62</f>
        <v>0</v>
      </c>
      <c r="G63" s="68">
        <f>'Schedule 2G Adjustments'!J62</f>
        <v>0</v>
      </c>
      <c r="H63" s="68">
        <f t="shared" si="0"/>
        <v>0</v>
      </c>
      <c r="J63" s="117">
        <f>'Schedule 2G Adjustments'!P62</f>
        <v>0</v>
      </c>
      <c r="K63" s="68">
        <f>'Schedule 2G Adjustments'!R62</f>
        <v>0</v>
      </c>
      <c r="L63" s="68">
        <f t="shared" si="1"/>
        <v>0</v>
      </c>
      <c r="N63" s="120">
        <f>'Schedule 2G Adjustments'!X62</f>
        <v>0</v>
      </c>
      <c r="O63" s="120">
        <f>'Schedule 2G Adjustments'!AA62</f>
        <v>0</v>
      </c>
    </row>
    <row r="64" spans="1:15" x14ac:dyDescent="0.35">
      <c r="A64" s="24">
        <v>49</v>
      </c>
      <c r="B64" s="513" t="str">
        <f>'Schedule 2G Adjustments'!B63:D63</f>
        <v/>
      </c>
      <c r="C64" s="513"/>
      <c r="D64" s="513"/>
      <c r="F64" s="117">
        <f>'Schedule 2G Adjustments'!H63</f>
        <v>0</v>
      </c>
      <c r="G64" s="68">
        <f>'Schedule 2G Adjustments'!J63</f>
        <v>0</v>
      </c>
      <c r="H64" s="68">
        <f t="shared" si="0"/>
        <v>0</v>
      </c>
      <c r="J64" s="117">
        <f>'Schedule 2G Adjustments'!P63</f>
        <v>0</v>
      </c>
      <c r="K64" s="68">
        <f>'Schedule 2G Adjustments'!R63</f>
        <v>0</v>
      </c>
      <c r="L64" s="68">
        <f t="shared" si="1"/>
        <v>0</v>
      </c>
      <c r="N64" s="120">
        <f>'Schedule 2G Adjustments'!X63</f>
        <v>0</v>
      </c>
      <c r="O64" s="120">
        <f>'Schedule 2G Adjustments'!AA63</f>
        <v>0</v>
      </c>
    </row>
    <row r="65" spans="1:15" x14ac:dyDescent="0.35">
      <c r="A65" s="24">
        <v>50</v>
      </c>
      <c r="B65" s="513" t="str">
        <f>'Schedule 2G Adjustments'!B64:D64</f>
        <v/>
      </c>
      <c r="C65" s="513"/>
      <c r="D65" s="513"/>
      <c r="F65" s="117">
        <f>'Schedule 2G Adjustments'!H64</f>
        <v>0</v>
      </c>
      <c r="G65" s="68">
        <f>'Schedule 2G Adjustments'!J64</f>
        <v>0</v>
      </c>
      <c r="H65" s="68">
        <f t="shared" si="0"/>
        <v>0</v>
      </c>
      <c r="J65" s="117">
        <f>'Schedule 2G Adjustments'!P64</f>
        <v>0</v>
      </c>
      <c r="K65" s="68">
        <f>'Schedule 2G Adjustments'!R64</f>
        <v>0</v>
      </c>
      <c r="L65" s="68">
        <f t="shared" si="1"/>
        <v>0</v>
      </c>
      <c r="N65" s="120">
        <f>'Schedule 2G Adjustments'!X64</f>
        <v>0</v>
      </c>
      <c r="O65" s="120">
        <f>'Schedule 2G Adjustments'!AA64</f>
        <v>0</v>
      </c>
    </row>
    <row r="66" spans="1:15" x14ac:dyDescent="0.35">
      <c r="A66" s="24">
        <v>51</v>
      </c>
      <c r="B66" s="513" t="str">
        <f>'Schedule 2G Adjustments'!B65:D65</f>
        <v/>
      </c>
      <c r="C66" s="513"/>
      <c r="D66" s="513"/>
      <c r="F66" s="117">
        <f>'Schedule 2G Adjustments'!H65</f>
        <v>0</v>
      </c>
      <c r="G66" s="68">
        <f>'Schedule 2G Adjustments'!J65</f>
        <v>0</v>
      </c>
      <c r="H66" s="68">
        <f t="shared" si="0"/>
        <v>0</v>
      </c>
      <c r="J66" s="117">
        <f>'Schedule 2G Adjustments'!P65</f>
        <v>0</v>
      </c>
      <c r="K66" s="68">
        <f>'Schedule 2G Adjustments'!R65</f>
        <v>0</v>
      </c>
      <c r="L66" s="68">
        <f t="shared" si="1"/>
        <v>0</v>
      </c>
      <c r="N66" s="120">
        <f>'Schedule 2G Adjustments'!X65</f>
        <v>0</v>
      </c>
      <c r="O66" s="120">
        <f>'Schedule 2G Adjustments'!AA65</f>
        <v>0</v>
      </c>
    </row>
    <row r="67" spans="1:15" x14ac:dyDescent="0.35">
      <c r="A67" s="24">
        <v>52</v>
      </c>
      <c r="B67" s="513" t="str">
        <f>'Schedule 2G Adjustments'!B66:D66</f>
        <v/>
      </c>
      <c r="C67" s="513"/>
      <c r="D67" s="513"/>
      <c r="F67" s="117">
        <f>'Schedule 2G Adjustments'!H66</f>
        <v>0</v>
      </c>
      <c r="G67" s="68">
        <f>'Schedule 2G Adjustments'!J66</f>
        <v>0</v>
      </c>
      <c r="H67" s="68">
        <f t="shared" si="0"/>
        <v>0</v>
      </c>
      <c r="J67" s="117">
        <f>'Schedule 2G Adjustments'!P66</f>
        <v>0</v>
      </c>
      <c r="K67" s="68">
        <f>'Schedule 2G Adjustments'!R66</f>
        <v>0</v>
      </c>
      <c r="L67" s="68">
        <f t="shared" si="1"/>
        <v>0</v>
      </c>
      <c r="N67" s="120">
        <f>'Schedule 2G Adjustments'!X66</f>
        <v>0</v>
      </c>
      <c r="O67" s="120">
        <f>'Schedule 2G Adjustments'!AA66</f>
        <v>0</v>
      </c>
    </row>
    <row r="68" spans="1:15" x14ac:dyDescent="0.35">
      <c r="A68" s="24">
        <v>53</v>
      </c>
      <c r="B68" s="513" t="str">
        <f>'Schedule 2G Adjustments'!B67:D67</f>
        <v/>
      </c>
      <c r="C68" s="513"/>
      <c r="D68" s="513"/>
      <c r="F68" s="117">
        <f>'Schedule 2G Adjustments'!H67</f>
        <v>0</v>
      </c>
      <c r="G68" s="68">
        <f>'Schedule 2G Adjustments'!J67</f>
        <v>0</v>
      </c>
      <c r="H68" s="68">
        <f t="shared" si="0"/>
        <v>0</v>
      </c>
      <c r="J68" s="117">
        <f>'Schedule 2G Adjustments'!P67</f>
        <v>0</v>
      </c>
      <c r="K68" s="68">
        <f>'Schedule 2G Adjustments'!R67</f>
        <v>0</v>
      </c>
      <c r="L68" s="68">
        <f t="shared" si="1"/>
        <v>0</v>
      </c>
      <c r="N68" s="120">
        <f>'Schedule 2G Adjustments'!X67</f>
        <v>0</v>
      </c>
      <c r="O68" s="120">
        <f>'Schedule 2G Adjustments'!AA67</f>
        <v>0</v>
      </c>
    </row>
    <row r="69" spans="1:15" x14ac:dyDescent="0.35">
      <c r="A69" s="24">
        <v>54</v>
      </c>
      <c r="B69" s="513" t="str">
        <f>'Schedule 2G Adjustments'!B68:D68</f>
        <v/>
      </c>
      <c r="C69" s="513"/>
      <c r="D69" s="513"/>
      <c r="F69" s="117">
        <f>'Schedule 2G Adjustments'!H68</f>
        <v>0</v>
      </c>
      <c r="G69" s="68">
        <f>'Schedule 2G Adjustments'!J68</f>
        <v>0</v>
      </c>
      <c r="H69" s="68">
        <f t="shared" si="0"/>
        <v>0</v>
      </c>
      <c r="J69" s="117">
        <f>'Schedule 2G Adjustments'!P68</f>
        <v>0</v>
      </c>
      <c r="K69" s="68">
        <f>'Schedule 2G Adjustments'!R68</f>
        <v>0</v>
      </c>
      <c r="L69" s="68">
        <f t="shared" si="1"/>
        <v>0</v>
      </c>
      <c r="N69" s="120">
        <f>'Schedule 2G Adjustments'!X68</f>
        <v>0</v>
      </c>
      <c r="O69" s="120">
        <f>'Schedule 2G Adjustments'!AA68</f>
        <v>0</v>
      </c>
    </row>
    <row r="70" spans="1:15" x14ac:dyDescent="0.35">
      <c r="A70" s="24">
        <v>55</v>
      </c>
      <c r="B70" s="513" t="str">
        <f>'Schedule 2G Adjustments'!B69:D69</f>
        <v/>
      </c>
      <c r="C70" s="513"/>
      <c r="D70" s="513"/>
      <c r="F70" s="117">
        <f>'Schedule 2G Adjustments'!H69</f>
        <v>0</v>
      </c>
      <c r="G70" s="68">
        <f>'Schedule 2G Adjustments'!J69</f>
        <v>0</v>
      </c>
      <c r="H70" s="68">
        <f t="shared" si="0"/>
        <v>0</v>
      </c>
      <c r="J70" s="117">
        <f>'Schedule 2G Adjustments'!P69</f>
        <v>0</v>
      </c>
      <c r="K70" s="68">
        <f>'Schedule 2G Adjustments'!R69</f>
        <v>0</v>
      </c>
      <c r="L70" s="68">
        <f t="shared" si="1"/>
        <v>0</v>
      </c>
      <c r="N70" s="120">
        <f>'Schedule 2G Adjustments'!X69</f>
        <v>0</v>
      </c>
      <c r="O70" s="120">
        <f>'Schedule 2G Adjustments'!AA69</f>
        <v>0</v>
      </c>
    </row>
    <row r="71" spans="1:15" x14ac:dyDescent="0.35">
      <c r="A71" s="24">
        <v>56</v>
      </c>
      <c r="B71" s="513" t="str">
        <f>'Schedule 2G Adjustments'!B70:D70</f>
        <v/>
      </c>
      <c r="C71" s="513"/>
      <c r="D71" s="513"/>
      <c r="F71" s="117">
        <f>'Schedule 2G Adjustments'!H70</f>
        <v>0</v>
      </c>
      <c r="G71" s="68">
        <f>'Schedule 2G Adjustments'!J70</f>
        <v>0</v>
      </c>
      <c r="H71" s="68">
        <f t="shared" si="0"/>
        <v>0</v>
      </c>
      <c r="J71" s="117">
        <f>'Schedule 2G Adjustments'!P70</f>
        <v>0</v>
      </c>
      <c r="K71" s="68">
        <f>'Schedule 2G Adjustments'!R70</f>
        <v>0</v>
      </c>
      <c r="L71" s="68">
        <f t="shared" si="1"/>
        <v>0</v>
      </c>
      <c r="N71" s="120">
        <f>'Schedule 2G Adjustments'!X70</f>
        <v>0</v>
      </c>
      <c r="O71" s="120">
        <f>'Schedule 2G Adjustments'!AA70</f>
        <v>0</v>
      </c>
    </row>
    <row r="72" spans="1:15" x14ac:dyDescent="0.35">
      <c r="A72" s="24">
        <v>57</v>
      </c>
      <c r="B72" s="513" t="str">
        <f>'Schedule 2G Adjustments'!B71:D71</f>
        <v/>
      </c>
      <c r="C72" s="513"/>
      <c r="D72" s="513"/>
      <c r="F72" s="117">
        <f>'Schedule 2G Adjustments'!H71</f>
        <v>0</v>
      </c>
      <c r="G72" s="68">
        <f>'Schedule 2G Adjustments'!J71</f>
        <v>0</v>
      </c>
      <c r="H72" s="68">
        <f t="shared" si="0"/>
        <v>0</v>
      </c>
      <c r="J72" s="117">
        <f>'Schedule 2G Adjustments'!P71</f>
        <v>0</v>
      </c>
      <c r="K72" s="68">
        <f>'Schedule 2G Adjustments'!R71</f>
        <v>0</v>
      </c>
      <c r="L72" s="68">
        <f t="shared" si="1"/>
        <v>0</v>
      </c>
      <c r="N72" s="120">
        <f>'Schedule 2G Adjustments'!X71</f>
        <v>0</v>
      </c>
      <c r="O72" s="120">
        <f>'Schedule 2G Adjustments'!AA71</f>
        <v>0</v>
      </c>
    </row>
    <row r="73" spans="1:15" x14ac:dyDescent="0.35">
      <c r="A73" s="24">
        <v>58</v>
      </c>
      <c r="B73" s="513" t="str">
        <f>'Schedule 2G Adjustments'!B72:D72</f>
        <v/>
      </c>
      <c r="C73" s="513"/>
      <c r="D73" s="513"/>
      <c r="F73" s="117">
        <f>'Schedule 2G Adjustments'!H72</f>
        <v>0</v>
      </c>
      <c r="G73" s="68">
        <f>'Schedule 2G Adjustments'!J72</f>
        <v>0</v>
      </c>
      <c r="H73" s="68">
        <f t="shared" si="0"/>
        <v>0</v>
      </c>
      <c r="J73" s="117">
        <f>'Schedule 2G Adjustments'!P72</f>
        <v>0</v>
      </c>
      <c r="K73" s="68">
        <f>'Schedule 2G Adjustments'!R72</f>
        <v>0</v>
      </c>
      <c r="L73" s="68">
        <f t="shared" si="1"/>
        <v>0</v>
      </c>
      <c r="N73" s="120">
        <f>'Schedule 2G Adjustments'!X72</f>
        <v>0</v>
      </c>
      <c r="O73" s="120">
        <f>'Schedule 2G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8">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851</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Health Solutions</v>
      </c>
    </row>
    <row r="7" spans="1:15" x14ac:dyDescent="0.35">
      <c r="A7" s="1" t="s">
        <v>0</v>
      </c>
      <c r="C7" s="35">
        <f>Results!$C$7</f>
        <v>45473</v>
      </c>
      <c r="F7" s="35"/>
    </row>
    <row r="9" spans="1:15" x14ac:dyDescent="0.35">
      <c r="A9" s="1" t="s">
        <v>253</v>
      </c>
      <c r="B9" s="1" t="s">
        <v>819</v>
      </c>
      <c r="C9" s="1"/>
      <c r="F9" s="119" t="str">
        <f>'Schedule 2H Adjustments'!F8</f>
        <v>Yes/No</v>
      </c>
      <c r="G9" s="41" t="s">
        <v>259</v>
      </c>
    </row>
    <row r="11" spans="1:15" x14ac:dyDescent="0.35">
      <c r="A11" s="1" t="s">
        <v>254</v>
      </c>
      <c r="B11" s="1" t="s">
        <v>256</v>
      </c>
      <c r="C11" s="1"/>
    </row>
    <row r="12" spans="1:15" x14ac:dyDescent="0.35">
      <c r="B12" s="318" t="s">
        <v>598</v>
      </c>
    </row>
    <row r="13" spans="1:15" x14ac:dyDescent="0.35">
      <c r="B13" s="508">
        <v>1</v>
      </c>
      <c r="C13" s="508"/>
      <c r="D13" s="508"/>
      <c r="F13" s="23">
        <v>2</v>
      </c>
      <c r="G13" s="23">
        <v>3</v>
      </c>
      <c r="H13" s="23">
        <v>4</v>
      </c>
      <c r="J13" s="23">
        <v>5</v>
      </c>
      <c r="K13" s="23">
        <v>6</v>
      </c>
      <c r="L13" s="23">
        <v>7</v>
      </c>
      <c r="N13" s="23">
        <v>8</v>
      </c>
      <c r="O13" s="23">
        <v>9</v>
      </c>
    </row>
    <row r="14" spans="1:15" ht="15" customHeight="1" x14ac:dyDescent="0.35">
      <c r="B14" s="517" t="s">
        <v>612</v>
      </c>
      <c r="C14" s="518"/>
      <c r="D14" s="519"/>
      <c r="F14" s="511" t="s">
        <v>261</v>
      </c>
      <c r="G14" s="516"/>
      <c r="H14" s="512"/>
      <c r="J14" s="511" t="s">
        <v>262</v>
      </c>
      <c r="K14" s="516"/>
      <c r="L14" s="512"/>
      <c r="N14" s="514" t="s">
        <v>692</v>
      </c>
      <c r="O14" s="514" t="s">
        <v>693</v>
      </c>
    </row>
    <row r="15" spans="1:15" ht="55.5" customHeight="1" x14ac:dyDescent="0.35">
      <c r="B15" s="520"/>
      <c r="C15" s="521"/>
      <c r="D15" s="522"/>
      <c r="E15" s="48"/>
      <c r="F15" s="10" t="s">
        <v>689</v>
      </c>
      <c r="G15" s="151" t="s">
        <v>690</v>
      </c>
      <c r="H15" s="151" t="s">
        <v>691</v>
      </c>
      <c r="I15" s="100"/>
      <c r="J15" s="10" t="s">
        <v>689</v>
      </c>
      <c r="K15" s="151" t="s">
        <v>690</v>
      </c>
      <c r="L15" s="151" t="s">
        <v>691</v>
      </c>
      <c r="M15" s="48"/>
      <c r="N15" s="515"/>
      <c r="O15" s="515"/>
    </row>
    <row r="16" spans="1:15" x14ac:dyDescent="0.35">
      <c r="A16" s="24">
        <v>1</v>
      </c>
      <c r="B16" s="513" t="str">
        <f>'Schedule 2H Adjustments'!B15:D15</f>
        <v/>
      </c>
      <c r="C16" s="513"/>
      <c r="D16" s="513"/>
      <c r="F16" s="117">
        <f>'Schedule 2H Adjustments'!H15</f>
        <v>0</v>
      </c>
      <c r="G16" s="68">
        <f>'Schedule 2H Adjustments'!J15</f>
        <v>0</v>
      </c>
      <c r="H16" s="68">
        <f>SUM(F16:G16)</f>
        <v>0</v>
      </c>
      <c r="J16" s="117">
        <f>'Schedule 2H Adjustments'!P15</f>
        <v>0</v>
      </c>
      <c r="K16" s="68">
        <f>'Schedule 2H Adjustments'!R15</f>
        <v>0</v>
      </c>
      <c r="L16" s="68">
        <f>SUM(J16:K16)</f>
        <v>0</v>
      </c>
      <c r="N16" s="120">
        <f>'Schedule 2H Adjustments'!X15</f>
        <v>0</v>
      </c>
      <c r="O16" s="120">
        <f>'Schedule 2H Adjustments'!AA15</f>
        <v>0</v>
      </c>
    </row>
    <row r="17" spans="1:15" x14ac:dyDescent="0.35">
      <c r="A17" s="24">
        <v>2</v>
      </c>
      <c r="B17" s="513" t="str">
        <f>'Schedule 2H Adjustments'!B16:D16</f>
        <v/>
      </c>
      <c r="C17" s="513"/>
      <c r="D17" s="513"/>
      <c r="F17" s="117">
        <f>'Schedule 2H Adjustments'!H16</f>
        <v>0</v>
      </c>
      <c r="G17" s="68">
        <f>'Schedule 2H Adjustments'!J16</f>
        <v>0</v>
      </c>
      <c r="H17" s="68">
        <f t="shared" ref="H17:H73" si="0">SUM(F17:G17)</f>
        <v>0</v>
      </c>
      <c r="J17" s="117">
        <f>'Schedule 2H Adjustments'!P16</f>
        <v>0</v>
      </c>
      <c r="K17" s="68">
        <f>'Schedule 2H Adjustments'!R16</f>
        <v>0</v>
      </c>
      <c r="L17" s="68">
        <f t="shared" ref="L17:L73" si="1">SUM(J17:K17)</f>
        <v>0</v>
      </c>
      <c r="N17" s="120">
        <f>'Schedule 2H Adjustments'!X16</f>
        <v>0</v>
      </c>
      <c r="O17" s="120">
        <f>'Schedule 2H Adjustments'!AA16</f>
        <v>0</v>
      </c>
    </row>
    <row r="18" spans="1:15" x14ac:dyDescent="0.35">
      <c r="A18" s="24">
        <v>3</v>
      </c>
      <c r="B18" s="513" t="str">
        <f>'Schedule 2H Adjustments'!B17:D17</f>
        <v/>
      </c>
      <c r="C18" s="513"/>
      <c r="D18" s="513"/>
      <c r="F18" s="117">
        <f>'Schedule 2H Adjustments'!H17</f>
        <v>0</v>
      </c>
      <c r="G18" s="68">
        <f>'Schedule 2H Adjustments'!J17</f>
        <v>0</v>
      </c>
      <c r="H18" s="68">
        <f t="shared" si="0"/>
        <v>0</v>
      </c>
      <c r="J18" s="117">
        <f>'Schedule 2H Adjustments'!P17</f>
        <v>0</v>
      </c>
      <c r="K18" s="68">
        <f>'Schedule 2H Adjustments'!R17</f>
        <v>0</v>
      </c>
      <c r="L18" s="68">
        <f t="shared" si="1"/>
        <v>0</v>
      </c>
      <c r="N18" s="120">
        <f>'Schedule 2H Adjustments'!X17</f>
        <v>0</v>
      </c>
      <c r="O18" s="120">
        <f>'Schedule 2H Adjustments'!AA17</f>
        <v>0</v>
      </c>
    </row>
    <row r="19" spans="1:15" x14ac:dyDescent="0.35">
      <c r="A19" s="24">
        <v>4</v>
      </c>
      <c r="B19" s="513" t="str">
        <f>'Schedule 2H Adjustments'!B18:D18</f>
        <v/>
      </c>
      <c r="C19" s="513"/>
      <c r="D19" s="513"/>
      <c r="F19" s="117">
        <f>'Schedule 2H Adjustments'!H18</f>
        <v>0</v>
      </c>
      <c r="G19" s="68">
        <f>'Schedule 2H Adjustments'!J18</f>
        <v>0</v>
      </c>
      <c r="H19" s="68">
        <f t="shared" si="0"/>
        <v>0</v>
      </c>
      <c r="J19" s="117">
        <f>'Schedule 2H Adjustments'!P18</f>
        <v>0</v>
      </c>
      <c r="K19" s="68">
        <f>'Schedule 2H Adjustments'!R18</f>
        <v>0</v>
      </c>
      <c r="L19" s="68">
        <f t="shared" si="1"/>
        <v>0</v>
      </c>
      <c r="N19" s="120">
        <f>'Schedule 2H Adjustments'!X18</f>
        <v>0</v>
      </c>
      <c r="O19" s="120">
        <f>'Schedule 2H Adjustments'!AA18</f>
        <v>0</v>
      </c>
    </row>
    <row r="20" spans="1:15" x14ac:dyDescent="0.35">
      <c r="A20" s="24">
        <v>5</v>
      </c>
      <c r="B20" s="513" t="str">
        <f>'Schedule 2H Adjustments'!B19:D19</f>
        <v/>
      </c>
      <c r="C20" s="513"/>
      <c r="D20" s="513"/>
      <c r="F20" s="117">
        <f>'Schedule 2H Adjustments'!H19</f>
        <v>0</v>
      </c>
      <c r="G20" s="68">
        <f>'Schedule 2H Adjustments'!J19</f>
        <v>0</v>
      </c>
      <c r="H20" s="68">
        <f t="shared" si="0"/>
        <v>0</v>
      </c>
      <c r="J20" s="117">
        <f>'Schedule 2H Adjustments'!P19</f>
        <v>0</v>
      </c>
      <c r="K20" s="68">
        <f>'Schedule 2H Adjustments'!R19</f>
        <v>0</v>
      </c>
      <c r="L20" s="68">
        <f t="shared" si="1"/>
        <v>0</v>
      </c>
      <c r="N20" s="120">
        <f>'Schedule 2H Adjustments'!X19</f>
        <v>0</v>
      </c>
      <c r="O20" s="120">
        <f>'Schedule 2H Adjustments'!AA19</f>
        <v>0</v>
      </c>
    </row>
    <row r="21" spans="1:15" x14ac:dyDescent="0.35">
      <c r="A21" s="24">
        <v>6</v>
      </c>
      <c r="B21" s="513" t="str">
        <f>'Schedule 2H Adjustments'!B20:D20</f>
        <v/>
      </c>
      <c r="C21" s="513"/>
      <c r="D21" s="513"/>
      <c r="F21" s="117">
        <f>'Schedule 2H Adjustments'!H20</f>
        <v>0</v>
      </c>
      <c r="G21" s="68">
        <f>'Schedule 2H Adjustments'!J20</f>
        <v>0</v>
      </c>
      <c r="H21" s="68">
        <f t="shared" si="0"/>
        <v>0</v>
      </c>
      <c r="J21" s="117">
        <f>'Schedule 2H Adjustments'!P20</f>
        <v>0</v>
      </c>
      <c r="K21" s="68">
        <f>'Schedule 2H Adjustments'!R20</f>
        <v>0</v>
      </c>
      <c r="L21" s="68">
        <f t="shared" si="1"/>
        <v>0</v>
      </c>
      <c r="N21" s="120">
        <f>'Schedule 2H Adjustments'!X20</f>
        <v>0</v>
      </c>
      <c r="O21" s="120">
        <f>'Schedule 2H Adjustments'!AA20</f>
        <v>0</v>
      </c>
    </row>
    <row r="22" spans="1:15" x14ac:dyDescent="0.35">
      <c r="A22" s="24">
        <v>7</v>
      </c>
      <c r="B22" s="513" t="str">
        <f>'Schedule 2H Adjustments'!B21:D21</f>
        <v/>
      </c>
      <c r="C22" s="513"/>
      <c r="D22" s="513"/>
      <c r="F22" s="117">
        <f>'Schedule 2H Adjustments'!H21</f>
        <v>0</v>
      </c>
      <c r="G22" s="68">
        <f>'Schedule 2H Adjustments'!J21</f>
        <v>0</v>
      </c>
      <c r="H22" s="68">
        <f t="shared" si="0"/>
        <v>0</v>
      </c>
      <c r="J22" s="117">
        <f>'Schedule 2H Adjustments'!P21</f>
        <v>0</v>
      </c>
      <c r="K22" s="68">
        <f>'Schedule 2H Adjustments'!R21</f>
        <v>0</v>
      </c>
      <c r="L22" s="68">
        <f t="shared" si="1"/>
        <v>0</v>
      </c>
      <c r="N22" s="120">
        <f>'Schedule 2H Adjustments'!X21</f>
        <v>0</v>
      </c>
      <c r="O22" s="120">
        <f>'Schedule 2H Adjustments'!AA21</f>
        <v>0</v>
      </c>
    </row>
    <row r="23" spans="1:15" x14ac:dyDescent="0.35">
      <c r="A23" s="24">
        <v>8</v>
      </c>
      <c r="B23" s="513" t="str">
        <f>'Schedule 2H Adjustments'!B22:D22</f>
        <v/>
      </c>
      <c r="C23" s="513"/>
      <c r="D23" s="513"/>
      <c r="F23" s="117">
        <f>'Schedule 2H Adjustments'!H22</f>
        <v>0</v>
      </c>
      <c r="G23" s="68">
        <f>'Schedule 2H Adjustments'!J22</f>
        <v>0</v>
      </c>
      <c r="H23" s="68">
        <f t="shared" si="0"/>
        <v>0</v>
      </c>
      <c r="J23" s="117">
        <f>'Schedule 2H Adjustments'!P22</f>
        <v>0</v>
      </c>
      <c r="K23" s="68">
        <f>'Schedule 2H Adjustments'!R22</f>
        <v>0</v>
      </c>
      <c r="L23" s="68">
        <f t="shared" si="1"/>
        <v>0</v>
      </c>
      <c r="N23" s="120">
        <f>'Schedule 2H Adjustments'!X22</f>
        <v>0</v>
      </c>
      <c r="O23" s="120">
        <f>'Schedule 2H Adjustments'!AA22</f>
        <v>0</v>
      </c>
    </row>
    <row r="24" spans="1:15" x14ac:dyDescent="0.35">
      <c r="A24" s="24">
        <v>9</v>
      </c>
      <c r="B24" s="513" t="str">
        <f>'Schedule 2H Adjustments'!B23:D23</f>
        <v/>
      </c>
      <c r="C24" s="513"/>
      <c r="D24" s="513"/>
      <c r="F24" s="117">
        <f>'Schedule 2H Adjustments'!H23</f>
        <v>0</v>
      </c>
      <c r="G24" s="68">
        <f>'Schedule 2H Adjustments'!J23</f>
        <v>0</v>
      </c>
      <c r="H24" s="68">
        <f t="shared" si="0"/>
        <v>0</v>
      </c>
      <c r="J24" s="117">
        <f>'Schedule 2H Adjustments'!P23</f>
        <v>0</v>
      </c>
      <c r="K24" s="68">
        <f>'Schedule 2H Adjustments'!R23</f>
        <v>0</v>
      </c>
      <c r="L24" s="68">
        <f t="shared" si="1"/>
        <v>0</v>
      </c>
      <c r="N24" s="120">
        <f>'Schedule 2H Adjustments'!X23</f>
        <v>0</v>
      </c>
      <c r="O24" s="120">
        <f>'Schedule 2H Adjustments'!AA23</f>
        <v>0</v>
      </c>
    </row>
    <row r="25" spans="1:15" x14ac:dyDescent="0.35">
      <c r="A25" s="24">
        <v>10</v>
      </c>
      <c r="B25" s="513" t="str">
        <f>'Schedule 2H Adjustments'!B24:D24</f>
        <v/>
      </c>
      <c r="C25" s="513"/>
      <c r="D25" s="513"/>
      <c r="F25" s="117">
        <f>'Schedule 2H Adjustments'!H24</f>
        <v>0</v>
      </c>
      <c r="G25" s="68">
        <f>'Schedule 2H Adjustments'!J24</f>
        <v>0</v>
      </c>
      <c r="H25" s="68">
        <f t="shared" si="0"/>
        <v>0</v>
      </c>
      <c r="J25" s="117">
        <f>'Schedule 2H Adjustments'!P24</f>
        <v>0</v>
      </c>
      <c r="K25" s="68">
        <f>'Schedule 2H Adjustments'!R24</f>
        <v>0</v>
      </c>
      <c r="L25" s="68">
        <f t="shared" si="1"/>
        <v>0</v>
      </c>
      <c r="N25" s="120">
        <f>'Schedule 2H Adjustments'!X24</f>
        <v>0</v>
      </c>
      <c r="O25" s="120">
        <f>'Schedule 2H Adjustments'!AA24</f>
        <v>0</v>
      </c>
    </row>
    <row r="26" spans="1:15" x14ac:dyDescent="0.35">
      <c r="A26" s="24">
        <v>11</v>
      </c>
      <c r="B26" s="513" t="str">
        <f>'Schedule 2H Adjustments'!B25:D25</f>
        <v/>
      </c>
      <c r="C26" s="513"/>
      <c r="D26" s="513"/>
      <c r="F26" s="117">
        <f>'Schedule 2H Adjustments'!H25</f>
        <v>0</v>
      </c>
      <c r="G26" s="68">
        <f>'Schedule 2H Adjustments'!J25</f>
        <v>0</v>
      </c>
      <c r="H26" s="68">
        <f t="shared" si="0"/>
        <v>0</v>
      </c>
      <c r="J26" s="117">
        <f>'Schedule 2H Adjustments'!P25</f>
        <v>0</v>
      </c>
      <c r="K26" s="68">
        <f>'Schedule 2H Adjustments'!R25</f>
        <v>0</v>
      </c>
      <c r="L26" s="68">
        <f t="shared" si="1"/>
        <v>0</v>
      </c>
      <c r="N26" s="120">
        <f>'Schedule 2H Adjustments'!X25</f>
        <v>0</v>
      </c>
      <c r="O26" s="120">
        <f>'Schedule 2H Adjustments'!AA25</f>
        <v>0</v>
      </c>
    </row>
    <row r="27" spans="1:15" x14ac:dyDescent="0.35">
      <c r="A27" s="24">
        <v>12</v>
      </c>
      <c r="B27" s="513" t="str">
        <f>'Schedule 2H Adjustments'!B26:D26</f>
        <v/>
      </c>
      <c r="C27" s="513"/>
      <c r="D27" s="513"/>
      <c r="F27" s="117">
        <f>'Schedule 2H Adjustments'!H26</f>
        <v>0</v>
      </c>
      <c r="G27" s="68">
        <f>'Schedule 2H Adjustments'!J26</f>
        <v>0</v>
      </c>
      <c r="H27" s="68">
        <f t="shared" si="0"/>
        <v>0</v>
      </c>
      <c r="J27" s="117">
        <f>'Schedule 2H Adjustments'!P26</f>
        <v>0</v>
      </c>
      <c r="K27" s="68">
        <f>'Schedule 2H Adjustments'!R26</f>
        <v>0</v>
      </c>
      <c r="L27" s="68">
        <f t="shared" si="1"/>
        <v>0</v>
      </c>
      <c r="N27" s="120">
        <f>'Schedule 2H Adjustments'!X26</f>
        <v>0</v>
      </c>
      <c r="O27" s="120">
        <f>'Schedule 2H Adjustments'!AA26</f>
        <v>0</v>
      </c>
    </row>
    <row r="28" spans="1:15" x14ac:dyDescent="0.35">
      <c r="A28" s="24">
        <v>13</v>
      </c>
      <c r="B28" s="513" t="str">
        <f>'Schedule 2H Adjustments'!B27:D27</f>
        <v/>
      </c>
      <c r="C28" s="513"/>
      <c r="D28" s="513"/>
      <c r="F28" s="117">
        <f>'Schedule 2H Adjustments'!H27</f>
        <v>0</v>
      </c>
      <c r="G28" s="68">
        <f>'Schedule 2H Adjustments'!J27</f>
        <v>0</v>
      </c>
      <c r="H28" s="68">
        <f t="shared" si="0"/>
        <v>0</v>
      </c>
      <c r="J28" s="117">
        <f>'Schedule 2H Adjustments'!P27</f>
        <v>0</v>
      </c>
      <c r="K28" s="68">
        <f>'Schedule 2H Adjustments'!R27</f>
        <v>0</v>
      </c>
      <c r="L28" s="68">
        <f t="shared" si="1"/>
        <v>0</v>
      </c>
      <c r="N28" s="120">
        <f>'Schedule 2H Adjustments'!X27</f>
        <v>0</v>
      </c>
      <c r="O28" s="120">
        <f>'Schedule 2H Adjustments'!AA27</f>
        <v>0</v>
      </c>
    </row>
    <row r="29" spans="1:15" x14ac:dyDescent="0.35">
      <c r="A29" s="24">
        <v>14</v>
      </c>
      <c r="B29" s="513" t="str">
        <f>'Schedule 2H Adjustments'!B28:D28</f>
        <v/>
      </c>
      <c r="C29" s="513"/>
      <c r="D29" s="513"/>
      <c r="F29" s="117">
        <f>'Schedule 2H Adjustments'!H28</f>
        <v>0</v>
      </c>
      <c r="G29" s="68">
        <f>'Schedule 2H Adjustments'!J28</f>
        <v>0</v>
      </c>
      <c r="H29" s="68">
        <f t="shared" si="0"/>
        <v>0</v>
      </c>
      <c r="J29" s="117">
        <f>'Schedule 2H Adjustments'!P28</f>
        <v>0</v>
      </c>
      <c r="K29" s="68">
        <f>'Schedule 2H Adjustments'!R28</f>
        <v>0</v>
      </c>
      <c r="L29" s="68">
        <f t="shared" si="1"/>
        <v>0</v>
      </c>
      <c r="N29" s="120">
        <f>'Schedule 2H Adjustments'!X28</f>
        <v>0</v>
      </c>
      <c r="O29" s="120">
        <f>'Schedule 2H Adjustments'!AA28</f>
        <v>0</v>
      </c>
    </row>
    <row r="30" spans="1:15" x14ac:dyDescent="0.35">
      <c r="A30" s="24">
        <v>15</v>
      </c>
      <c r="B30" s="513" t="str">
        <f>'Schedule 2H Adjustments'!B29:D29</f>
        <v/>
      </c>
      <c r="C30" s="513"/>
      <c r="D30" s="513"/>
      <c r="F30" s="117">
        <f>'Schedule 2H Adjustments'!H29</f>
        <v>0</v>
      </c>
      <c r="G30" s="68">
        <f>'Schedule 2H Adjustments'!J29</f>
        <v>0</v>
      </c>
      <c r="H30" s="68">
        <f t="shared" si="0"/>
        <v>0</v>
      </c>
      <c r="J30" s="117">
        <f>'Schedule 2H Adjustments'!P29</f>
        <v>0</v>
      </c>
      <c r="K30" s="68">
        <f>'Schedule 2H Adjustments'!R29</f>
        <v>0</v>
      </c>
      <c r="L30" s="68">
        <f t="shared" si="1"/>
        <v>0</v>
      </c>
      <c r="N30" s="120">
        <f>'Schedule 2H Adjustments'!X29</f>
        <v>0</v>
      </c>
      <c r="O30" s="120">
        <f>'Schedule 2H Adjustments'!AA29</f>
        <v>0</v>
      </c>
    </row>
    <row r="31" spans="1:15" x14ac:dyDescent="0.35">
      <c r="A31" s="24">
        <v>16</v>
      </c>
      <c r="B31" s="513" t="str">
        <f>'Schedule 2H Adjustments'!B30:D30</f>
        <v/>
      </c>
      <c r="C31" s="513"/>
      <c r="D31" s="513"/>
      <c r="F31" s="117">
        <f>'Schedule 2H Adjustments'!H30</f>
        <v>0</v>
      </c>
      <c r="G31" s="68">
        <f>'Schedule 2H Adjustments'!J30</f>
        <v>0</v>
      </c>
      <c r="H31" s="68">
        <f t="shared" si="0"/>
        <v>0</v>
      </c>
      <c r="J31" s="117">
        <f>'Schedule 2H Adjustments'!P30</f>
        <v>0</v>
      </c>
      <c r="K31" s="68">
        <f>'Schedule 2H Adjustments'!R30</f>
        <v>0</v>
      </c>
      <c r="L31" s="68">
        <f t="shared" si="1"/>
        <v>0</v>
      </c>
      <c r="N31" s="120">
        <f>'Schedule 2H Adjustments'!X30</f>
        <v>0</v>
      </c>
      <c r="O31" s="120">
        <f>'Schedule 2H Adjustments'!AA30</f>
        <v>0</v>
      </c>
    </row>
    <row r="32" spans="1:15" x14ac:dyDescent="0.35">
      <c r="A32" s="24">
        <v>17</v>
      </c>
      <c r="B32" s="513" t="str">
        <f>'Schedule 2H Adjustments'!B31:D31</f>
        <v/>
      </c>
      <c r="C32" s="513"/>
      <c r="D32" s="513"/>
      <c r="F32" s="117">
        <f>'Schedule 2H Adjustments'!H31</f>
        <v>0</v>
      </c>
      <c r="G32" s="68">
        <f>'Schedule 2H Adjustments'!J31</f>
        <v>0</v>
      </c>
      <c r="H32" s="68">
        <f t="shared" si="0"/>
        <v>0</v>
      </c>
      <c r="J32" s="117">
        <f>'Schedule 2H Adjustments'!P31</f>
        <v>0</v>
      </c>
      <c r="K32" s="68">
        <f>'Schedule 2H Adjustments'!R31</f>
        <v>0</v>
      </c>
      <c r="L32" s="68">
        <f t="shared" si="1"/>
        <v>0</v>
      </c>
      <c r="N32" s="120">
        <f>'Schedule 2H Adjustments'!X31</f>
        <v>0</v>
      </c>
      <c r="O32" s="120">
        <f>'Schedule 2H Adjustments'!AA31</f>
        <v>0</v>
      </c>
    </row>
    <row r="33" spans="1:15" x14ac:dyDescent="0.35">
      <c r="A33" s="24">
        <v>18</v>
      </c>
      <c r="B33" s="513" t="str">
        <f>'Schedule 2H Adjustments'!B32:D32</f>
        <v/>
      </c>
      <c r="C33" s="513"/>
      <c r="D33" s="513"/>
      <c r="F33" s="117">
        <f>'Schedule 2H Adjustments'!H32</f>
        <v>0</v>
      </c>
      <c r="G33" s="68">
        <f>'Schedule 2H Adjustments'!J32</f>
        <v>0</v>
      </c>
      <c r="H33" s="68">
        <f t="shared" si="0"/>
        <v>0</v>
      </c>
      <c r="J33" s="117">
        <f>'Schedule 2H Adjustments'!P32</f>
        <v>0</v>
      </c>
      <c r="K33" s="68">
        <f>'Schedule 2H Adjustments'!R32</f>
        <v>0</v>
      </c>
      <c r="L33" s="68">
        <f t="shared" si="1"/>
        <v>0</v>
      </c>
      <c r="N33" s="120">
        <f>'Schedule 2H Adjustments'!X32</f>
        <v>0</v>
      </c>
      <c r="O33" s="120">
        <f>'Schedule 2H Adjustments'!AA32</f>
        <v>0</v>
      </c>
    </row>
    <row r="34" spans="1:15" x14ac:dyDescent="0.35">
      <c r="A34" s="24">
        <v>19</v>
      </c>
      <c r="B34" s="513" t="str">
        <f>'Schedule 2H Adjustments'!B33:D33</f>
        <v/>
      </c>
      <c r="C34" s="513"/>
      <c r="D34" s="513"/>
      <c r="F34" s="117">
        <f>'Schedule 2H Adjustments'!H33</f>
        <v>0</v>
      </c>
      <c r="G34" s="68">
        <f>'Schedule 2H Adjustments'!J33</f>
        <v>0</v>
      </c>
      <c r="H34" s="68">
        <f t="shared" si="0"/>
        <v>0</v>
      </c>
      <c r="J34" s="117">
        <f>'Schedule 2H Adjustments'!P33</f>
        <v>0</v>
      </c>
      <c r="K34" s="68">
        <f>'Schedule 2H Adjustments'!R33</f>
        <v>0</v>
      </c>
      <c r="L34" s="68">
        <f t="shared" si="1"/>
        <v>0</v>
      </c>
      <c r="N34" s="120">
        <f>'Schedule 2H Adjustments'!X33</f>
        <v>0</v>
      </c>
      <c r="O34" s="120">
        <f>'Schedule 2H Adjustments'!AA33</f>
        <v>0</v>
      </c>
    </row>
    <row r="35" spans="1:15" x14ac:dyDescent="0.35">
      <c r="A35" s="24">
        <v>20</v>
      </c>
      <c r="B35" s="513" t="str">
        <f>'Schedule 2H Adjustments'!B34:D34</f>
        <v/>
      </c>
      <c r="C35" s="513"/>
      <c r="D35" s="513"/>
      <c r="F35" s="117">
        <f>'Schedule 2H Adjustments'!H34</f>
        <v>0</v>
      </c>
      <c r="G35" s="68">
        <f>'Schedule 2H Adjustments'!J34</f>
        <v>0</v>
      </c>
      <c r="H35" s="68">
        <f t="shared" si="0"/>
        <v>0</v>
      </c>
      <c r="J35" s="117">
        <f>'Schedule 2H Adjustments'!P34</f>
        <v>0</v>
      </c>
      <c r="K35" s="68">
        <f>'Schedule 2H Adjustments'!R34</f>
        <v>0</v>
      </c>
      <c r="L35" s="68">
        <f t="shared" si="1"/>
        <v>0</v>
      </c>
      <c r="N35" s="120">
        <f>'Schedule 2H Adjustments'!X34</f>
        <v>0</v>
      </c>
      <c r="O35" s="120">
        <f>'Schedule 2H Adjustments'!AA34</f>
        <v>0</v>
      </c>
    </row>
    <row r="36" spans="1:15" x14ac:dyDescent="0.35">
      <c r="A36" s="24">
        <v>21</v>
      </c>
      <c r="B36" s="513" t="str">
        <f>'Schedule 2H Adjustments'!B35:D35</f>
        <v/>
      </c>
      <c r="C36" s="513"/>
      <c r="D36" s="513"/>
      <c r="F36" s="117">
        <f>'Schedule 2H Adjustments'!H35</f>
        <v>0</v>
      </c>
      <c r="G36" s="68">
        <f>'Schedule 2H Adjustments'!J35</f>
        <v>0</v>
      </c>
      <c r="H36" s="68">
        <f t="shared" si="0"/>
        <v>0</v>
      </c>
      <c r="J36" s="117">
        <f>'Schedule 2H Adjustments'!P35</f>
        <v>0</v>
      </c>
      <c r="K36" s="68">
        <f>'Schedule 2H Adjustments'!R35</f>
        <v>0</v>
      </c>
      <c r="L36" s="68">
        <f t="shared" si="1"/>
        <v>0</v>
      </c>
      <c r="N36" s="120">
        <f>'Schedule 2H Adjustments'!X35</f>
        <v>0</v>
      </c>
      <c r="O36" s="120">
        <f>'Schedule 2H Adjustments'!AA35</f>
        <v>0</v>
      </c>
    </row>
    <row r="37" spans="1:15" x14ac:dyDescent="0.35">
      <c r="A37" s="24">
        <v>22</v>
      </c>
      <c r="B37" s="513" t="str">
        <f>'Schedule 2H Adjustments'!B36:D36</f>
        <v/>
      </c>
      <c r="C37" s="513"/>
      <c r="D37" s="513"/>
      <c r="F37" s="117">
        <f>'Schedule 2H Adjustments'!H36</f>
        <v>0</v>
      </c>
      <c r="G37" s="68">
        <f>'Schedule 2H Adjustments'!J36</f>
        <v>0</v>
      </c>
      <c r="H37" s="68">
        <f t="shared" si="0"/>
        <v>0</v>
      </c>
      <c r="J37" s="117">
        <f>'Schedule 2H Adjustments'!P36</f>
        <v>0</v>
      </c>
      <c r="K37" s="68">
        <f>'Schedule 2H Adjustments'!R36</f>
        <v>0</v>
      </c>
      <c r="L37" s="68">
        <f t="shared" si="1"/>
        <v>0</v>
      </c>
      <c r="N37" s="120">
        <f>'Schedule 2H Adjustments'!X36</f>
        <v>0</v>
      </c>
      <c r="O37" s="120">
        <f>'Schedule 2H Adjustments'!AA36</f>
        <v>0</v>
      </c>
    </row>
    <row r="38" spans="1:15" x14ac:dyDescent="0.35">
      <c r="A38" s="24">
        <v>23</v>
      </c>
      <c r="B38" s="513" t="str">
        <f>'Schedule 2H Adjustments'!B37:D37</f>
        <v/>
      </c>
      <c r="C38" s="513"/>
      <c r="D38" s="513"/>
      <c r="F38" s="117">
        <f>'Schedule 2H Adjustments'!H37</f>
        <v>0</v>
      </c>
      <c r="G38" s="68">
        <f>'Schedule 2H Adjustments'!J37</f>
        <v>0</v>
      </c>
      <c r="H38" s="68">
        <f t="shared" si="0"/>
        <v>0</v>
      </c>
      <c r="J38" s="117">
        <f>'Schedule 2H Adjustments'!P37</f>
        <v>0</v>
      </c>
      <c r="K38" s="68">
        <f>'Schedule 2H Adjustments'!R37</f>
        <v>0</v>
      </c>
      <c r="L38" s="68">
        <f t="shared" si="1"/>
        <v>0</v>
      </c>
      <c r="N38" s="120">
        <f>'Schedule 2H Adjustments'!X37</f>
        <v>0</v>
      </c>
      <c r="O38" s="120">
        <f>'Schedule 2H Adjustments'!AA37</f>
        <v>0</v>
      </c>
    </row>
    <row r="39" spans="1:15" x14ac:dyDescent="0.35">
      <c r="A39" s="24">
        <v>24</v>
      </c>
      <c r="B39" s="513" t="str">
        <f>'Schedule 2H Adjustments'!B38:D38</f>
        <v/>
      </c>
      <c r="C39" s="513"/>
      <c r="D39" s="513"/>
      <c r="F39" s="117">
        <f>'Schedule 2H Adjustments'!H38</f>
        <v>0</v>
      </c>
      <c r="G39" s="68">
        <f>'Schedule 2H Adjustments'!J38</f>
        <v>0</v>
      </c>
      <c r="H39" s="68">
        <f t="shared" si="0"/>
        <v>0</v>
      </c>
      <c r="J39" s="117">
        <f>'Schedule 2H Adjustments'!P38</f>
        <v>0</v>
      </c>
      <c r="K39" s="68">
        <f>'Schedule 2H Adjustments'!R38</f>
        <v>0</v>
      </c>
      <c r="L39" s="68">
        <f t="shared" si="1"/>
        <v>0</v>
      </c>
      <c r="N39" s="120">
        <f>'Schedule 2H Adjustments'!X38</f>
        <v>0</v>
      </c>
      <c r="O39" s="120">
        <f>'Schedule 2H Adjustments'!AA38</f>
        <v>0</v>
      </c>
    </row>
    <row r="40" spans="1:15" x14ac:dyDescent="0.35">
      <c r="A40" s="24">
        <v>25</v>
      </c>
      <c r="B40" s="513" t="str">
        <f>'Schedule 2H Adjustments'!B39:D39</f>
        <v/>
      </c>
      <c r="C40" s="513"/>
      <c r="D40" s="513"/>
      <c r="F40" s="117">
        <f>'Schedule 2H Adjustments'!H39</f>
        <v>0</v>
      </c>
      <c r="G40" s="68">
        <f>'Schedule 2H Adjustments'!J39</f>
        <v>0</v>
      </c>
      <c r="H40" s="68">
        <f t="shared" si="0"/>
        <v>0</v>
      </c>
      <c r="J40" s="117">
        <f>'Schedule 2H Adjustments'!P39</f>
        <v>0</v>
      </c>
      <c r="K40" s="68">
        <f>'Schedule 2H Adjustments'!R39</f>
        <v>0</v>
      </c>
      <c r="L40" s="68">
        <f t="shared" si="1"/>
        <v>0</v>
      </c>
      <c r="N40" s="120">
        <f>'Schedule 2H Adjustments'!X39</f>
        <v>0</v>
      </c>
      <c r="O40" s="120">
        <f>'Schedule 2H Adjustments'!AA39</f>
        <v>0</v>
      </c>
    </row>
    <row r="41" spans="1:15" x14ac:dyDescent="0.35">
      <c r="A41" s="24">
        <v>26</v>
      </c>
      <c r="B41" s="513" t="str">
        <f>'Schedule 2H Adjustments'!B40:D40</f>
        <v/>
      </c>
      <c r="C41" s="513"/>
      <c r="D41" s="513"/>
      <c r="F41" s="117">
        <f>'Schedule 2H Adjustments'!H40</f>
        <v>0</v>
      </c>
      <c r="G41" s="68">
        <f>'Schedule 2H Adjustments'!J40</f>
        <v>0</v>
      </c>
      <c r="H41" s="68">
        <f t="shared" si="0"/>
        <v>0</v>
      </c>
      <c r="J41" s="117">
        <f>'Schedule 2H Adjustments'!P40</f>
        <v>0</v>
      </c>
      <c r="K41" s="68">
        <f>'Schedule 2H Adjustments'!R40</f>
        <v>0</v>
      </c>
      <c r="L41" s="68">
        <f t="shared" si="1"/>
        <v>0</v>
      </c>
      <c r="N41" s="120">
        <f>'Schedule 2H Adjustments'!X40</f>
        <v>0</v>
      </c>
      <c r="O41" s="120">
        <f>'Schedule 2H Adjustments'!AA40</f>
        <v>0</v>
      </c>
    </row>
    <row r="42" spans="1:15" x14ac:dyDescent="0.35">
      <c r="A42" s="24">
        <v>27</v>
      </c>
      <c r="B42" s="513" t="str">
        <f>'Schedule 2H Adjustments'!B41:D41</f>
        <v/>
      </c>
      <c r="C42" s="513"/>
      <c r="D42" s="513"/>
      <c r="F42" s="117">
        <f>'Schedule 2H Adjustments'!H41</f>
        <v>0</v>
      </c>
      <c r="G42" s="68">
        <f>'Schedule 2H Adjustments'!J41</f>
        <v>0</v>
      </c>
      <c r="H42" s="68">
        <f t="shared" si="0"/>
        <v>0</v>
      </c>
      <c r="J42" s="117">
        <f>'Schedule 2H Adjustments'!P41</f>
        <v>0</v>
      </c>
      <c r="K42" s="68">
        <f>'Schedule 2H Adjustments'!R41</f>
        <v>0</v>
      </c>
      <c r="L42" s="68">
        <f t="shared" si="1"/>
        <v>0</v>
      </c>
      <c r="N42" s="120">
        <f>'Schedule 2H Adjustments'!X41</f>
        <v>0</v>
      </c>
      <c r="O42" s="120">
        <f>'Schedule 2H Adjustments'!AA41</f>
        <v>0</v>
      </c>
    </row>
    <row r="43" spans="1:15" x14ac:dyDescent="0.35">
      <c r="A43" s="24">
        <v>28</v>
      </c>
      <c r="B43" s="513" t="str">
        <f>'Schedule 2H Adjustments'!B42:D42</f>
        <v/>
      </c>
      <c r="C43" s="513"/>
      <c r="D43" s="513"/>
      <c r="F43" s="117">
        <f>'Schedule 2H Adjustments'!H42</f>
        <v>0</v>
      </c>
      <c r="G43" s="68">
        <f>'Schedule 2H Adjustments'!J42</f>
        <v>0</v>
      </c>
      <c r="H43" s="68">
        <f t="shared" si="0"/>
        <v>0</v>
      </c>
      <c r="J43" s="117">
        <f>'Schedule 2H Adjustments'!P42</f>
        <v>0</v>
      </c>
      <c r="K43" s="68">
        <f>'Schedule 2H Adjustments'!R42</f>
        <v>0</v>
      </c>
      <c r="L43" s="68">
        <f t="shared" si="1"/>
        <v>0</v>
      </c>
      <c r="N43" s="120">
        <f>'Schedule 2H Adjustments'!X42</f>
        <v>0</v>
      </c>
      <c r="O43" s="120">
        <f>'Schedule 2H Adjustments'!AA42</f>
        <v>0</v>
      </c>
    </row>
    <row r="44" spans="1:15" x14ac:dyDescent="0.35">
      <c r="A44" s="24">
        <v>29</v>
      </c>
      <c r="B44" s="513" t="str">
        <f>'Schedule 2H Adjustments'!B43:D43</f>
        <v/>
      </c>
      <c r="C44" s="513"/>
      <c r="D44" s="513"/>
      <c r="F44" s="117">
        <f>'Schedule 2H Adjustments'!H43</f>
        <v>0</v>
      </c>
      <c r="G44" s="68">
        <f>'Schedule 2H Adjustments'!J43</f>
        <v>0</v>
      </c>
      <c r="H44" s="68">
        <f t="shared" si="0"/>
        <v>0</v>
      </c>
      <c r="J44" s="117">
        <f>'Schedule 2H Adjustments'!P43</f>
        <v>0</v>
      </c>
      <c r="K44" s="68">
        <f>'Schedule 2H Adjustments'!R43</f>
        <v>0</v>
      </c>
      <c r="L44" s="68">
        <f t="shared" si="1"/>
        <v>0</v>
      </c>
      <c r="N44" s="120">
        <f>'Schedule 2H Adjustments'!X43</f>
        <v>0</v>
      </c>
      <c r="O44" s="120">
        <f>'Schedule 2H Adjustments'!AA43</f>
        <v>0</v>
      </c>
    </row>
    <row r="45" spans="1:15" x14ac:dyDescent="0.35">
      <c r="A45" s="24">
        <v>30</v>
      </c>
      <c r="B45" s="513" t="str">
        <f>'Schedule 2H Adjustments'!B44:D44</f>
        <v/>
      </c>
      <c r="C45" s="513"/>
      <c r="D45" s="513"/>
      <c r="F45" s="117">
        <f>'Schedule 2H Adjustments'!H44</f>
        <v>0</v>
      </c>
      <c r="G45" s="68">
        <f>'Schedule 2H Adjustments'!J44</f>
        <v>0</v>
      </c>
      <c r="H45" s="68">
        <f t="shared" si="0"/>
        <v>0</v>
      </c>
      <c r="J45" s="117">
        <f>'Schedule 2H Adjustments'!P44</f>
        <v>0</v>
      </c>
      <c r="K45" s="68">
        <f>'Schedule 2H Adjustments'!R44</f>
        <v>0</v>
      </c>
      <c r="L45" s="68">
        <f t="shared" si="1"/>
        <v>0</v>
      </c>
      <c r="N45" s="120">
        <f>'Schedule 2H Adjustments'!X44</f>
        <v>0</v>
      </c>
      <c r="O45" s="120">
        <f>'Schedule 2H Adjustments'!AA44</f>
        <v>0</v>
      </c>
    </row>
    <row r="46" spans="1:15" x14ac:dyDescent="0.35">
      <c r="A46" s="24">
        <v>31</v>
      </c>
      <c r="B46" s="513" t="str">
        <f>'Schedule 2H Adjustments'!B45:D45</f>
        <v/>
      </c>
      <c r="C46" s="513"/>
      <c r="D46" s="513"/>
      <c r="F46" s="117">
        <f>'Schedule 2H Adjustments'!H45</f>
        <v>0</v>
      </c>
      <c r="G46" s="68">
        <f>'Schedule 2H Adjustments'!J45</f>
        <v>0</v>
      </c>
      <c r="H46" s="68">
        <f t="shared" si="0"/>
        <v>0</v>
      </c>
      <c r="J46" s="117">
        <f>'Schedule 2H Adjustments'!P45</f>
        <v>0</v>
      </c>
      <c r="K46" s="68">
        <f>'Schedule 2H Adjustments'!R45</f>
        <v>0</v>
      </c>
      <c r="L46" s="68">
        <f t="shared" si="1"/>
        <v>0</v>
      </c>
      <c r="N46" s="120">
        <f>'Schedule 2H Adjustments'!X45</f>
        <v>0</v>
      </c>
      <c r="O46" s="120">
        <f>'Schedule 2H Adjustments'!AA45</f>
        <v>0</v>
      </c>
    </row>
    <row r="47" spans="1:15" x14ac:dyDescent="0.35">
      <c r="A47" s="24">
        <v>32</v>
      </c>
      <c r="B47" s="513" t="str">
        <f>'Schedule 2H Adjustments'!B46:D46</f>
        <v/>
      </c>
      <c r="C47" s="513"/>
      <c r="D47" s="513"/>
      <c r="F47" s="117">
        <f>'Schedule 2H Adjustments'!H46</f>
        <v>0</v>
      </c>
      <c r="G47" s="68">
        <f>'Schedule 2H Adjustments'!J46</f>
        <v>0</v>
      </c>
      <c r="H47" s="68">
        <f t="shared" si="0"/>
        <v>0</v>
      </c>
      <c r="J47" s="117">
        <f>'Schedule 2H Adjustments'!P46</f>
        <v>0</v>
      </c>
      <c r="K47" s="68">
        <f>'Schedule 2H Adjustments'!R46</f>
        <v>0</v>
      </c>
      <c r="L47" s="68">
        <f t="shared" si="1"/>
        <v>0</v>
      </c>
      <c r="N47" s="120">
        <f>'Schedule 2H Adjustments'!X46</f>
        <v>0</v>
      </c>
      <c r="O47" s="120">
        <f>'Schedule 2H Adjustments'!AA46</f>
        <v>0</v>
      </c>
    </row>
    <row r="48" spans="1:15" x14ac:dyDescent="0.35">
      <c r="A48" s="24">
        <v>33</v>
      </c>
      <c r="B48" s="513" t="str">
        <f>'Schedule 2H Adjustments'!B47:D47</f>
        <v/>
      </c>
      <c r="C48" s="513"/>
      <c r="D48" s="513"/>
      <c r="F48" s="117">
        <f>'Schedule 2H Adjustments'!H47</f>
        <v>0</v>
      </c>
      <c r="G48" s="68">
        <f>'Schedule 2H Adjustments'!J47</f>
        <v>0</v>
      </c>
      <c r="H48" s="68">
        <f t="shared" si="0"/>
        <v>0</v>
      </c>
      <c r="J48" s="117">
        <f>'Schedule 2H Adjustments'!P47</f>
        <v>0</v>
      </c>
      <c r="K48" s="68">
        <f>'Schedule 2H Adjustments'!R47</f>
        <v>0</v>
      </c>
      <c r="L48" s="68">
        <f t="shared" si="1"/>
        <v>0</v>
      </c>
      <c r="N48" s="120">
        <f>'Schedule 2H Adjustments'!X47</f>
        <v>0</v>
      </c>
      <c r="O48" s="120">
        <f>'Schedule 2H Adjustments'!AA47</f>
        <v>0</v>
      </c>
    </row>
    <row r="49" spans="1:15" x14ac:dyDescent="0.35">
      <c r="A49" s="24">
        <v>34</v>
      </c>
      <c r="B49" s="513" t="str">
        <f>'Schedule 2H Adjustments'!B48:D48</f>
        <v/>
      </c>
      <c r="C49" s="513"/>
      <c r="D49" s="513"/>
      <c r="F49" s="117">
        <f>'Schedule 2H Adjustments'!H48</f>
        <v>0</v>
      </c>
      <c r="G49" s="68">
        <f>'Schedule 2H Adjustments'!J48</f>
        <v>0</v>
      </c>
      <c r="H49" s="68">
        <f t="shared" si="0"/>
        <v>0</v>
      </c>
      <c r="J49" s="117">
        <f>'Schedule 2H Adjustments'!P48</f>
        <v>0</v>
      </c>
      <c r="K49" s="68">
        <f>'Schedule 2H Adjustments'!R48</f>
        <v>0</v>
      </c>
      <c r="L49" s="68">
        <f t="shared" si="1"/>
        <v>0</v>
      </c>
      <c r="N49" s="120">
        <f>'Schedule 2H Adjustments'!X48</f>
        <v>0</v>
      </c>
      <c r="O49" s="120">
        <f>'Schedule 2H Adjustments'!AA48</f>
        <v>0</v>
      </c>
    </row>
    <row r="50" spans="1:15" x14ac:dyDescent="0.35">
      <c r="A50" s="24">
        <v>35</v>
      </c>
      <c r="B50" s="513" t="str">
        <f>'Schedule 2H Adjustments'!B49:D49</f>
        <v/>
      </c>
      <c r="C50" s="513"/>
      <c r="D50" s="513"/>
      <c r="F50" s="117">
        <f>'Schedule 2H Adjustments'!H49</f>
        <v>0</v>
      </c>
      <c r="G50" s="68">
        <f>'Schedule 2H Adjustments'!J49</f>
        <v>0</v>
      </c>
      <c r="H50" s="68">
        <f t="shared" si="0"/>
        <v>0</v>
      </c>
      <c r="J50" s="117">
        <f>'Schedule 2H Adjustments'!P49</f>
        <v>0</v>
      </c>
      <c r="K50" s="68">
        <f>'Schedule 2H Adjustments'!R49</f>
        <v>0</v>
      </c>
      <c r="L50" s="68">
        <f t="shared" si="1"/>
        <v>0</v>
      </c>
      <c r="N50" s="120">
        <f>'Schedule 2H Adjustments'!X49</f>
        <v>0</v>
      </c>
      <c r="O50" s="120">
        <f>'Schedule 2H Adjustments'!AA49</f>
        <v>0</v>
      </c>
    </row>
    <row r="51" spans="1:15" x14ac:dyDescent="0.35">
      <c r="A51" s="24">
        <v>36</v>
      </c>
      <c r="B51" s="513" t="str">
        <f>'Schedule 2H Adjustments'!B50:D50</f>
        <v/>
      </c>
      <c r="C51" s="513"/>
      <c r="D51" s="513"/>
      <c r="F51" s="117">
        <f>'Schedule 2H Adjustments'!H50</f>
        <v>0</v>
      </c>
      <c r="G51" s="68">
        <f>'Schedule 2H Adjustments'!J50</f>
        <v>0</v>
      </c>
      <c r="H51" s="68">
        <f t="shared" si="0"/>
        <v>0</v>
      </c>
      <c r="J51" s="117">
        <f>'Schedule 2H Adjustments'!P50</f>
        <v>0</v>
      </c>
      <c r="K51" s="68">
        <f>'Schedule 2H Adjustments'!R50</f>
        <v>0</v>
      </c>
      <c r="L51" s="68">
        <f t="shared" si="1"/>
        <v>0</v>
      </c>
      <c r="N51" s="120">
        <f>'Schedule 2H Adjustments'!X50</f>
        <v>0</v>
      </c>
      <c r="O51" s="120">
        <f>'Schedule 2H Adjustments'!AA50</f>
        <v>0</v>
      </c>
    </row>
    <row r="52" spans="1:15" x14ac:dyDescent="0.35">
      <c r="A52" s="24">
        <v>37</v>
      </c>
      <c r="B52" s="513" t="str">
        <f>'Schedule 2H Adjustments'!B51:D51</f>
        <v/>
      </c>
      <c r="C52" s="513"/>
      <c r="D52" s="513"/>
      <c r="F52" s="117">
        <f>'Schedule 2H Adjustments'!H51</f>
        <v>0</v>
      </c>
      <c r="G52" s="68">
        <f>'Schedule 2H Adjustments'!J51</f>
        <v>0</v>
      </c>
      <c r="H52" s="68">
        <f t="shared" si="0"/>
        <v>0</v>
      </c>
      <c r="J52" s="117">
        <f>'Schedule 2H Adjustments'!P51</f>
        <v>0</v>
      </c>
      <c r="K52" s="68">
        <f>'Schedule 2H Adjustments'!R51</f>
        <v>0</v>
      </c>
      <c r="L52" s="68">
        <f t="shared" si="1"/>
        <v>0</v>
      </c>
      <c r="N52" s="120">
        <f>'Schedule 2H Adjustments'!X51</f>
        <v>0</v>
      </c>
      <c r="O52" s="120">
        <f>'Schedule 2H Adjustments'!AA51</f>
        <v>0</v>
      </c>
    </row>
    <row r="53" spans="1:15" x14ac:dyDescent="0.35">
      <c r="A53" s="24">
        <v>38</v>
      </c>
      <c r="B53" s="513" t="str">
        <f>'Schedule 2H Adjustments'!B52:D52</f>
        <v/>
      </c>
      <c r="C53" s="513"/>
      <c r="D53" s="513"/>
      <c r="F53" s="117">
        <f>'Schedule 2H Adjustments'!H52</f>
        <v>0</v>
      </c>
      <c r="G53" s="68">
        <f>'Schedule 2H Adjustments'!J52</f>
        <v>0</v>
      </c>
      <c r="H53" s="68">
        <f t="shared" si="0"/>
        <v>0</v>
      </c>
      <c r="J53" s="117">
        <f>'Schedule 2H Adjustments'!P52</f>
        <v>0</v>
      </c>
      <c r="K53" s="68">
        <f>'Schedule 2H Adjustments'!R52</f>
        <v>0</v>
      </c>
      <c r="L53" s="68">
        <f t="shared" si="1"/>
        <v>0</v>
      </c>
      <c r="N53" s="120">
        <f>'Schedule 2H Adjustments'!X52</f>
        <v>0</v>
      </c>
      <c r="O53" s="120">
        <f>'Schedule 2H Adjustments'!AA52</f>
        <v>0</v>
      </c>
    </row>
    <row r="54" spans="1:15" x14ac:dyDescent="0.35">
      <c r="A54" s="24">
        <v>39</v>
      </c>
      <c r="B54" s="513" t="str">
        <f>'Schedule 2H Adjustments'!B53:D53</f>
        <v/>
      </c>
      <c r="C54" s="513"/>
      <c r="D54" s="513"/>
      <c r="F54" s="117">
        <f>'Schedule 2H Adjustments'!H53</f>
        <v>0</v>
      </c>
      <c r="G54" s="68">
        <f>'Schedule 2H Adjustments'!J53</f>
        <v>0</v>
      </c>
      <c r="H54" s="68">
        <f t="shared" si="0"/>
        <v>0</v>
      </c>
      <c r="J54" s="117">
        <f>'Schedule 2H Adjustments'!P53</f>
        <v>0</v>
      </c>
      <c r="K54" s="68">
        <f>'Schedule 2H Adjustments'!R53</f>
        <v>0</v>
      </c>
      <c r="L54" s="68">
        <f t="shared" si="1"/>
        <v>0</v>
      </c>
      <c r="N54" s="120">
        <f>'Schedule 2H Adjustments'!X53</f>
        <v>0</v>
      </c>
      <c r="O54" s="120">
        <f>'Schedule 2H Adjustments'!AA53</f>
        <v>0</v>
      </c>
    </row>
    <row r="55" spans="1:15" x14ac:dyDescent="0.35">
      <c r="A55" s="24">
        <v>40</v>
      </c>
      <c r="B55" s="513" t="str">
        <f>'Schedule 2H Adjustments'!B54:D54</f>
        <v/>
      </c>
      <c r="C55" s="513"/>
      <c r="D55" s="513"/>
      <c r="F55" s="117">
        <f>'Schedule 2H Adjustments'!H54</f>
        <v>0</v>
      </c>
      <c r="G55" s="68">
        <f>'Schedule 2H Adjustments'!J54</f>
        <v>0</v>
      </c>
      <c r="H55" s="68">
        <f t="shared" si="0"/>
        <v>0</v>
      </c>
      <c r="J55" s="117">
        <f>'Schedule 2H Adjustments'!P54</f>
        <v>0</v>
      </c>
      <c r="K55" s="68">
        <f>'Schedule 2H Adjustments'!R54</f>
        <v>0</v>
      </c>
      <c r="L55" s="68">
        <f t="shared" si="1"/>
        <v>0</v>
      </c>
      <c r="N55" s="120">
        <f>'Schedule 2H Adjustments'!X54</f>
        <v>0</v>
      </c>
      <c r="O55" s="120">
        <f>'Schedule 2H Adjustments'!AA54</f>
        <v>0</v>
      </c>
    </row>
    <row r="56" spans="1:15" x14ac:dyDescent="0.35">
      <c r="A56" s="24">
        <v>41</v>
      </c>
      <c r="B56" s="513" t="str">
        <f>'Schedule 2H Adjustments'!B55:D55</f>
        <v/>
      </c>
      <c r="C56" s="513"/>
      <c r="D56" s="513"/>
      <c r="F56" s="117">
        <f>'Schedule 2H Adjustments'!H55</f>
        <v>0</v>
      </c>
      <c r="G56" s="68">
        <f>'Schedule 2H Adjustments'!J55</f>
        <v>0</v>
      </c>
      <c r="H56" s="68">
        <f t="shared" si="0"/>
        <v>0</v>
      </c>
      <c r="J56" s="117">
        <f>'Schedule 2H Adjustments'!P55</f>
        <v>0</v>
      </c>
      <c r="K56" s="68">
        <f>'Schedule 2H Adjustments'!R55</f>
        <v>0</v>
      </c>
      <c r="L56" s="68">
        <f t="shared" si="1"/>
        <v>0</v>
      </c>
      <c r="N56" s="120">
        <f>'Schedule 2H Adjustments'!X55</f>
        <v>0</v>
      </c>
      <c r="O56" s="120">
        <f>'Schedule 2H Adjustments'!AA55</f>
        <v>0</v>
      </c>
    </row>
    <row r="57" spans="1:15" x14ac:dyDescent="0.35">
      <c r="A57" s="24">
        <v>42</v>
      </c>
      <c r="B57" s="513" t="str">
        <f>'Schedule 2H Adjustments'!B56:D56</f>
        <v/>
      </c>
      <c r="C57" s="513"/>
      <c r="D57" s="513"/>
      <c r="F57" s="117">
        <f>'Schedule 2H Adjustments'!H56</f>
        <v>0</v>
      </c>
      <c r="G57" s="68">
        <f>'Schedule 2H Adjustments'!J56</f>
        <v>0</v>
      </c>
      <c r="H57" s="68">
        <f t="shared" si="0"/>
        <v>0</v>
      </c>
      <c r="J57" s="117">
        <f>'Schedule 2H Adjustments'!P56</f>
        <v>0</v>
      </c>
      <c r="K57" s="68">
        <f>'Schedule 2H Adjustments'!R56</f>
        <v>0</v>
      </c>
      <c r="L57" s="68">
        <f t="shared" si="1"/>
        <v>0</v>
      </c>
      <c r="N57" s="120">
        <f>'Schedule 2H Adjustments'!X56</f>
        <v>0</v>
      </c>
      <c r="O57" s="120">
        <f>'Schedule 2H Adjustments'!AA56</f>
        <v>0</v>
      </c>
    </row>
    <row r="58" spans="1:15" x14ac:dyDescent="0.35">
      <c r="A58" s="24">
        <v>43</v>
      </c>
      <c r="B58" s="513" t="str">
        <f>'Schedule 2H Adjustments'!B57:D57</f>
        <v/>
      </c>
      <c r="C58" s="513"/>
      <c r="D58" s="513"/>
      <c r="F58" s="117">
        <f>'Schedule 2H Adjustments'!H57</f>
        <v>0</v>
      </c>
      <c r="G58" s="68">
        <f>'Schedule 2H Adjustments'!J57</f>
        <v>0</v>
      </c>
      <c r="H58" s="68">
        <f t="shared" si="0"/>
        <v>0</v>
      </c>
      <c r="J58" s="117">
        <f>'Schedule 2H Adjustments'!P57</f>
        <v>0</v>
      </c>
      <c r="K58" s="68">
        <f>'Schedule 2H Adjustments'!R57</f>
        <v>0</v>
      </c>
      <c r="L58" s="68">
        <f t="shared" si="1"/>
        <v>0</v>
      </c>
      <c r="N58" s="120">
        <f>'Schedule 2H Adjustments'!X57</f>
        <v>0</v>
      </c>
      <c r="O58" s="120">
        <f>'Schedule 2H Adjustments'!AA57</f>
        <v>0</v>
      </c>
    </row>
    <row r="59" spans="1:15" x14ac:dyDescent="0.35">
      <c r="A59" s="24">
        <v>44</v>
      </c>
      <c r="B59" s="513" t="str">
        <f>'Schedule 2H Adjustments'!B58:D58</f>
        <v/>
      </c>
      <c r="C59" s="513"/>
      <c r="D59" s="513"/>
      <c r="F59" s="117">
        <f>'Schedule 2H Adjustments'!H58</f>
        <v>0</v>
      </c>
      <c r="G59" s="68">
        <f>'Schedule 2H Adjustments'!J58</f>
        <v>0</v>
      </c>
      <c r="H59" s="68">
        <f t="shared" si="0"/>
        <v>0</v>
      </c>
      <c r="J59" s="117">
        <f>'Schedule 2H Adjustments'!P58</f>
        <v>0</v>
      </c>
      <c r="K59" s="68">
        <f>'Schedule 2H Adjustments'!R58</f>
        <v>0</v>
      </c>
      <c r="L59" s="68">
        <f t="shared" si="1"/>
        <v>0</v>
      </c>
      <c r="N59" s="120">
        <f>'Schedule 2H Adjustments'!X58</f>
        <v>0</v>
      </c>
      <c r="O59" s="120">
        <f>'Schedule 2H Adjustments'!AA58</f>
        <v>0</v>
      </c>
    </row>
    <row r="60" spans="1:15" x14ac:dyDescent="0.35">
      <c r="A60" s="24">
        <v>45</v>
      </c>
      <c r="B60" s="513" t="str">
        <f>'Schedule 2H Adjustments'!B59:D59</f>
        <v/>
      </c>
      <c r="C60" s="513"/>
      <c r="D60" s="513"/>
      <c r="F60" s="117">
        <f>'Schedule 2H Adjustments'!H59</f>
        <v>0</v>
      </c>
      <c r="G60" s="68">
        <f>'Schedule 2H Adjustments'!J59</f>
        <v>0</v>
      </c>
      <c r="H60" s="68">
        <f t="shared" si="0"/>
        <v>0</v>
      </c>
      <c r="J60" s="117">
        <f>'Schedule 2H Adjustments'!P59</f>
        <v>0</v>
      </c>
      <c r="K60" s="68">
        <f>'Schedule 2H Adjustments'!R59</f>
        <v>0</v>
      </c>
      <c r="L60" s="68">
        <f t="shared" si="1"/>
        <v>0</v>
      </c>
      <c r="N60" s="120">
        <f>'Schedule 2H Adjustments'!X59</f>
        <v>0</v>
      </c>
      <c r="O60" s="120">
        <f>'Schedule 2H Adjustments'!AA59</f>
        <v>0</v>
      </c>
    </row>
    <row r="61" spans="1:15" x14ac:dyDescent="0.35">
      <c r="A61" s="24">
        <v>46</v>
      </c>
      <c r="B61" s="513" t="str">
        <f>'Schedule 2H Adjustments'!B60:D60</f>
        <v/>
      </c>
      <c r="C61" s="513"/>
      <c r="D61" s="513"/>
      <c r="F61" s="117">
        <f>'Schedule 2H Adjustments'!H60</f>
        <v>0</v>
      </c>
      <c r="G61" s="68">
        <f>'Schedule 2H Adjustments'!J60</f>
        <v>0</v>
      </c>
      <c r="H61" s="68">
        <f t="shared" si="0"/>
        <v>0</v>
      </c>
      <c r="J61" s="117">
        <f>'Schedule 2H Adjustments'!P60</f>
        <v>0</v>
      </c>
      <c r="K61" s="68">
        <f>'Schedule 2H Adjustments'!R60</f>
        <v>0</v>
      </c>
      <c r="L61" s="68">
        <f t="shared" si="1"/>
        <v>0</v>
      </c>
      <c r="N61" s="120">
        <f>'Schedule 2H Adjustments'!X60</f>
        <v>0</v>
      </c>
      <c r="O61" s="120">
        <f>'Schedule 2H Adjustments'!AA60</f>
        <v>0</v>
      </c>
    </row>
    <row r="62" spans="1:15" x14ac:dyDescent="0.35">
      <c r="A62" s="24">
        <v>47</v>
      </c>
      <c r="B62" s="513" t="str">
        <f>'Schedule 2H Adjustments'!B61:D61</f>
        <v/>
      </c>
      <c r="C62" s="513"/>
      <c r="D62" s="513"/>
      <c r="F62" s="117">
        <f>'Schedule 2H Adjustments'!H61</f>
        <v>0</v>
      </c>
      <c r="G62" s="68">
        <f>'Schedule 2H Adjustments'!J61</f>
        <v>0</v>
      </c>
      <c r="H62" s="68">
        <f t="shared" si="0"/>
        <v>0</v>
      </c>
      <c r="J62" s="117">
        <f>'Schedule 2H Adjustments'!P61</f>
        <v>0</v>
      </c>
      <c r="K62" s="68">
        <f>'Schedule 2H Adjustments'!R61</f>
        <v>0</v>
      </c>
      <c r="L62" s="68">
        <f t="shared" si="1"/>
        <v>0</v>
      </c>
      <c r="N62" s="120">
        <f>'Schedule 2H Adjustments'!X61</f>
        <v>0</v>
      </c>
      <c r="O62" s="120">
        <f>'Schedule 2H Adjustments'!AA61</f>
        <v>0</v>
      </c>
    </row>
    <row r="63" spans="1:15" x14ac:dyDescent="0.35">
      <c r="A63" s="24">
        <v>48</v>
      </c>
      <c r="B63" s="513" t="str">
        <f>'Schedule 2H Adjustments'!B62:D62</f>
        <v/>
      </c>
      <c r="C63" s="513"/>
      <c r="D63" s="513"/>
      <c r="F63" s="117">
        <f>'Schedule 2H Adjustments'!H62</f>
        <v>0</v>
      </c>
      <c r="G63" s="68">
        <f>'Schedule 2H Adjustments'!J62</f>
        <v>0</v>
      </c>
      <c r="H63" s="68">
        <f t="shared" si="0"/>
        <v>0</v>
      </c>
      <c r="J63" s="117">
        <f>'Schedule 2H Adjustments'!P62</f>
        <v>0</v>
      </c>
      <c r="K63" s="68">
        <f>'Schedule 2H Adjustments'!R62</f>
        <v>0</v>
      </c>
      <c r="L63" s="68">
        <f t="shared" si="1"/>
        <v>0</v>
      </c>
      <c r="N63" s="120">
        <f>'Schedule 2H Adjustments'!X62</f>
        <v>0</v>
      </c>
      <c r="O63" s="120">
        <f>'Schedule 2H Adjustments'!AA62</f>
        <v>0</v>
      </c>
    </row>
    <row r="64" spans="1:15" x14ac:dyDescent="0.35">
      <c r="A64" s="24">
        <v>49</v>
      </c>
      <c r="B64" s="513" t="str">
        <f>'Schedule 2H Adjustments'!B63:D63</f>
        <v/>
      </c>
      <c r="C64" s="513"/>
      <c r="D64" s="513"/>
      <c r="F64" s="117">
        <f>'Schedule 2H Adjustments'!H63</f>
        <v>0</v>
      </c>
      <c r="G64" s="68">
        <f>'Schedule 2H Adjustments'!J63</f>
        <v>0</v>
      </c>
      <c r="H64" s="68">
        <f t="shared" si="0"/>
        <v>0</v>
      </c>
      <c r="J64" s="117">
        <f>'Schedule 2H Adjustments'!P63</f>
        <v>0</v>
      </c>
      <c r="K64" s="68">
        <f>'Schedule 2H Adjustments'!R63</f>
        <v>0</v>
      </c>
      <c r="L64" s="68">
        <f t="shared" si="1"/>
        <v>0</v>
      </c>
      <c r="N64" s="120">
        <f>'Schedule 2H Adjustments'!X63</f>
        <v>0</v>
      </c>
      <c r="O64" s="120">
        <f>'Schedule 2H Adjustments'!AA63</f>
        <v>0</v>
      </c>
    </row>
    <row r="65" spans="1:15" x14ac:dyDescent="0.35">
      <c r="A65" s="24">
        <v>50</v>
      </c>
      <c r="B65" s="513" t="str">
        <f>'Schedule 2H Adjustments'!B64:D64</f>
        <v/>
      </c>
      <c r="C65" s="513"/>
      <c r="D65" s="513"/>
      <c r="F65" s="117">
        <f>'Schedule 2H Adjustments'!H64</f>
        <v>0</v>
      </c>
      <c r="G65" s="68">
        <f>'Schedule 2H Adjustments'!J64</f>
        <v>0</v>
      </c>
      <c r="H65" s="68">
        <f t="shared" si="0"/>
        <v>0</v>
      </c>
      <c r="J65" s="117">
        <f>'Schedule 2H Adjustments'!P64</f>
        <v>0</v>
      </c>
      <c r="K65" s="68">
        <f>'Schedule 2H Adjustments'!R64</f>
        <v>0</v>
      </c>
      <c r="L65" s="68">
        <f t="shared" si="1"/>
        <v>0</v>
      </c>
      <c r="N65" s="120">
        <f>'Schedule 2H Adjustments'!X64</f>
        <v>0</v>
      </c>
      <c r="O65" s="120">
        <f>'Schedule 2H Adjustments'!AA64</f>
        <v>0</v>
      </c>
    </row>
    <row r="66" spans="1:15" x14ac:dyDescent="0.35">
      <c r="A66" s="24">
        <v>51</v>
      </c>
      <c r="B66" s="513" t="str">
        <f>'Schedule 2H Adjustments'!B65:D65</f>
        <v/>
      </c>
      <c r="C66" s="513"/>
      <c r="D66" s="513"/>
      <c r="F66" s="117">
        <f>'Schedule 2H Adjustments'!H65</f>
        <v>0</v>
      </c>
      <c r="G66" s="68">
        <f>'Schedule 2H Adjustments'!J65</f>
        <v>0</v>
      </c>
      <c r="H66" s="68">
        <f t="shared" si="0"/>
        <v>0</v>
      </c>
      <c r="J66" s="117">
        <f>'Schedule 2H Adjustments'!P65</f>
        <v>0</v>
      </c>
      <c r="K66" s="68">
        <f>'Schedule 2H Adjustments'!R65</f>
        <v>0</v>
      </c>
      <c r="L66" s="68">
        <f t="shared" si="1"/>
        <v>0</v>
      </c>
      <c r="N66" s="120">
        <f>'Schedule 2H Adjustments'!X65</f>
        <v>0</v>
      </c>
      <c r="O66" s="120">
        <f>'Schedule 2H Adjustments'!AA65</f>
        <v>0</v>
      </c>
    </row>
    <row r="67" spans="1:15" x14ac:dyDescent="0.35">
      <c r="A67" s="24">
        <v>52</v>
      </c>
      <c r="B67" s="513" t="str">
        <f>'Schedule 2H Adjustments'!B66:D66</f>
        <v/>
      </c>
      <c r="C67" s="513"/>
      <c r="D67" s="513"/>
      <c r="F67" s="117">
        <f>'Schedule 2H Adjustments'!H66</f>
        <v>0</v>
      </c>
      <c r="G67" s="68">
        <f>'Schedule 2H Adjustments'!J66</f>
        <v>0</v>
      </c>
      <c r="H67" s="68">
        <f t="shared" si="0"/>
        <v>0</v>
      </c>
      <c r="J67" s="117">
        <f>'Schedule 2H Adjustments'!P66</f>
        <v>0</v>
      </c>
      <c r="K67" s="68">
        <f>'Schedule 2H Adjustments'!R66</f>
        <v>0</v>
      </c>
      <c r="L67" s="68">
        <f t="shared" si="1"/>
        <v>0</v>
      </c>
      <c r="N67" s="120">
        <f>'Schedule 2H Adjustments'!X66</f>
        <v>0</v>
      </c>
      <c r="O67" s="120">
        <f>'Schedule 2H Adjustments'!AA66</f>
        <v>0</v>
      </c>
    </row>
    <row r="68" spans="1:15" x14ac:dyDescent="0.35">
      <c r="A68" s="24">
        <v>53</v>
      </c>
      <c r="B68" s="513" t="str">
        <f>'Schedule 2H Adjustments'!B67:D67</f>
        <v/>
      </c>
      <c r="C68" s="513"/>
      <c r="D68" s="513"/>
      <c r="F68" s="117">
        <f>'Schedule 2H Adjustments'!H67</f>
        <v>0</v>
      </c>
      <c r="G68" s="68">
        <f>'Schedule 2H Adjustments'!J67</f>
        <v>0</v>
      </c>
      <c r="H68" s="68">
        <f t="shared" si="0"/>
        <v>0</v>
      </c>
      <c r="J68" s="117">
        <f>'Schedule 2H Adjustments'!P67</f>
        <v>0</v>
      </c>
      <c r="K68" s="68">
        <f>'Schedule 2H Adjustments'!R67</f>
        <v>0</v>
      </c>
      <c r="L68" s="68">
        <f t="shared" si="1"/>
        <v>0</v>
      </c>
      <c r="N68" s="120">
        <f>'Schedule 2H Adjustments'!X67</f>
        <v>0</v>
      </c>
      <c r="O68" s="120">
        <f>'Schedule 2H Adjustments'!AA67</f>
        <v>0</v>
      </c>
    </row>
    <row r="69" spans="1:15" x14ac:dyDescent="0.35">
      <c r="A69" s="24">
        <v>54</v>
      </c>
      <c r="B69" s="513" t="str">
        <f>'Schedule 2H Adjustments'!B68:D68</f>
        <v/>
      </c>
      <c r="C69" s="513"/>
      <c r="D69" s="513"/>
      <c r="F69" s="117">
        <f>'Schedule 2H Adjustments'!H68</f>
        <v>0</v>
      </c>
      <c r="G69" s="68">
        <f>'Schedule 2H Adjustments'!J68</f>
        <v>0</v>
      </c>
      <c r="H69" s="68">
        <f t="shared" si="0"/>
        <v>0</v>
      </c>
      <c r="J69" s="117">
        <f>'Schedule 2H Adjustments'!P68</f>
        <v>0</v>
      </c>
      <c r="K69" s="68">
        <f>'Schedule 2H Adjustments'!R68</f>
        <v>0</v>
      </c>
      <c r="L69" s="68">
        <f t="shared" si="1"/>
        <v>0</v>
      </c>
      <c r="N69" s="120">
        <f>'Schedule 2H Adjustments'!X68</f>
        <v>0</v>
      </c>
      <c r="O69" s="120">
        <f>'Schedule 2H Adjustments'!AA68</f>
        <v>0</v>
      </c>
    </row>
    <row r="70" spans="1:15" x14ac:dyDescent="0.35">
      <c r="A70" s="24">
        <v>55</v>
      </c>
      <c r="B70" s="513" t="str">
        <f>'Schedule 2H Adjustments'!B69:D69</f>
        <v/>
      </c>
      <c r="C70" s="513"/>
      <c r="D70" s="513"/>
      <c r="F70" s="117">
        <f>'Schedule 2H Adjustments'!H69</f>
        <v>0</v>
      </c>
      <c r="G70" s="68">
        <f>'Schedule 2H Adjustments'!J69</f>
        <v>0</v>
      </c>
      <c r="H70" s="68">
        <f t="shared" si="0"/>
        <v>0</v>
      </c>
      <c r="J70" s="117">
        <f>'Schedule 2H Adjustments'!P69</f>
        <v>0</v>
      </c>
      <c r="K70" s="68">
        <f>'Schedule 2H Adjustments'!R69</f>
        <v>0</v>
      </c>
      <c r="L70" s="68">
        <f t="shared" si="1"/>
        <v>0</v>
      </c>
      <c r="N70" s="120">
        <f>'Schedule 2H Adjustments'!X69</f>
        <v>0</v>
      </c>
      <c r="O70" s="120">
        <f>'Schedule 2H Adjustments'!AA69</f>
        <v>0</v>
      </c>
    </row>
    <row r="71" spans="1:15" x14ac:dyDescent="0.35">
      <c r="A71" s="24">
        <v>56</v>
      </c>
      <c r="B71" s="513" t="str">
        <f>'Schedule 2H Adjustments'!B70:D70</f>
        <v/>
      </c>
      <c r="C71" s="513"/>
      <c r="D71" s="513"/>
      <c r="F71" s="117">
        <f>'Schedule 2H Adjustments'!H70</f>
        <v>0</v>
      </c>
      <c r="G71" s="68">
        <f>'Schedule 2H Adjustments'!J70</f>
        <v>0</v>
      </c>
      <c r="H71" s="68">
        <f t="shared" si="0"/>
        <v>0</v>
      </c>
      <c r="J71" s="117">
        <f>'Schedule 2H Adjustments'!P70</f>
        <v>0</v>
      </c>
      <c r="K71" s="68">
        <f>'Schedule 2H Adjustments'!R70</f>
        <v>0</v>
      </c>
      <c r="L71" s="68">
        <f t="shared" si="1"/>
        <v>0</v>
      </c>
      <c r="N71" s="120">
        <f>'Schedule 2H Adjustments'!X70</f>
        <v>0</v>
      </c>
      <c r="O71" s="120">
        <f>'Schedule 2H Adjustments'!AA70</f>
        <v>0</v>
      </c>
    </row>
    <row r="72" spans="1:15" x14ac:dyDescent="0.35">
      <c r="A72" s="24">
        <v>57</v>
      </c>
      <c r="B72" s="513" t="str">
        <f>'Schedule 2H Adjustments'!B71:D71</f>
        <v/>
      </c>
      <c r="C72" s="513"/>
      <c r="D72" s="513"/>
      <c r="F72" s="117">
        <f>'Schedule 2H Adjustments'!H71</f>
        <v>0</v>
      </c>
      <c r="G72" s="68">
        <f>'Schedule 2H Adjustments'!J71</f>
        <v>0</v>
      </c>
      <c r="H72" s="68">
        <f t="shared" si="0"/>
        <v>0</v>
      </c>
      <c r="J72" s="117">
        <f>'Schedule 2H Adjustments'!P71</f>
        <v>0</v>
      </c>
      <c r="K72" s="68">
        <f>'Schedule 2H Adjustments'!R71</f>
        <v>0</v>
      </c>
      <c r="L72" s="68">
        <f t="shared" si="1"/>
        <v>0</v>
      </c>
      <c r="N72" s="120">
        <f>'Schedule 2H Adjustments'!X71</f>
        <v>0</v>
      </c>
      <c r="O72" s="120">
        <f>'Schedule 2H Adjustments'!AA71</f>
        <v>0</v>
      </c>
    </row>
    <row r="73" spans="1:15" x14ac:dyDescent="0.35">
      <c r="A73" s="24">
        <v>58</v>
      </c>
      <c r="B73" s="513" t="str">
        <f>'Schedule 2H Adjustments'!B72:D72</f>
        <v/>
      </c>
      <c r="C73" s="513"/>
      <c r="D73" s="513"/>
      <c r="F73" s="117">
        <f>'Schedule 2H Adjustments'!H72</f>
        <v>0</v>
      </c>
      <c r="G73" s="68">
        <f>'Schedule 2H Adjustments'!J72</f>
        <v>0</v>
      </c>
      <c r="H73" s="68">
        <f t="shared" si="0"/>
        <v>0</v>
      </c>
      <c r="J73" s="117">
        <f>'Schedule 2H Adjustments'!P72</f>
        <v>0</v>
      </c>
      <c r="K73" s="68">
        <f>'Schedule 2H Adjustments'!R72</f>
        <v>0</v>
      </c>
      <c r="L73" s="68">
        <f t="shared" si="1"/>
        <v>0</v>
      </c>
      <c r="N73" s="120">
        <f>'Schedule 2H Adjustments'!X72</f>
        <v>0</v>
      </c>
      <c r="O73" s="120">
        <f>'Schedule 2H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9">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852</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Health Solutions</v>
      </c>
    </row>
    <row r="7" spans="1:15" x14ac:dyDescent="0.35">
      <c r="A7" s="1" t="s">
        <v>0</v>
      </c>
      <c r="C7" s="35">
        <f>Results!$C$7</f>
        <v>45473</v>
      </c>
      <c r="F7" s="35"/>
    </row>
    <row r="9" spans="1:15" x14ac:dyDescent="0.35">
      <c r="A9" s="1" t="s">
        <v>253</v>
      </c>
      <c r="B9" s="1" t="s">
        <v>822</v>
      </c>
      <c r="C9" s="1"/>
      <c r="F9" s="119" t="str">
        <f>'Schedule 2I Adjustments'!F8</f>
        <v>Yes/No</v>
      </c>
      <c r="G9" s="41" t="s">
        <v>259</v>
      </c>
    </row>
    <row r="11" spans="1:15" x14ac:dyDescent="0.35">
      <c r="A11" s="1" t="s">
        <v>254</v>
      </c>
      <c r="B11" s="1" t="s">
        <v>256</v>
      </c>
      <c r="C11" s="1"/>
    </row>
    <row r="12" spans="1:15" x14ac:dyDescent="0.35">
      <c r="B12" s="318" t="s">
        <v>598</v>
      </c>
    </row>
    <row r="13" spans="1:15" x14ac:dyDescent="0.35">
      <c r="B13" s="508">
        <v>1</v>
      </c>
      <c r="C13" s="508"/>
      <c r="D13" s="508"/>
      <c r="F13" s="23">
        <v>2</v>
      </c>
      <c r="G13" s="23">
        <v>3</v>
      </c>
      <c r="H13" s="23">
        <v>4</v>
      </c>
      <c r="J13" s="23">
        <v>5</v>
      </c>
      <c r="K13" s="23">
        <v>6</v>
      </c>
      <c r="L13" s="23">
        <v>7</v>
      </c>
      <c r="N13" s="23">
        <v>8</v>
      </c>
      <c r="O13" s="23">
        <v>9</v>
      </c>
    </row>
    <row r="14" spans="1:15" ht="15" customHeight="1" x14ac:dyDescent="0.35">
      <c r="B14" s="517" t="s">
        <v>612</v>
      </c>
      <c r="C14" s="518"/>
      <c r="D14" s="519"/>
      <c r="F14" s="511" t="s">
        <v>261</v>
      </c>
      <c r="G14" s="516"/>
      <c r="H14" s="512"/>
      <c r="J14" s="511" t="s">
        <v>262</v>
      </c>
      <c r="K14" s="516"/>
      <c r="L14" s="512"/>
      <c r="N14" s="514" t="s">
        <v>692</v>
      </c>
      <c r="O14" s="514" t="s">
        <v>693</v>
      </c>
    </row>
    <row r="15" spans="1:15" ht="55.5" customHeight="1" x14ac:dyDescent="0.35">
      <c r="B15" s="520"/>
      <c r="C15" s="521"/>
      <c r="D15" s="522"/>
      <c r="E15" s="48"/>
      <c r="F15" s="10" t="s">
        <v>689</v>
      </c>
      <c r="G15" s="151" t="s">
        <v>690</v>
      </c>
      <c r="H15" s="151" t="s">
        <v>691</v>
      </c>
      <c r="I15" s="100"/>
      <c r="J15" s="10" t="s">
        <v>689</v>
      </c>
      <c r="K15" s="151" t="s">
        <v>690</v>
      </c>
      <c r="L15" s="151" t="s">
        <v>691</v>
      </c>
      <c r="M15" s="48"/>
      <c r="N15" s="515"/>
      <c r="O15" s="515"/>
    </row>
    <row r="16" spans="1:15" x14ac:dyDescent="0.35">
      <c r="A16" s="24">
        <v>1</v>
      </c>
      <c r="B16" s="513" t="str">
        <f>'Schedule 2I Adjustments'!B15:D15</f>
        <v/>
      </c>
      <c r="C16" s="513"/>
      <c r="D16" s="513"/>
      <c r="F16" s="117">
        <f>'Schedule 2I Adjustments'!H15</f>
        <v>0</v>
      </c>
      <c r="G16" s="68">
        <f>'Schedule 2I Adjustments'!J15</f>
        <v>0</v>
      </c>
      <c r="H16" s="68">
        <f>SUM(F16:G16)</f>
        <v>0</v>
      </c>
      <c r="J16" s="117">
        <f>'Schedule 2I Adjustments'!P15</f>
        <v>0</v>
      </c>
      <c r="K16" s="68">
        <f>'Schedule 2I Adjustments'!R15</f>
        <v>0</v>
      </c>
      <c r="L16" s="68">
        <f>SUM(J16:K16)</f>
        <v>0</v>
      </c>
      <c r="N16" s="120">
        <f>'Schedule 2I Adjustments'!X15</f>
        <v>0</v>
      </c>
      <c r="O16" s="120">
        <f>'Schedule 2I Adjustments'!AA15</f>
        <v>0</v>
      </c>
    </row>
    <row r="17" spans="1:15" x14ac:dyDescent="0.35">
      <c r="A17" s="24">
        <v>2</v>
      </c>
      <c r="B17" s="513" t="str">
        <f>'Schedule 2I Adjustments'!B16:D16</f>
        <v/>
      </c>
      <c r="C17" s="513"/>
      <c r="D17" s="513"/>
      <c r="F17" s="117">
        <f>'Schedule 2I Adjustments'!H16</f>
        <v>0</v>
      </c>
      <c r="G17" s="68">
        <f>'Schedule 2I Adjustments'!J16</f>
        <v>0</v>
      </c>
      <c r="H17" s="68">
        <f t="shared" ref="H17:H73" si="0">SUM(F17:G17)</f>
        <v>0</v>
      </c>
      <c r="J17" s="117">
        <f>'Schedule 2I Adjustments'!P16</f>
        <v>0</v>
      </c>
      <c r="K17" s="68">
        <f>'Schedule 2I Adjustments'!R16</f>
        <v>0</v>
      </c>
      <c r="L17" s="68">
        <f t="shared" ref="L17:L73" si="1">SUM(J17:K17)</f>
        <v>0</v>
      </c>
      <c r="N17" s="120">
        <f>'Schedule 2I Adjustments'!X16</f>
        <v>0</v>
      </c>
      <c r="O17" s="120">
        <f>'Schedule 2I Adjustments'!AA16</f>
        <v>0</v>
      </c>
    </row>
    <row r="18" spans="1:15" x14ac:dyDescent="0.35">
      <c r="A18" s="24">
        <v>3</v>
      </c>
      <c r="B18" s="513" t="str">
        <f>'Schedule 2I Adjustments'!B17:D17</f>
        <v/>
      </c>
      <c r="C18" s="513"/>
      <c r="D18" s="513"/>
      <c r="F18" s="117">
        <f>'Schedule 2I Adjustments'!H17</f>
        <v>0</v>
      </c>
      <c r="G18" s="68">
        <f>'Schedule 2I Adjustments'!J17</f>
        <v>0</v>
      </c>
      <c r="H18" s="68">
        <f t="shared" si="0"/>
        <v>0</v>
      </c>
      <c r="J18" s="117">
        <f>'Schedule 2I Adjustments'!P17</f>
        <v>0</v>
      </c>
      <c r="K18" s="68">
        <f>'Schedule 2I Adjustments'!R17</f>
        <v>0</v>
      </c>
      <c r="L18" s="68">
        <f t="shared" si="1"/>
        <v>0</v>
      </c>
      <c r="N18" s="120">
        <f>'Schedule 2I Adjustments'!X17</f>
        <v>0</v>
      </c>
      <c r="O18" s="120">
        <f>'Schedule 2I Adjustments'!AA17</f>
        <v>0</v>
      </c>
    </row>
    <row r="19" spans="1:15" x14ac:dyDescent="0.35">
      <c r="A19" s="24">
        <v>4</v>
      </c>
      <c r="B19" s="513" t="str">
        <f>'Schedule 2I Adjustments'!B18:D18</f>
        <v/>
      </c>
      <c r="C19" s="513"/>
      <c r="D19" s="513"/>
      <c r="F19" s="117">
        <f>'Schedule 2I Adjustments'!H18</f>
        <v>0</v>
      </c>
      <c r="G19" s="68">
        <f>'Schedule 2I Adjustments'!J18</f>
        <v>0</v>
      </c>
      <c r="H19" s="68">
        <f t="shared" si="0"/>
        <v>0</v>
      </c>
      <c r="J19" s="117">
        <f>'Schedule 2I Adjustments'!P18</f>
        <v>0</v>
      </c>
      <c r="K19" s="68">
        <f>'Schedule 2I Adjustments'!R18</f>
        <v>0</v>
      </c>
      <c r="L19" s="68">
        <f t="shared" si="1"/>
        <v>0</v>
      </c>
      <c r="N19" s="120">
        <f>'Schedule 2I Adjustments'!X18</f>
        <v>0</v>
      </c>
      <c r="O19" s="120">
        <f>'Schedule 2I Adjustments'!AA18</f>
        <v>0</v>
      </c>
    </row>
    <row r="20" spans="1:15" x14ac:dyDescent="0.35">
      <c r="A20" s="24">
        <v>5</v>
      </c>
      <c r="B20" s="513" t="str">
        <f>'Schedule 2I Adjustments'!B19:D19</f>
        <v/>
      </c>
      <c r="C20" s="513"/>
      <c r="D20" s="513"/>
      <c r="F20" s="117">
        <f>'Schedule 2I Adjustments'!H19</f>
        <v>0</v>
      </c>
      <c r="G20" s="68">
        <f>'Schedule 2I Adjustments'!J19</f>
        <v>0</v>
      </c>
      <c r="H20" s="68">
        <f t="shared" si="0"/>
        <v>0</v>
      </c>
      <c r="J20" s="117">
        <f>'Schedule 2I Adjustments'!P19</f>
        <v>0</v>
      </c>
      <c r="K20" s="68">
        <f>'Schedule 2I Adjustments'!R19</f>
        <v>0</v>
      </c>
      <c r="L20" s="68">
        <f t="shared" si="1"/>
        <v>0</v>
      </c>
      <c r="N20" s="120">
        <f>'Schedule 2I Adjustments'!X19</f>
        <v>0</v>
      </c>
      <c r="O20" s="120">
        <f>'Schedule 2I Adjustments'!AA19</f>
        <v>0</v>
      </c>
    </row>
    <row r="21" spans="1:15" x14ac:dyDescent="0.35">
      <c r="A21" s="24">
        <v>6</v>
      </c>
      <c r="B21" s="513" t="str">
        <f>'Schedule 2I Adjustments'!B20:D20</f>
        <v/>
      </c>
      <c r="C21" s="513"/>
      <c r="D21" s="513"/>
      <c r="F21" s="117">
        <f>'Schedule 2I Adjustments'!H20</f>
        <v>0</v>
      </c>
      <c r="G21" s="68">
        <f>'Schedule 2I Adjustments'!J20</f>
        <v>0</v>
      </c>
      <c r="H21" s="68">
        <f t="shared" si="0"/>
        <v>0</v>
      </c>
      <c r="J21" s="117">
        <f>'Schedule 2I Adjustments'!P20</f>
        <v>0</v>
      </c>
      <c r="K21" s="68">
        <f>'Schedule 2I Adjustments'!R20</f>
        <v>0</v>
      </c>
      <c r="L21" s="68">
        <f t="shared" si="1"/>
        <v>0</v>
      </c>
      <c r="N21" s="120">
        <f>'Schedule 2I Adjustments'!X20</f>
        <v>0</v>
      </c>
      <c r="O21" s="120">
        <f>'Schedule 2I Adjustments'!AA20</f>
        <v>0</v>
      </c>
    </row>
    <row r="22" spans="1:15" x14ac:dyDescent="0.35">
      <c r="A22" s="24">
        <v>7</v>
      </c>
      <c r="B22" s="513" t="str">
        <f>'Schedule 2I Adjustments'!B21:D21</f>
        <v/>
      </c>
      <c r="C22" s="513"/>
      <c r="D22" s="513"/>
      <c r="F22" s="117">
        <f>'Schedule 2I Adjustments'!H21</f>
        <v>0</v>
      </c>
      <c r="G22" s="68">
        <f>'Schedule 2I Adjustments'!J21</f>
        <v>0</v>
      </c>
      <c r="H22" s="68">
        <f t="shared" si="0"/>
        <v>0</v>
      </c>
      <c r="J22" s="117">
        <f>'Schedule 2I Adjustments'!P21</f>
        <v>0</v>
      </c>
      <c r="K22" s="68">
        <f>'Schedule 2I Adjustments'!R21</f>
        <v>0</v>
      </c>
      <c r="L22" s="68">
        <f t="shared" si="1"/>
        <v>0</v>
      </c>
      <c r="N22" s="120">
        <f>'Schedule 2I Adjustments'!X21</f>
        <v>0</v>
      </c>
      <c r="O22" s="120">
        <f>'Schedule 2I Adjustments'!AA21</f>
        <v>0</v>
      </c>
    </row>
    <row r="23" spans="1:15" x14ac:dyDescent="0.35">
      <c r="A23" s="24">
        <v>8</v>
      </c>
      <c r="B23" s="513" t="str">
        <f>'Schedule 2I Adjustments'!B22:D22</f>
        <v/>
      </c>
      <c r="C23" s="513"/>
      <c r="D23" s="513"/>
      <c r="F23" s="117">
        <f>'Schedule 2I Adjustments'!H22</f>
        <v>0</v>
      </c>
      <c r="G23" s="68">
        <f>'Schedule 2I Adjustments'!J22</f>
        <v>0</v>
      </c>
      <c r="H23" s="68">
        <f t="shared" si="0"/>
        <v>0</v>
      </c>
      <c r="J23" s="117">
        <f>'Schedule 2I Adjustments'!P22</f>
        <v>0</v>
      </c>
      <c r="K23" s="68">
        <f>'Schedule 2I Adjustments'!R22</f>
        <v>0</v>
      </c>
      <c r="L23" s="68">
        <f t="shared" si="1"/>
        <v>0</v>
      </c>
      <c r="N23" s="120">
        <f>'Schedule 2I Adjustments'!X22</f>
        <v>0</v>
      </c>
      <c r="O23" s="120">
        <f>'Schedule 2I Adjustments'!AA22</f>
        <v>0</v>
      </c>
    </row>
    <row r="24" spans="1:15" x14ac:dyDescent="0.35">
      <c r="A24" s="24">
        <v>9</v>
      </c>
      <c r="B24" s="513" t="str">
        <f>'Schedule 2I Adjustments'!B23:D23</f>
        <v/>
      </c>
      <c r="C24" s="513"/>
      <c r="D24" s="513"/>
      <c r="F24" s="117">
        <f>'Schedule 2I Adjustments'!H23</f>
        <v>0</v>
      </c>
      <c r="G24" s="68">
        <f>'Schedule 2I Adjustments'!J23</f>
        <v>0</v>
      </c>
      <c r="H24" s="68">
        <f t="shared" si="0"/>
        <v>0</v>
      </c>
      <c r="J24" s="117">
        <f>'Schedule 2I Adjustments'!P23</f>
        <v>0</v>
      </c>
      <c r="K24" s="68">
        <f>'Schedule 2I Adjustments'!R23</f>
        <v>0</v>
      </c>
      <c r="L24" s="68">
        <f t="shared" si="1"/>
        <v>0</v>
      </c>
      <c r="N24" s="120">
        <f>'Schedule 2I Adjustments'!X23</f>
        <v>0</v>
      </c>
      <c r="O24" s="120">
        <f>'Schedule 2I Adjustments'!AA23</f>
        <v>0</v>
      </c>
    </row>
    <row r="25" spans="1:15" x14ac:dyDescent="0.35">
      <c r="A25" s="24">
        <v>10</v>
      </c>
      <c r="B25" s="513" t="str">
        <f>'Schedule 2I Adjustments'!B24:D24</f>
        <v/>
      </c>
      <c r="C25" s="513"/>
      <c r="D25" s="513"/>
      <c r="F25" s="117">
        <f>'Schedule 2I Adjustments'!H24</f>
        <v>0</v>
      </c>
      <c r="G25" s="68">
        <f>'Schedule 2I Adjustments'!J24</f>
        <v>0</v>
      </c>
      <c r="H25" s="68">
        <f t="shared" si="0"/>
        <v>0</v>
      </c>
      <c r="J25" s="117">
        <f>'Schedule 2I Adjustments'!P24</f>
        <v>0</v>
      </c>
      <c r="K25" s="68">
        <f>'Schedule 2I Adjustments'!R24</f>
        <v>0</v>
      </c>
      <c r="L25" s="68">
        <f t="shared" si="1"/>
        <v>0</v>
      </c>
      <c r="N25" s="120">
        <f>'Schedule 2I Adjustments'!X24</f>
        <v>0</v>
      </c>
      <c r="O25" s="120">
        <f>'Schedule 2I Adjustments'!AA24</f>
        <v>0</v>
      </c>
    </row>
    <row r="26" spans="1:15" x14ac:dyDescent="0.35">
      <c r="A26" s="24">
        <v>11</v>
      </c>
      <c r="B26" s="513" t="str">
        <f>'Schedule 2I Adjustments'!B25:D25</f>
        <v/>
      </c>
      <c r="C26" s="513"/>
      <c r="D26" s="513"/>
      <c r="F26" s="117">
        <f>'Schedule 2I Adjustments'!H25</f>
        <v>0</v>
      </c>
      <c r="G26" s="68">
        <f>'Schedule 2I Adjustments'!J25</f>
        <v>0</v>
      </c>
      <c r="H26" s="68">
        <f t="shared" si="0"/>
        <v>0</v>
      </c>
      <c r="J26" s="117">
        <f>'Schedule 2I Adjustments'!P25</f>
        <v>0</v>
      </c>
      <c r="K26" s="68">
        <f>'Schedule 2I Adjustments'!R25</f>
        <v>0</v>
      </c>
      <c r="L26" s="68">
        <f t="shared" si="1"/>
        <v>0</v>
      </c>
      <c r="N26" s="120">
        <f>'Schedule 2I Adjustments'!X25</f>
        <v>0</v>
      </c>
      <c r="O26" s="120">
        <f>'Schedule 2I Adjustments'!AA25</f>
        <v>0</v>
      </c>
    </row>
    <row r="27" spans="1:15" x14ac:dyDescent="0.35">
      <c r="A27" s="24">
        <v>12</v>
      </c>
      <c r="B27" s="513" t="str">
        <f>'Schedule 2I Adjustments'!B26:D26</f>
        <v/>
      </c>
      <c r="C27" s="513"/>
      <c r="D27" s="513"/>
      <c r="F27" s="117">
        <f>'Schedule 2I Adjustments'!H26</f>
        <v>0</v>
      </c>
      <c r="G27" s="68">
        <f>'Schedule 2I Adjustments'!J26</f>
        <v>0</v>
      </c>
      <c r="H27" s="68">
        <f t="shared" si="0"/>
        <v>0</v>
      </c>
      <c r="J27" s="117">
        <f>'Schedule 2I Adjustments'!P26</f>
        <v>0</v>
      </c>
      <c r="K27" s="68">
        <f>'Schedule 2I Adjustments'!R26</f>
        <v>0</v>
      </c>
      <c r="L27" s="68">
        <f t="shared" si="1"/>
        <v>0</v>
      </c>
      <c r="N27" s="120">
        <f>'Schedule 2I Adjustments'!X26</f>
        <v>0</v>
      </c>
      <c r="O27" s="120">
        <f>'Schedule 2I Adjustments'!AA26</f>
        <v>0</v>
      </c>
    </row>
    <row r="28" spans="1:15" x14ac:dyDescent="0.35">
      <c r="A28" s="24">
        <v>13</v>
      </c>
      <c r="B28" s="513" t="str">
        <f>'Schedule 2I Adjustments'!B27:D27</f>
        <v/>
      </c>
      <c r="C28" s="513"/>
      <c r="D28" s="513"/>
      <c r="F28" s="117">
        <f>'Schedule 2I Adjustments'!H27</f>
        <v>0</v>
      </c>
      <c r="G28" s="68">
        <f>'Schedule 2I Adjustments'!J27</f>
        <v>0</v>
      </c>
      <c r="H28" s="68">
        <f t="shared" si="0"/>
        <v>0</v>
      </c>
      <c r="J28" s="117">
        <f>'Schedule 2I Adjustments'!P27</f>
        <v>0</v>
      </c>
      <c r="K28" s="68">
        <f>'Schedule 2I Adjustments'!R27</f>
        <v>0</v>
      </c>
      <c r="L28" s="68">
        <f t="shared" si="1"/>
        <v>0</v>
      </c>
      <c r="N28" s="120">
        <f>'Schedule 2I Adjustments'!X27</f>
        <v>0</v>
      </c>
      <c r="O28" s="120">
        <f>'Schedule 2I Adjustments'!AA27</f>
        <v>0</v>
      </c>
    </row>
    <row r="29" spans="1:15" x14ac:dyDescent="0.35">
      <c r="A29" s="24">
        <v>14</v>
      </c>
      <c r="B29" s="513" t="str">
        <f>'Schedule 2I Adjustments'!B28:D28</f>
        <v/>
      </c>
      <c r="C29" s="513"/>
      <c r="D29" s="513"/>
      <c r="F29" s="117">
        <f>'Schedule 2I Adjustments'!H28</f>
        <v>0</v>
      </c>
      <c r="G29" s="68">
        <f>'Schedule 2I Adjustments'!J28</f>
        <v>0</v>
      </c>
      <c r="H29" s="68">
        <f t="shared" si="0"/>
        <v>0</v>
      </c>
      <c r="J29" s="117">
        <f>'Schedule 2I Adjustments'!P28</f>
        <v>0</v>
      </c>
      <c r="K29" s="68">
        <f>'Schedule 2I Adjustments'!R28</f>
        <v>0</v>
      </c>
      <c r="L29" s="68">
        <f t="shared" si="1"/>
        <v>0</v>
      </c>
      <c r="N29" s="120">
        <f>'Schedule 2I Adjustments'!X28</f>
        <v>0</v>
      </c>
      <c r="O29" s="120">
        <f>'Schedule 2I Adjustments'!AA28</f>
        <v>0</v>
      </c>
    </row>
    <row r="30" spans="1:15" x14ac:dyDescent="0.35">
      <c r="A30" s="24">
        <v>15</v>
      </c>
      <c r="B30" s="513" t="str">
        <f>'Schedule 2I Adjustments'!B29:D29</f>
        <v/>
      </c>
      <c r="C30" s="513"/>
      <c r="D30" s="513"/>
      <c r="F30" s="117">
        <f>'Schedule 2I Adjustments'!H29</f>
        <v>0</v>
      </c>
      <c r="G30" s="68">
        <f>'Schedule 2I Adjustments'!J29</f>
        <v>0</v>
      </c>
      <c r="H30" s="68">
        <f t="shared" si="0"/>
        <v>0</v>
      </c>
      <c r="J30" s="117">
        <f>'Schedule 2I Adjustments'!P29</f>
        <v>0</v>
      </c>
      <c r="K30" s="68">
        <f>'Schedule 2I Adjustments'!R29</f>
        <v>0</v>
      </c>
      <c r="L30" s="68">
        <f t="shared" si="1"/>
        <v>0</v>
      </c>
      <c r="N30" s="120">
        <f>'Schedule 2I Adjustments'!X29</f>
        <v>0</v>
      </c>
      <c r="O30" s="120">
        <f>'Schedule 2I Adjustments'!AA29</f>
        <v>0</v>
      </c>
    </row>
    <row r="31" spans="1:15" x14ac:dyDescent="0.35">
      <c r="A31" s="24">
        <v>16</v>
      </c>
      <c r="B31" s="513" t="str">
        <f>'Schedule 2I Adjustments'!B30:D30</f>
        <v/>
      </c>
      <c r="C31" s="513"/>
      <c r="D31" s="513"/>
      <c r="F31" s="117">
        <f>'Schedule 2I Adjustments'!H30</f>
        <v>0</v>
      </c>
      <c r="G31" s="68">
        <f>'Schedule 2I Adjustments'!J30</f>
        <v>0</v>
      </c>
      <c r="H31" s="68">
        <f t="shared" si="0"/>
        <v>0</v>
      </c>
      <c r="J31" s="117">
        <f>'Schedule 2I Adjustments'!P30</f>
        <v>0</v>
      </c>
      <c r="K31" s="68">
        <f>'Schedule 2I Adjustments'!R30</f>
        <v>0</v>
      </c>
      <c r="L31" s="68">
        <f t="shared" si="1"/>
        <v>0</v>
      </c>
      <c r="N31" s="120">
        <f>'Schedule 2I Adjustments'!X30</f>
        <v>0</v>
      </c>
      <c r="O31" s="120">
        <f>'Schedule 2I Adjustments'!AA30</f>
        <v>0</v>
      </c>
    </row>
    <row r="32" spans="1:15" x14ac:dyDescent="0.35">
      <c r="A32" s="24">
        <v>17</v>
      </c>
      <c r="B32" s="513" t="str">
        <f>'Schedule 2I Adjustments'!B31:D31</f>
        <v/>
      </c>
      <c r="C32" s="513"/>
      <c r="D32" s="513"/>
      <c r="F32" s="117">
        <f>'Schedule 2I Adjustments'!H31</f>
        <v>0</v>
      </c>
      <c r="G32" s="68">
        <f>'Schedule 2I Adjustments'!J31</f>
        <v>0</v>
      </c>
      <c r="H32" s="68">
        <f t="shared" si="0"/>
        <v>0</v>
      </c>
      <c r="J32" s="117">
        <f>'Schedule 2I Adjustments'!P31</f>
        <v>0</v>
      </c>
      <c r="K32" s="68">
        <f>'Schedule 2I Adjustments'!R31</f>
        <v>0</v>
      </c>
      <c r="L32" s="68">
        <f t="shared" si="1"/>
        <v>0</v>
      </c>
      <c r="N32" s="120">
        <f>'Schedule 2I Adjustments'!X31</f>
        <v>0</v>
      </c>
      <c r="O32" s="120">
        <f>'Schedule 2I Adjustments'!AA31</f>
        <v>0</v>
      </c>
    </row>
    <row r="33" spans="1:15" x14ac:dyDescent="0.35">
      <c r="A33" s="24">
        <v>18</v>
      </c>
      <c r="B33" s="513" t="str">
        <f>'Schedule 2I Adjustments'!B32:D32</f>
        <v/>
      </c>
      <c r="C33" s="513"/>
      <c r="D33" s="513"/>
      <c r="F33" s="117">
        <f>'Schedule 2I Adjustments'!H32</f>
        <v>0</v>
      </c>
      <c r="G33" s="68">
        <f>'Schedule 2I Adjustments'!J32</f>
        <v>0</v>
      </c>
      <c r="H33" s="68">
        <f t="shared" si="0"/>
        <v>0</v>
      </c>
      <c r="J33" s="117">
        <f>'Schedule 2I Adjustments'!P32</f>
        <v>0</v>
      </c>
      <c r="K33" s="68">
        <f>'Schedule 2I Adjustments'!R32</f>
        <v>0</v>
      </c>
      <c r="L33" s="68">
        <f t="shared" si="1"/>
        <v>0</v>
      </c>
      <c r="N33" s="120">
        <f>'Schedule 2I Adjustments'!X32</f>
        <v>0</v>
      </c>
      <c r="O33" s="120">
        <f>'Schedule 2I Adjustments'!AA32</f>
        <v>0</v>
      </c>
    </row>
    <row r="34" spans="1:15" x14ac:dyDescent="0.35">
      <c r="A34" s="24">
        <v>19</v>
      </c>
      <c r="B34" s="513" t="str">
        <f>'Schedule 2I Adjustments'!B33:D33</f>
        <v/>
      </c>
      <c r="C34" s="513"/>
      <c r="D34" s="513"/>
      <c r="F34" s="117">
        <f>'Schedule 2I Adjustments'!H33</f>
        <v>0</v>
      </c>
      <c r="G34" s="68">
        <f>'Schedule 2I Adjustments'!J33</f>
        <v>0</v>
      </c>
      <c r="H34" s="68">
        <f t="shared" si="0"/>
        <v>0</v>
      </c>
      <c r="J34" s="117">
        <f>'Schedule 2I Adjustments'!P33</f>
        <v>0</v>
      </c>
      <c r="K34" s="68">
        <f>'Schedule 2I Adjustments'!R33</f>
        <v>0</v>
      </c>
      <c r="L34" s="68">
        <f t="shared" si="1"/>
        <v>0</v>
      </c>
      <c r="N34" s="120">
        <f>'Schedule 2I Adjustments'!X33</f>
        <v>0</v>
      </c>
      <c r="O34" s="120">
        <f>'Schedule 2I Adjustments'!AA33</f>
        <v>0</v>
      </c>
    </row>
    <row r="35" spans="1:15" x14ac:dyDescent="0.35">
      <c r="A35" s="24">
        <v>20</v>
      </c>
      <c r="B35" s="513" t="str">
        <f>'Schedule 2I Adjustments'!B34:D34</f>
        <v/>
      </c>
      <c r="C35" s="513"/>
      <c r="D35" s="513"/>
      <c r="F35" s="117">
        <f>'Schedule 2I Adjustments'!H34</f>
        <v>0</v>
      </c>
      <c r="G35" s="68">
        <f>'Schedule 2I Adjustments'!J34</f>
        <v>0</v>
      </c>
      <c r="H35" s="68">
        <f t="shared" si="0"/>
        <v>0</v>
      </c>
      <c r="J35" s="117">
        <f>'Schedule 2I Adjustments'!P34</f>
        <v>0</v>
      </c>
      <c r="K35" s="68">
        <f>'Schedule 2I Adjustments'!R34</f>
        <v>0</v>
      </c>
      <c r="L35" s="68">
        <f t="shared" si="1"/>
        <v>0</v>
      </c>
      <c r="N35" s="120">
        <f>'Schedule 2I Adjustments'!X34</f>
        <v>0</v>
      </c>
      <c r="O35" s="120">
        <f>'Schedule 2I Adjustments'!AA34</f>
        <v>0</v>
      </c>
    </row>
    <row r="36" spans="1:15" x14ac:dyDescent="0.35">
      <c r="A36" s="24">
        <v>21</v>
      </c>
      <c r="B36" s="513" t="str">
        <f>'Schedule 2I Adjustments'!B35:D35</f>
        <v/>
      </c>
      <c r="C36" s="513"/>
      <c r="D36" s="513"/>
      <c r="F36" s="117">
        <f>'Schedule 2I Adjustments'!H35</f>
        <v>0</v>
      </c>
      <c r="G36" s="68">
        <f>'Schedule 2I Adjustments'!J35</f>
        <v>0</v>
      </c>
      <c r="H36" s="68">
        <f t="shared" si="0"/>
        <v>0</v>
      </c>
      <c r="J36" s="117">
        <f>'Schedule 2I Adjustments'!P35</f>
        <v>0</v>
      </c>
      <c r="K36" s="68">
        <f>'Schedule 2I Adjustments'!R35</f>
        <v>0</v>
      </c>
      <c r="L36" s="68">
        <f t="shared" si="1"/>
        <v>0</v>
      </c>
      <c r="N36" s="120">
        <f>'Schedule 2I Adjustments'!X35</f>
        <v>0</v>
      </c>
      <c r="O36" s="120">
        <f>'Schedule 2I Adjustments'!AA35</f>
        <v>0</v>
      </c>
    </row>
    <row r="37" spans="1:15" x14ac:dyDescent="0.35">
      <c r="A37" s="24">
        <v>22</v>
      </c>
      <c r="B37" s="513" t="str">
        <f>'Schedule 2I Adjustments'!B36:D36</f>
        <v/>
      </c>
      <c r="C37" s="513"/>
      <c r="D37" s="513"/>
      <c r="F37" s="117">
        <f>'Schedule 2I Adjustments'!H36</f>
        <v>0</v>
      </c>
      <c r="G37" s="68">
        <f>'Schedule 2I Adjustments'!J36</f>
        <v>0</v>
      </c>
      <c r="H37" s="68">
        <f t="shared" si="0"/>
        <v>0</v>
      </c>
      <c r="J37" s="117">
        <f>'Schedule 2I Adjustments'!P36</f>
        <v>0</v>
      </c>
      <c r="K37" s="68">
        <f>'Schedule 2I Adjustments'!R36</f>
        <v>0</v>
      </c>
      <c r="L37" s="68">
        <f t="shared" si="1"/>
        <v>0</v>
      </c>
      <c r="N37" s="120">
        <f>'Schedule 2I Adjustments'!X36</f>
        <v>0</v>
      </c>
      <c r="O37" s="120">
        <f>'Schedule 2I Adjustments'!AA36</f>
        <v>0</v>
      </c>
    </row>
    <row r="38" spans="1:15" x14ac:dyDescent="0.35">
      <c r="A38" s="24">
        <v>23</v>
      </c>
      <c r="B38" s="513" t="str">
        <f>'Schedule 2I Adjustments'!B37:D37</f>
        <v/>
      </c>
      <c r="C38" s="513"/>
      <c r="D38" s="513"/>
      <c r="F38" s="117">
        <f>'Schedule 2I Adjustments'!H37</f>
        <v>0</v>
      </c>
      <c r="G38" s="68">
        <f>'Schedule 2I Adjustments'!J37</f>
        <v>0</v>
      </c>
      <c r="H38" s="68">
        <f t="shared" si="0"/>
        <v>0</v>
      </c>
      <c r="J38" s="117">
        <f>'Schedule 2I Adjustments'!P37</f>
        <v>0</v>
      </c>
      <c r="K38" s="68">
        <f>'Schedule 2I Adjustments'!R37</f>
        <v>0</v>
      </c>
      <c r="L38" s="68">
        <f t="shared" si="1"/>
        <v>0</v>
      </c>
      <c r="N38" s="120">
        <f>'Schedule 2I Adjustments'!X37</f>
        <v>0</v>
      </c>
      <c r="O38" s="120">
        <f>'Schedule 2I Adjustments'!AA37</f>
        <v>0</v>
      </c>
    </row>
    <row r="39" spans="1:15" x14ac:dyDescent="0.35">
      <c r="A39" s="24">
        <v>24</v>
      </c>
      <c r="B39" s="513" t="str">
        <f>'Schedule 2I Adjustments'!B38:D38</f>
        <v/>
      </c>
      <c r="C39" s="513"/>
      <c r="D39" s="513"/>
      <c r="F39" s="117">
        <f>'Schedule 2I Adjustments'!H38</f>
        <v>0</v>
      </c>
      <c r="G39" s="68">
        <f>'Schedule 2I Adjustments'!J38</f>
        <v>0</v>
      </c>
      <c r="H39" s="68">
        <f t="shared" si="0"/>
        <v>0</v>
      </c>
      <c r="J39" s="117">
        <f>'Schedule 2I Adjustments'!P38</f>
        <v>0</v>
      </c>
      <c r="K39" s="68">
        <f>'Schedule 2I Adjustments'!R38</f>
        <v>0</v>
      </c>
      <c r="L39" s="68">
        <f t="shared" si="1"/>
        <v>0</v>
      </c>
      <c r="N39" s="120">
        <f>'Schedule 2I Adjustments'!X38</f>
        <v>0</v>
      </c>
      <c r="O39" s="120">
        <f>'Schedule 2I Adjustments'!AA38</f>
        <v>0</v>
      </c>
    </row>
    <row r="40" spans="1:15" x14ac:dyDescent="0.35">
      <c r="A40" s="24">
        <v>25</v>
      </c>
      <c r="B40" s="513" t="str">
        <f>'Schedule 2I Adjustments'!B39:D39</f>
        <v/>
      </c>
      <c r="C40" s="513"/>
      <c r="D40" s="513"/>
      <c r="F40" s="117">
        <f>'Schedule 2I Adjustments'!H39</f>
        <v>0</v>
      </c>
      <c r="G40" s="68">
        <f>'Schedule 2I Adjustments'!J39</f>
        <v>0</v>
      </c>
      <c r="H40" s="68">
        <f t="shared" si="0"/>
        <v>0</v>
      </c>
      <c r="J40" s="117">
        <f>'Schedule 2I Adjustments'!P39</f>
        <v>0</v>
      </c>
      <c r="K40" s="68">
        <f>'Schedule 2I Adjustments'!R39</f>
        <v>0</v>
      </c>
      <c r="L40" s="68">
        <f t="shared" si="1"/>
        <v>0</v>
      </c>
      <c r="N40" s="120">
        <f>'Schedule 2I Adjustments'!X39</f>
        <v>0</v>
      </c>
      <c r="O40" s="120">
        <f>'Schedule 2I Adjustments'!AA39</f>
        <v>0</v>
      </c>
    </row>
    <row r="41" spans="1:15" x14ac:dyDescent="0.35">
      <c r="A41" s="24">
        <v>26</v>
      </c>
      <c r="B41" s="513" t="str">
        <f>'Schedule 2I Adjustments'!B40:D40</f>
        <v/>
      </c>
      <c r="C41" s="513"/>
      <c r="D41" s="513"/>
      <c r="F41" s="117">
        <f>'Schedule 2I Adjustments'!H40</f>
        <v>0</v>
      </c>
      <c r="G41" s="68">
        <f>'Schedule 2I Adjustments'!J40</f>
        <v>0</v>
      </c>
      <c r="H41" s="68">
        <f t="shared" si="0"/>
        <v>0</v>
      </c>
      <c r="J41" s="117">
        <f>'Schedule 2I Adjustments'!P40</f>
        <v>0</v>
      </c>
      <c r="K41" s="68">
        <f>'Schedule 2I Adjustments'!R40</f>
        <v>0</v>
      </c>
      <c r="L41" s="68">
        <f t="shared" si="1"/>
        <v>0</v>
      </c>
      <c r="N41" s="120">
        <f>'Schedule 2I Adjustments'!X40</f>
        <v>0</v>
      </c>
      <c r="O41" s="120">
        <f>'Schedule 2I Adjustments'!AA40</f>
        <v>0</v>
      </c>
    </row>
    <row r="42" spans="1:15" x14ac:dyDescent="0.35">
      <c r="A42" s="24">
        <v>27</v>
      </c>
      <c r="B42" s="513" t="str">
        <f>'Schedule 2I Adjustments'!B41:D41</f>
        <v/>
      </c>
      <c r="C42" s="513"/>
      <c r="D42" s="513"/>
      <c r="F42" s="117">
        <f>'Schedule 2I Adjustments'!H41</f>
        <v>0</v>
      </c>
      <c r="G42" s="68">
        <f>'Schedule 2I Adjustments'!J41</f>
        <v>0</v>
      </c>
      <c r="H42" s="68">
        <f t="shared" si="0"/>
        <v>0</v>
      </c>
      <c r="J42" s="117">
        <f>'Schedule 2I Adjustments'!P41</f>
        <v>0</v>
      </c>
      <c r="K42" s="68">
        <f>'Schedule 2I Adjustments'!R41</f>
        <v>0</v>
      </c>
      <c r="L42" s="68">
        <f t="shared" si="1"/>
        <v>0</v>
      </c>
      <c r="N42" s="120">
        <f>'Schedule 2I Adjustments'!X41</f>
        <v>0</v>
      </c>
      <c r="O42" s="120">
        <f>'Schedule 2I Adjustments'!AA41</f>
        <v>0</v>
      </c>
    </row>
    <row r="43" spans="1:15" x14ac:dyDescent="0.35">
      <c r="A43" s="24">
        <v>28</v>
      </c>
      <c r="B43" s="513" t="str">
        <f>'Schedule 2I Adjustments'!B42:D42</f>
        <v/>
      </c>
      <c r="C43" s="513"/>
      <c r="D43" s="513"/>
      <c r="F43" s="117">
        <f>'Schedule 2I Adjustments'!H42</f>
        <v>0</v>
      </c>
      <c r="G43" s="68">
        <f>'Schedule 2I Adjustments'!J42</f>
        <v>0</v>
      </c>
      <c r="H43" s="68">
        <f t="shared" si="0"/>
        <v>0</v>
      </c>
      <c r="J43" s="117">
        <f>'Schedule 2I Adjustments'!P42</f>
        <v>0</v>
      </c>
      <c r="K43" s="68">
        <f>'Schedule 2I Adjustments'!R42</f>
        <v>0</v>
      </c>
      <c r="L43" s="68">
        <f t="shared" si="1"/>
        <v>0</v>
      </c>
      <c r="N43" s="120">
        <f>'Schedule 2I Adjustments'!X42</f>
        <v>0</v>
      </c>
      <c r="O43" s="120">
        <f>'Schedule 2I Adjustments'!AA42</f>
        <v>0</v>
      </c>
    </row>
    <row r="44" spans="1:15" x14ac:dyDescent="0.35">
      <c r="A44" s="24">
        <v>29</v>
      </c>
      <c r="B44" s="513" t="str">
        <f>'Schedule 2I Adjustments'!B43:D43</f>
        <v/>
      </c>
      <c r="C44" s="513"/>
      <c r="D44" s="513"/>
      <c r="F44" s="117">
        <f>'Schedule 2I Adjustments'!H43</f>
        <v>0</v>
      </c>
      <c r="G44" s="68">
        <f>'Schedule 2I Adjustments'!J43</f>
        <v>0</v>
      </c>
      <c r="H44" s="68">
        <f t="shared" si="0"/>
        <v>0</v>
      </c>
      <c r="J44" s="117">
        <f>'Schedule 2I Adjustments'!P43</f>
        <v>0</v>
      </c>
      <c r="K44" s="68">
        <f>'Schedule 2I Adjustments'!R43</f>
        <v>0</v>
      </c>
      <c r="L44" s="68">
        <f t="shared" si="1"/>
        <v>0</v>
      </c>
      <c r="N44" s="120">
        <f>'Schedule 2I Adjustments'!X43</f>
        <v>0</v>
      </c>
      <c r="O44" s="120">
        <f>'Schedule 2I Adjustments'!AA43</f>
        <v>0</v>
      </c>
    </row>
    <row r="45" spans="1:15" x14ac:dyDescent="0.35">
      <c r="A45" s="24">
        <v>30</v>
      </c>
      <c r="B45" s="513" t="str">
        <f>'Schedule 2I Adjustments'!B44:D44</f>
        <v/>
      </c>
      <c r="C45" s="513"/>
      <c r="D45" s="513"/>
      <c r="F45" s="117">
        <f>'Schedule 2I Adjustments'!H44</f>
        <v>0</v>
      </c>
      <c r="G45" s="68">
        <f>'Schedule 2I Adjustments'!J44</f>
        <v>0</v>
      </c>
      <c r="H45" s="68">
        <f t="shared" si="0"/>
        <v>0</v>
      </c>
      <c r="J45" s="117">
        <f>'Schedule 2I Adjustments'!P44</f>
        <v>0</v>
      </c>
      <c r="K45" s="68">
        <f>'Schedule 2I Adjustments'!R44</f>
        <v>0</v>
      </c>
      <c r="L45" s="68">
        <f t="shared" si="1"/>
        <v>0</v>
      </c>
      <c r="N45" s="120">
        <f>'Schedule 2I Adjustments'!X44</f>
        <v>0</v>
      </c>
      <c r="O45" s="120">
        <f>'Schedule 2I Adjustments'!AA44</f>
        <v>0</v>
      </c>
    </row>
    <row r="46" spans="1:15" x14ac:dyDescent="0.35">
      <c r="A46" s="24">
        <v>31</v>
      </c>
      <c r="B46" s="513" t="str">
        <f>'Schedule 2I Adjustments'!B45:D45</f>
        <v/>
      </c>
      <c r="C46" s="513"/>
      <c r="D46" s="513"/>
      <c r="F46" s="117">
        <f>'Schedule 2I Adjustments'!H45</f>
        <v>0</v>
      </c>
      <c r="G46" s="68">
        <f>'Schedule 2I Adjustments'!J45</f>
        <v>0</v>
      </c>
      <c r="H46" s="68">
        <f t="shared" si="0"/>
        <v>0</v>
      </c>
      <c r="J46" s="117">
        <f>'Schedule 2I Adjustments'!P45</f>
        <v>0</v>
      </c>
      <c r="K46" s="68">
        <f>'Schedule 2I Adjustments'!R45</f>
        <v>0</v>
      </c>
      <c r="L46" s="68">
        <f t="shared" si="1"/>
        <v>0</v>
      </c>
      <c r="N46" s="120">
        <f>'Schedule 2I Adjustments'!X45</f>
        <v>0</v>
      </c>
      <c r="O46" s="120">
        <f>'Schedule 2I Adjustments'!AA45</f>
        <v>0</v>
      </c>
    </row>
    <row r="47" spans="1:15" x14ac:dyDescent="0.35">
      <c r="A47" s="24">
        <v>32</v>
      </c>
      <c r="B47" s="513" t="str">
        <f>'Schedule 2I Adjustments'!B46:D46</f>
        <v/>
      </c>
      <c r="C47" s="513"/>
      <c r="D47" s="513"/>
      <c r="F47" s="117">
        <f>'Schedule 2I Adjustments'!H46</f>
        <v>0</v>
      </c>
      <c r="G47" s="68">
        <f>'Schedule 2I Adjustments'!J46</f>
        <v>0</v>
      </c>
      <c r="H47" s="68">
        <f t="shared" si="0"/>
        <v>0</v>
      </c>
      <c r="J47" s="117">
        <f>'Schedule 2I Adjustments'!P46</f>
        <v>0</v>
      </c>
      <c r="K47" s="68">
        <f>'Schedule 2I Adjustments'!R46</f>
        <v>0</v>
      </c>
      <c r="L47" s="68">
        <f t="shared" si="1"/>
        <v>0</v>
      </c>
      <c r="N47" s="120">
        <f>'Schedule 2I Adjustments'!X46</f>
        <v>0</v>
      </c>
      <c r="O47" s="120">
        <f>'Schedule 2I Adjustments'!AA46</f>
        <v>0</v>
      </c>
    </row>
    <row r="48" spans="1:15" x14ac:dyDescent="0.35">
      <c r="A48" s="24">
        <v>33</v>
      </c>
      <c r="B48" s="513" t="str">
        <f>'Schedule 2I Adjustments'!B47:D47</f>
        <v/>
      </c>
      <c r="C48" s="513"/>
      <c r="D48" s="513"/>
      <c r="F48" s="117">
        <f>'Schedule 2I Adjustments'!H47</f>
        <v>0</v>
      </c>
      <c r="G48" s="68">
        <f>'Schedule 2I Adjustments'!J47</f>
        <v>0</v>
      </c>
      <c r="H48" s="68">
        <f t="shared" si="0"/>
        <v>0</v>
      </c>
      <c r="J48" s="117">
        <f>'Schedule 2I Adjustments'!P47</f>
        <v>0</v>
      </c>
      <c r="K48" s="68">
        <f>'Schedule 2I Adjustments'!R47</f>
        <v>0</v>
      </c>
      <c r="L48" s="68">
        <f t="shared" si="1"/>
        <v>0</v>
      </c>
      <c r="N48" s="120">
        <f>'Schedule 2I Adjustments'!X47</f>
        <v>0</v>
      </c>
      <c r="O48" s="120">
        <f>'Schedule 2I Adjustments'!AA47</f>
        <v>0</v>
      </c>
    </row>
    <row r="49" spans="1:15" x14ac:dyDescent="0.35">
      <c r="A49" s="24">
        <v>34</v>
      </c>
      <c r="B49" s="513" t="str">
        <f>'Schedule 2I Adjustments'!B48:D48</f>
        <v/>
      </c>
      <c r="C49" s="513"/>
      <c r="D49" s="513"/>
      <c r="F49" s="117">
        <f>'Schedule 2I Adjustments'!H48</f>
        <v>0</v>
      </c>
      <c r="G49" s="68">
        <f>'Schedule 2I Adjustments'!J48</f>
        <v>0</v>
      </c>
      <c r="H49" s="68">
        <f t="shared" si="0"/>
        <v>0</v>
      </c>
      <c r="J49" s="117">
        <f>'Schedule 2I Adjustments'!P48</f>
        <v>0</v>
      </c>
      <c r="K49" s="68">
        <f>'Schedule 2I Adjustments'!R48</f>
        <v>0</v>
      </c>
      <c r="L49" s="68">
        <f t="shared" si="1"/>
        <v>0</v>
      </c>
      <c r="N49" s="120">
        <f>'Schedule 2I Adjustments'!X48</f>
        <v>0</v>
      </c>
      <c r="O49" s="120">
        <f>'Schedule 2I Adjustments'!AA48</f>
        <v>0</v>
      </c>
    </row>
    <row r="50" spans="1:15" x14ac:dyDescent="0.35">
      <c r="A50" s="24">
        <v>35</v>
      </c>
      <c r="B50" s="513" t="str">
        <f>'Schedule 2I Adjustments'!B49:D49</f>
        <v/>
      </c>
      <c r="C50" s="513"/>
      <c r="D50" s="513"/>
      <c r="F50" s="117">
        <f>'Schedule 2I Adjustments'!H49</f>
        <v>0</v>
      </c>
      <c r="G50" s="68">
        <f>'Schedule 2I Adjustments'!J49</f>
        <v>0</v>
      </c>
      <c r="H50" s="68">
        <f t="shared" si="0"/>
        <v>0</v>
      </c>
      <c r="J50" s="117">
        <f>'Schedule 2I Adjustments'!P49</f>
        <v>0</v>
      </c>
      <c r="K50" s="68">
        <f>'Schedule 2I Adjustments'!R49</f>
        <v>0</v>
      </c>
      <c r="L50" s="68">
        <f t="shared" si="1"/>
        <v>0</v>
      </c>
      <c r="N50" s="120">
        <f>'Schedule 2I Adjustments'!X49</f>
        <v>0</v>
      </c>
      <c r="O50" s="120">
        <f>'Schedule 2I Adjustments'!AA49</f>
        <v>0</v>
      </c>
    </row>
    <row r="51" spans="1:15" x14ac:dyDescent="0.35">
      <c r="A51" s="24">
        <v>36</v>
      </c>
      <c r="B51" s="513" t="str">
        <f>'Schedule 2I Adjustments'!B50:D50</f>
        <v/>
      </c>
      <c r="C51" s="513"/>
      <c r="D51" s="513"/>
      <c r="F51" s="117">
        <f>'Schedule 2I Adjustments'!H50</f>
        <v>0</v>
      </c>
      <c r="G51" s="68">
        <f>'Schedule 2I Adjustments'!J50</f>
        <v>0</v>
      </c>
      <c r="H51" s="68">
        <f t="shared" si="0"/>
        <v>0</v>
      </c>
      <c r="J51" s="117">
        <f>'Schedule 2I Adjustments'!P50</f>
        <v>0</v>
      </c>
      <c r="K51" s="68">
        <f>'Schedule 2I Adjustments'!R50</f>
        <v>0</v>
      </c>
      <c r="L51" s="68">
        <f t="shared" si="1"/>
        <v>0</v>
      </c>
      <c r="N51" s="120">
        <f>'Schedule 2I Adjustments'!X50</f>
        <v>0</v>
      </c>
      <c r="O51" s="120">
        <f>'Schedule 2I Adjustments'!AA50</f>
        <v>0</v>
      </c>
    </row>
    <row r="52" spans="1:15" x14ac:dyDescent="0.35">
      <c r="A52" s="24">
        <v>37</v>
      </c>
      <c r="B52" s="513" t="str">
        <f>'Schedule 2I Adjustments'!B51:D51</f>
        <v/>
      </c>
      <c r="C52" s="513"/>
      <c r="D52" s="513"/>
      <c r="F52" s="117">
        <f>'Schedule 2I Adjustments'!H51</f>
        <v>0</v>
      </c>
      <c r="G52" s="68">
        <f>'Schedule 2I Adjustments'!J51</f>
        <v>0</v>
      </c>
      <c r="H52" s="68">
        <f t="shared" si="0"/>
        <v>0</v>
      </c>
      <c r="J52" s="117">
        <f>'Schedule 2I Adjustments'!P51</f>
        <v>0</v>
      </c>
      <c r="K52" s="68">
        <f>'Schedule 2I Adjustments'!R51</f>
        <v>0</v>
      </c>
      <c r="L52" s="68">
        <f t="shared" si="1"/>
        <v>0</v>
      </c>
      <c r="N52" s="120">
        <f>'Schedule 2I Adjustments'!X51</f>
        <v>0</v>
      </c>
      <c r="O52" s="120">
        <f>'Schedule 2I Adjustments'!AA51</f>
        <v>0</v>
      </c>
    </row>
    <row r="53" spans="1:15" x14ac:dyDescent="0.35">
      <c r="A53" s="24">
        <v>38</v>
      </c>
      <c r="B53" s="513" t="str">
        <f>'Schedule 2I Adjustments'!B52:D52</f>
        <v/>
      </c>
      <c r="C53" s="513"/>
      <c r="D53" s="513"/>
      <c r="F53" s="117">
        <f>'Schedule 2I Adjustments'!H52</f>
        <v>0</v>
      </c>
      <c r="G53" s="68">
        <f>'Schedule 2I Adjustments'!J52</f>
        <v>0</v>
      </c>
      <c r="H53" s="68">
        <f t="shared" si="0"/>
        <v>0</v>
      </c>
      <c r="J53" s="117">
        <f>'Schedule 2I Adjustments'!P52</f>
        <v>0</v>
      </c>
      <c r="K53" s="68">
        <f>'Schedule 2I Adjustments'!R52</f>
        <v>0</v>
      </c>
      <c r="L53" s="68">
        <f t="shared" si="1"/>
        <v>0</v>
      </c>
      <c r="N53" s="120">
        <f>'Schedule 2I Adjustments'!X52</f>
        <v>0</v>
      </c>
      <c r="O53" s="120">
        <f>'Schedule 2I Adjustments'!AA52</f>
        <v>0</v>
      </c>
    </row>
    <row r="54" spans="1:15" x14ac:dyDescent="0.35">
      <c r="A54" s="24">
        <v>39</v>
      </c>
      <c r="B54" s="513" t="str">
        <f>'Schedule 2I Adjustments'!B53:D53</f>
        <v/>
      </c>
      <c r="C54" s="513"/>
      <c r="D54" s="513"/>
      <c r="F54" s="117">
        <f>'Schedule 2I Adjustments'!H53</f>
        <v>0</v>
      </c>
      <c r="G54" s="68">
        <f>'Schedule 2I Adjustments'!J53</f>
        <v>0</v>
      </c>
      <c r="H54" s="68">
        <f t="shared" si="0"/>
        <v>0</v>
      </c>
      <c r="J54" s="117">
        <f>'Schedule 2I Adjustments'!P53</f>
        <v>0</v>
      </c>
      <c r="K54" s="68">
        <f>'Schedule 2I Adjustments'!R53</f>
        <v>0</v>
      </c>
      <c r="L54" s="68">
        <f t="shared" si="1"/>
        <v>0</v>
      </c>
      <c r="N54" s="120">
        <f>'Schedule 2I Adjustments'!X53</f>
        <v>0</v>
      </c>
      <c r="O54" s="120">
        <f>'Schedule 2I Adjustments'!AA53</f>
        <v>0</v>
      </c>
    </row>
    <row r="55" spans="1:15" x14ac:dyDescent="0.35">
      <c r="A55" s="24">
        <v>40</v>
      </c>
      <c r="B55" s="513" t="str">
        <f>'Schedule 2I Adjustments'!B54:D54</f>
        <v/>
      </c>
      <c r="C55" s="513"/>
      <c r="D55" s="513"/>
      <c r="F55" s="117">
        <f>'Schedule 2I Adjustments'!H54</f>
        <v>0</v>
      </c>
      <c r="G55" s="68">
        <f>'Schedule 2I Adjustments'!J54</f>
        <v>0</v>
      </c>
      <c r="H55" s="68">
        <f t="shared" si="0"/>
        <v>0</v>
      </c>
      <c r="J55" s="117">
        <f>'Schedule 2I Adjustments'!P54</f>
        <v>0</v>
      </c>
      <c r="K55" s="68">
        <f>'Schedule 2I Adjustments'!R54</f>
        <v>0</v>
      </c>
      <c r="L55" s="68">
        <f t="shared" si="1"/>
        <v>0</v>
      </c>
      <c r="N55" s="120">
        <f>'Schedule 2I Adjustments'!X54</f>
        <v>0</v>
      </c>
      <c r="O55" s="120">
        <f>'Schedule 2I Adjustments'!AA54</f>
        <v>0</v>
      </c>
    </row>
    <row r="56" spans="1:15" x14ac:dyDescent="0.35">
      <c r="A56" s="24">
        <v>41</v>
      </c>
      <c r="B56" s="513" t="str">
        <f>'Schedule 2I Adjustments'!B55:D55</f>
        <v/>
      </c>
      <c r="C56" s="513"/>
      <c r="D56" s="513"/>
      <c r="F56" s="117">
        <f>'Schedule 2I Adjustments'!H55</f>
        <v>0</v>
      </c>
      <c r="G56" s="68">
        <f>'Schedule 2I Adjustments'!J55</f>
        <v>0</v>
      </c>
      <c r="H56" s="68">
        <f t="shared" si="0"/>
        <v>0</v>
      </c>
      <c r="J56" s="117">
        <f>'Schedule 2I Adjustments'!P55</f>
        <v>0</v>
      </c>
      <c r="K56" s="68">
        <f>'Schedule 2I Adjustments'!R55</f>
        <v>0</v>
      </c>
      <c r="L56" s="68">
        <f t="shared" si="1"/>
        <v>0</v>
      </c>
      <c r="N56" s="120">
        <f>'Schedule 2I Adjustments'!X55</f>
        <v>0</v>
      </c>
      <c r="O56" s="120">
        <f>'Schedule 2I Adjustments'!AA55</f>
        <v>0</v>
      </c>
    </row>
    <row r="57" spans="1:15" x14ac:dyDescent="0.35">
      <c r="A57" s="24">
        <v>42</v>
      </c>
      <c r="B57" s="513" t="str">
        <f>'Schedule 2I Adjustments'!B56:D56</f>
        <v/>
      </c>
      <c r="C57" s="513"/>
      <c r="D57" s="513"/>
      <c r="F57" s="117">
        <f>'Schedule 2I Adjustments'!H56</f>
        <v>0</v>
      </c>
      <c r="G57" s="68">
        <f>'Schedule 2I Adjustments'!J56</f>
        <v>0</v>
      </c>
      <c r="H57" s="68">
        <f t="shared" si="0"/>
        <v>0</v>
      </c>
      <c r="J57" s="117">
        <f>'Schedule 2I Adjustments'!P56</f>
        <v>0</v>
      </c>
      <c r="K57" s="68">
        <f>'Schedule 2I Adjustments'!R56</f>
        <v>0</v>
      </c>
      <c r="L57" s="68">
        <f t="shared" si="1"/>
        <v>0</v>
      </c>
      <c r="N57" s="120">
        <f>'Schedule 2I Adjustments'!X56</f>
        <v>0</v>
      </c>
      <c r="O57" s="120">
        <f>'Schedule 2I Adjustments'!AA56</f>
        <v>0</v>
      </c>
    </row>
    <row r="58" spans="1:15" x14ac:dyDescent="0.35">
      <c r="A58" s="24">
        <v>43</v>
      </c>
      <c r="B58" s="513" t="str">
        <f>'Schedule 2I Adjustments'!B57:D57</f>
        <v/>
      </c>
      <c r="C58" s="513"/>
      <c r="D58" s="513"/>
      <c r="F58" s="117">
        <f>'Schedule 2I Adjustments'!H57</f>
        <v>0</v>
      </c>
      <c r="G58" s="68">
        <f>'Schedule 2I Adjustments'!J57</f>
        <v>0</v>
      </c>
      <c r="H58" s="68">
        <f t="shared" si="0"/>
        <v>0</v>
      </c>
      <c r="J58" s="117">
        <f>'Schedule 2I Adjustments'!P57</f>
        <v>0</v>
      </c>
      <c r="K58" s="68">
        <f>'Schedule 2I Adjustments'!R57</f>
        <v>0</v>
      </c>
      <c r="L58" s="68">
        <f t="shared" si="1"/>
        <v>0</v>
      </c>
      <c r="N58" s="120">
        <f>'Schedule 2I Adjustments'!X57</f>
        <v>0</v>
      </c>
      <c r="O58" s="120">
        <f>'Schedule 2I Adjustments'!AA57</f>
        <v>0</v>
      </c>
    </row>
    <row r="59" spans="1:15" x14ac:dyDescent="0.35">
      <c r="A59" s="24">
        <v>44</v>
      </c>
      <c r="B59" s="513" t="str">
        <f>'Schedule 2I Adjustments'!B58:D58</f>
        <v/>
      </c>
      <c r="C59" s="513"/>
      <c r="D59" s="513"/>
      <c r="F59" s="117">
        <f>'Schedule 2I Adjustments'!H58</f>
        <v>0</v>
      </c>
      <c r="G59" s="68">
        <f>'Schedule 2I Adjustments'!J58</f>
        <v>0</v>
      </c>
      <c r="H59" s="68">
        <f t="shared" si="0"/>
        <v>0</v>
      </c>
      <c r="J59" s="117">
        <f>'Schedule 2I Adjustments'!P58</f>
        <v>0</v>
      </c>
      <c r="K59" s="68">
        <f>'Schedule 2I Adjustments'!R58</f>
        <v>0</v>
      </c>
      <c r="L59" s="68">
        <f t="shared" si="1"/>
        <v>0</v>
      </c>
      <c r="N59" s="120">
        <f>'Schedule 2I Adjustments'!X58</f>
        <v>0</v>
      </c>
      <c r="O59" s="120">
        <f>'Schedule 2I Adjustments'!AA58</f>
        <v>0</v>
      </c>
    </row>
    <row r="60" spans="1:15" x14ac:dyDescent="0.35">
      <c r="A60" s="24">
        <v>45</v>
      </c>
      <c r="B60" s="513" t="str">
        <f>'Schedule 2I Adjustments'!B59:D59</f>
        <v/>
      </c>
      <c r="C60" s="513"/>
      <c r="D60" s="513"/>
      <c r="F60" s="117">
        <f>'Schedule 2I Adjustments'!H59</f>
        <v>0</v>
      </c>
      <c r="G60" s="68">
        <f>'Schedule 2I Adjustments'!J59</f>
        <v>0</v>
      </c>
      <c r="H60" s="68">
        <f t="shared" si="0"/>
        <v>0</v>
      </c>
      <c r="J60" s="117">
        <f>'Schedule 2I Adjustments'!P59</f>
        <v>0</v>
      </c>
      <c r="K60" s="68">
        <f>'Schedule 2I Adjustments'!R59</f>
        <v>0</v>
      </c>
      <c r="L60" s="68">
        <f t="shared" si="1"/>
        <v>0</v>
      </c>
      <c r="N60" s="120">
        <f>'Schedule 2I Adjustments'!X59</f>
        <v>0</v>
      </c>
      <c r="O60" s="120">
        <f>'Schedule 2I Adjustments'!AA59</f>
        <v>0</v>
      </c>
    </row>
    <row r="61" spans="1:15" x14ac:dyDescent="0.35">
      <c r="A61" s="24">
        <v>46</v>
      </c>
      <c r="B61" s="513" t="str">
        <f>'Schedule 2I Adjustments'!B60:D60</f>
        <v/>
      </c>
      <c r="C61" s="513"/>
      <c r="D61" s="513"/>
      <c r="F61" s="117">
        <f>'Schedule 2I Adjustments'!H60</f>
        <v>0</v>
      </c>
      <c r="G61" s="68">
        <f>'Schedule 2I Adjustments'!J60</f>
        <v>0</v>
      </c>
      <c r="H61" s="68">
        <f t="shared" si="0"/>
        <v>0</v>
      </c>
      <c r="J61" s="117">
        <f>'Schedule 2I Adjustments'!P60</f>
        <v>0</v>
      </c>
      <c r="K61" s="68">
        <f>'Schedule 2I Adjustments'!R60</f>
        <v>0</v>
      </c>
      <c r="L61" s="68">
        <f t="shared" si="1"/>
        <v>0</v>
      </c>
      <c r="N61" s="120">
        <f>'Schedule 2I Adjustments'!X60</f>
        <v>0</v>
      </c>
      <c r="O61" s="120">
        <f>'Schedule 2I Adjustments'!AA60</f>
        <v>0</v>
      </c>
    </row>
    <row r="62" spans="1:15" x14ac:dyDescent="0.35">
      <c r="A62" s="24">
        <v>47</v>
      </c>
      <c r="B62" s="513" t="str">
        <f>'Schedule 2I Adjustments'!B61:D61</f>
        <v/>
      </c>
      <c r="C62" s="513"/>
      <c r="D62" s="513"/>
      <c r="F62" s="117">
        <f>'Schedule 2I Adjustments'!H61</f>
        <v>0</v>
      </c>
      <c r="G62" s="68">
        <f>'Schedule 2I Adjustments'!J61</f>
        <v>0</v>
      </c>
      <c r="H62" s="68">
        <f t="shared" si="0"/>
        <v>0</v>
      </c>
      <c r="J62" s="117">
        <f>'Schedule 2I Adjustments'!P61</f>
        <v>0</v>
      </c>
      <c r="K62" s="68">
        <f>'Schedule 2I Adjustments'!R61</f>
        <v>0</v>
      </c>
      <c r="L62" s="68">
        <f t="shared" si="1"/>
        <v>0</v>
      </c>
      <c r="N62" s="120">
        <f>'Schedule 2I Adjustments'!X61</f>
        <v>0</v>
      </c>
      <c r="O62" s="120">
        <f>'Schedule 2I Adjustments'!AA61</f>
        <v>0</v>
      </c>
    </row>
    <row r="63" spans="1:15" x14ac:dyDescent="0.35">
      <c r="A63" s="24">
        <v>48</v>
      </c>
      <c r="B63" s="513" t="str">
        <f>'Schedule 2I Adjustments'!B62:D62</f>
        <v/>
      </c>
      <c r="C63" s="513"/>
      <c r="D63" s="513"/>
      <c r="F63" s="117">
        <f>'Schedule 2I Adjustments'!H62</f>
        <v>0</v>
      </c>
      <c r="G63" s="68">
        <f>'Schedule 2I Adjustments'!J62</f>
        <v>0</v>
      </c>
      <c r="H63" s="68">
        <f t="shared" si="0"/>
        <v>0</v>
      </c>
      <c r="J63" s="117">
        <f>'Schedule 2I Adjustments'!P62</f>
        <v>0</v>
      </c>
      <c r="K63" s="68">
        <f>'Schedule 2I Adjustments'!R62</f>
        <v>0</v>
      </c>
      <c r="L63" s="68">
        <f t="shared" si="1"/>
        <v>0</v>
      </c>
      <c r="N63" s="120">
        <f>'Schedule 2I Adjustments'!X62</f>
        <v>0</v>
      </c>
      <c r="O63" s="120">
        <f>'Schedule 2I Adjustments'!AA62</f>
        <v>0</v>
      </c>
    </row>
    <row r="64" spans="1:15" x14ac:dyDescent="0.35">
      <c r="A64" s="24">
        <v>49</v>
      </c>
      <c r="B64" s="513" t="str">
        <f>'Schedule 2I Adjustments'!B63:D63</f>
        <v/>
      </c>
      <c r="C64" s="513"/>
      <c r="D64" s="513"/>
      <c r="F64" s="117">
        <f>'Schedule 2I Adjustments'!H63</f>
        <v>0</v>
      </c>
      <c r="G64" s="68">
        <f>'Schedule 2I Adjustments'!J63</f>
        <v>0</v>
      </c>
      <c r="H64" s="68">
        <f t="shared" si="0"/>
        <v>0</v>
      </c>
      <c r="J64" s="117">
        <f>'Schedule 2I Adjustments'!P63</f>
        <v>0</v>
      </c>
      <c r="K64" s="68">
        <f>'Schedule 2I Adjustments'!R63</f>
        <v>0</v>
      </c>
      <c r="L64" s="68">
        <f t="shared" si="1"/>
        <v>0</v>
      </c>
      <c r="N64" s="120">
        <f>'Schedule 2I Adjustments'!X63</f>
        <v>0</v>
      </c>
      <c r="O64" s="120">
        <f>'Schedule 2I Adjustments'!AA63</f>
        <v>0</v>
      </c>
    </row>
    <row r="65" spans="1:15" x14ac:dyDescent="0.35">
      <c r="A65" s="24">
        <v>50</v>
      </c>
      <c r="B65" s="513" t="str">
        <f>'Schedule 2I Adjustments'!B64:D64</f>
        <v/>
      </c>
      <c r="C65" s="513"/>
      <c r="D65" s="513"/>
      <c r="F65" s="117">
        <f>'Schedule 2I Adjustments'!H64</f>
        <v>0</v>
      </c>
      <c r="G65" s="68">
        <f>'Schedule 2I Adjustments'!J64</f>
        <v>0</v>
      </c>
      <c r="H65" s="68">
        <f t="shared" si="0"/>
        <v>0</v>
      </c>
      <c r="J65" s="117">
        <f>'Schedule 2I Adjustments'!P64</f>
        <v>0</v>
      </c>
      <c r="K65" s="68">
        <f>'Schedule 2I Adjustments'!R64</f>
        <v>0</v>
      </c>
      <c r="L65" s="68">
        <f t="shared" si="1"/>
        <v>0</v>
      </c>
      <c r="N65" s="120">
        <f>'Schedule 2I Adjustments'!X64</f>
        <v>0</v>
      </c>
      <c r="O65" s="120">
        <f>'Schedule 2I Adjustments'!AA64</f>
        <v>0</v>
      </c>
    </row>
    <row r="66" spans="1:15" x14ac:dyDescent="0.35">
      <c r="A66" s="24">
        <v>51</v>
      </c>
      <c r="B66" s="513" t="str">
        <f>'Schedule 2I Adjustments'!B65:D65</f>
        <v/>
      </c>
      <c r="C66" s="513"/>
      <c r="D66" s="513"/>
      <c r="F66" s="117">
        <f>'Schedule 2I Adjustments'!H65</f>
        <v>0</v>
      </c>
      <c r="G66" s="68">
        <f>'Schedule 2I Adjustments'!J65</f>
        <v>0</v>
      </c>
      <c r="H66" s="68">
        <f t="shared" si="0"/>
        <v>0</v>
      </c>
      <c r="J66" s="117">
        <f>'Schedule 2I Adjustments'!P65</f>
        <v>0</v>
      </c>
      <c r="K66" s="68">
        <f>'Schedule 2I Adjustments'!R65</f>
        <v>0</v>
      </c>
      <c r="L66" s="68">
        <f t="shared" si="1"/>
        <v>0</v>
      </c>
      <c r="N66" s="120">
        <f>'Schedule 2I Adjustments'!X65</f>
        <v>0</v>
      </c>
      <c r="O66" s="120">
        <f>'Schedule 2I Adjustments'!AA65</f>
        <v>0</v>
      </c>
    </row>
    <row r="67" spans="1:15" x14ac:dyDescent="0.35">
      <c r="A67" s="24">
        <v>52</v>
      </c>
      <c r="B67" s="513" t="str">
        <f>'Schedule 2I Adjustments'!B66:D66</f>
        <v/>
      </c>
      <c r="C67" s="513"/>
      <c r="D67" s="513"/>
      <c r="F67" s="117">
        <f>'Schedule 2I Adjustments'!H66</f>
        <v>0</v>
      </c>
      <c r="G67" s="68">
        <f>'Schedule 2I Adjustments'!J66</f>
        <v>0</v>
      </c>
      <c r="H67" s="68">
        <f t="shared" si="0"/>
        <v>0</v>
      </c>
      <c r="J67" s="117">
        <f>'Schedule 2I Adjustments'!P66</f>
        <v>0</v>
      </c>
      <c r="K67" s="68">
        <f>'Schedule 2I Adjustments'!R66</f>
        <v>0</v>
      </c>
      <c r="L67" s="68">
        <f t="shared" si="1"/>
        <v>0</v>
      </c>
      <c r="N67" s="120">
        <f>'Schedule 2I Adjustments'!X66</f>
        <v>0</v>
      </c>
      <c r="O67" s="120">
        <f>'Schedule 2I Adjustments'!AA66</f>
        <v>0</v>
      </c>
    </row>
    <row r="68" spans="1:15" x14ac:dyDescent="0.35">
      <c r="A68" s="24">
        <v>53</v>
      </c>
      <c r="B68" s="513" t="str">
        <f>'Schedule 2I Adjustments'!B67:D67</f>
        <v/>
      </c>
      <c r="C68" s="513"/>
      <c r="D68" s="513"/>
      <c r="F68" s="117">
        <f>'Schedule 2I Adjustments'!H67</f>
        <v>0</v>
      </c>
      <c r="G68" s="68">
        <f>'Schedule 2I Adjustments'!J67</f>
        <v>0</v>
      </c>
      <c r="H68" s="68">
        <f t="shared" si="0"/>
        <v>0</v>
      </c>
      <c r="J68" s="117">
        <f>'Schedule 2I Adjustments'!P67</f>
        <v>0</v>
      </c>
      <c r="K68" s="68">
        <f>'Schedule 2I Adjustments'!R67</f>
        <v>0</v>
      </c>
      <c r="L68" s="68">
        <f t="shared" si="1"/>
        <v>0</v>
      </c>
      <c r="N68" s="120">
        <f>'Schedule 2I Adjustments'!X67</f>
        <v>0</v>
      </c>
      <c r="O68" s="120">
        <f>'Schedule 2I Adjustments'!AA67</f>
        <v>0</v>
      </c>
    </row>
    <row r="69" spans="1:15" x14ac:dyDescent="0.35">
      <c r="A69" s="24">
        <v>54</v>
      </c>
      <c r="B69" s="513" t="str">
        <f>'Schedule 2I Adjustments'!B68:D68</f>
        <v/>
      </c>
      <c r="C69" s="513"/>
      <c r="D69" s="513"/>
      <c r="F69" s="117">
        <f>'Schedule 2I Adjustments'!H68</f>
        <v>0</v>
      </c>
      <c r="G69" s="68">
        <f>'Schedule 2I Adjustments'!J68</f>
        <v>0</v>
      </c>
      <c r="H69" s="68">
        <f t="shared" si="0"/>
        <v>0</v>
      </c>
      <c r="J69" s="117">
        <f>'Schedule 2I Adjustments'!P68</f>
        <v>0</v>
      </c>
      <c r="K69" s="68">
        <f>'Schedule 2I Adjustments'!R68</f>
        <v>0</v>
      </c>
      <c r="L69" s="68">
        <f t="shared" si="1"/>
        <v>0</v>
      </c>
      <c r="N69" s="120">
        <f>'Schedule 2I Adjustments'!X68</f>
        <v>0</v>
      </c>
      <c r="O69" s="120">
        <f>'Schedule 2I Adjustments'!AA68</f>
        <v>0</v>
      </c>
    </row>
    <row r="70" spans="1:15" x14ac:dyDescent="0.35">
      <c r="A70" s="24">
        <v>55</v>
      </c>
      <c r="B70" s="513" t="str">
        <f>'Schedule 2I Adjustments'!B69:D69</f>
        <v/>
      </c>
      <c r="C70" s="513"/>
      <c r="D70" s="513"/>
      <c r="F70" s="117">
        <f>'Schedule 2I Adjustments'!H69</f>
        <v>0</v>
      </c>
      <c r="G70" s="68">
        <f>'Schedule 2I Adjustments'!J69</f>
        <v>0</v>
      </c>
      <c r="H70" s="68">
        <f t="shared" si="0"/>
        <v>0</v>
      </c>
      <c r="J70" s="117">
        <f>'Schedule 2I Adjustments'!P69</f>
        <v>0</v>
      </c>
      <c r="K70" s="68">
        <f>'Schedule 2I Adjustments'!R69</f>
        <v>0</v>
      </c>
      <c r="L70" s="68">
        <f t="shared" si="1"/>
        <v>0</v>
      </c>
      <c r="N70" s="120">
        <f>'Schedule 2I Adjustments'!X69</f>
        <v>0</v>
      </c>
      <c r="O70" s="120">
        <f>'Schedule 2I Adjustments'!AA69</f>
        <v>0</v>
      </c>
    </row>
    <row r="71" spans="1:15" x14ac:dyDescent="0.35">
      <c r="A71" s="24">
        <v>56</v>
      </c>
      <c r="B71" s="513" t="str">
        <f>'Schedule 2I Adjustments'!B70:D70</f>
        <v/>
      </c>
      <c r="C71" s="513"/>
      <c r="D71" s="513"/>
      <c r="F71" s="117">
        <f>'Schedule 2I Adjustments'!H70</f>
        <v>0</v>
      </c>
      <c r="G71" s="68">
        <f>'Schedule 2I Adjustments'!J70</f>
        <v>0</v>
      </c>
      <c r="H71" s="68">
        <f t="shared" si="0"/>
        <v>0</v>
      </c>
      <c r="J71" s="117">
        <f>'Schedule 2I Adjustments'!P70</f>
        <v>0</v>
      </c>
      <c r="K71" s="68">
        <f>'Schedule 2I Adjustments'!R70</f>
        <v>0</v>
      </c>
      <c r="L71" s="68">
        <f t="shared" si="1"/>
        <v>0</v>
      </c>
      <c r="N71" s="120">
        <f>'Schedule 2I Adjustments'!X70</f>
        <v>0</v>
      </c>
      <c r="O71" s="120">
        <f>'Schedule 2I Adjustments'!AA70</f>
        <v>0</v>
      </c>
    </row>
    <row r="72" spans="1:15" x14ac:dyDescent="0.35">
      <c r="A72" s="24">
        <v>57</v>
      </c>
      <c r="B72" s="513" t="str">
        <f>'Schedule 2I Adjustments'!B71:D71</f>
        <v/>
      </c>
      <c r="C72" s="513"/>
      <c r="D72" s="513"/>
      <c r="F72" s="117">
        <f>'Schedule 2I Adjustments'!H71</f>
        <v>0</v>
      </c>
      <c r="G72" s="68">
        <f>'Schedule 2I Adjustments'!J71</f>
        <v>0</v>
      </c>
      <c r="H72" s="68">
        <f t="shared" si="0"/>
        <v>0</v>
      </c>
      <c r="J72" s="117">
        <f>'Schedule 2I Adjustments'!P71</f>
        <v>0</v>
      </c>
      <c r="K72" s="68">
        <f>'Schedule 2I Adjustments'!R71</f>
        <v>0</v>
      </c>
      <c r="L72" s="68">
        <f t="shared" si="1"/>
        <v>0</v>
      </c>
      <c r="N72" s="120">
        <f>'Schedule 2I Adjustments'!X71</f>
        <v>0</v>
      </c>
      <c r="O72" s="120">
        <f>'Schedule 2I Adjustments'!AA71</f>
        <v>0</v>
      </c>
    </row>
    <row r="73" spans="1:15" x14ac:dyDescent="0.35">
      <c r="A73" s="24">
        <v>58</v>
      </c>
      <c r="B73" s="513" t="str">
        <f>'Schedule 2I Adjustments'!B72:D72</f>
        <v/>
      </c>
      <c r="C73" s="513"/>
      <c r="D73" s="513"/>
      <c r="F73" s="117">
        <f>'Schedule 2I Adjustments'!H72</f>
        <v>0</v>
      </c>
      <c r="G73" s="68">
        <f>'Schedule 2I Adjustments'!J72</f>
        <v>0</v>
      </c>
      <c r="H73" s="68">
        <f t="shared" si="0"/>
        <v>0</v>
      </c>
      <c r="J73" s="117">
        <f>'Schedule 2I Adjustments'!P72</f>
        <v>0</v>
      </c>
      <c r="K73" s="68">
        <f>'Schedule 2I Adjustments'!R72</f>
        <v>0</v>
      </c>
      <c r="L73" s="68">
        <f t="shared" si="1"/>
        <v>0</v>
      </c>
      <c r="N73" s="120">
        <f>'Schedule 2I Adjustments'!X72</f>
        <v>0</v>
      </c>
      <c r="O73" s="120">
        <f>'Schedule 2I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0">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853</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Health Solutions</v>
      </c>
    </row>
    <row r="7" spans="1:15" x14ac:dyDescent="0.35">
      <c r="A7" s="1" t="s">
        <v>0</v>
      </c>
      <c r="C7" s="35">
        <f>Results!$C$7</f>
        <v>45473</v>
      </c>
      <c r="F7" s="35"/>
    </row>
    <row r="9" spans="1:15" x14ac:dyDescent="0.35">
      <c r="A9" s="1" t="s">
        <v>253</v>
      </c>
      <c r="B9" s="1" t="s">
        <v>825</v>
      </c>
      <c r="C9" s="1"/>
      <c r="F9" s="119" t="str">
        <f>'Schedule 2J Adjustments'!F8</f>
        <v>Yes/No</v>
      </c>
      <c r="G9" s="41" t="s">
        <v>259</v>
      </c>
    </row>
    <row r="11" spans="1:15" x14ac:dyDescent="0.35">
      <c r="A11" s="1" t="s">
        <v>254</v>
      </c>
      <c r="B11" s="1" t="s">
        <v>256</v>
      </c>
      <c r="C11" s="1"/>
    </row>
    <row r="12" spans="1:15" x14ac:dyDescent="0.35">
      <c r="B12" s="318" t="s">
        <v>598</v>
      </c>
    </row>
    <row r="13" spans="1:15" x14ac:dyDescent="0.35">
      <c r="B13" s="508">
        <v>1</v>
      </c>
      <c r="C13" s="508"/>
      <c r="D13" s="508"/>
      <c r="F13" s="23">
        <v>2</v>
      </c>
      <c r="G13" s="23">
        <v>3</v>
      </c>
      <c r="H13" s="23">
        <v>4</v>
      </c>
      <c r="J13" s="23">
        <v>5</v>
      </c>
      <c r="K13" s="23">
        <v>6</v>
      </c>
      <c r="L13" s="23">
        <v>7</v>
      </c>
      <c r="N13" s="23">
        <v>8</v>
      </c>
      <c r="O13" s="23">
        <v>9</v>
      </c>
    </row>
    <row r="14" spans="1:15" ht="15" customHeight="1" x14ac:dyDescent="0.35">
      <c r="B14" s="517" t="s">
        <v>612</v>
      </c>
      <c r="C14" s="518"/>
      <c r="D14" s="519"/>
      <c r="F14" s="511" t="s">
        <v>261</v>
      </c>
      <c r="G14" s="516"/>
      <c r="H14" s="512"/>
      <c r="J14" s="511" t="s">
        <v>262</v>
      </c>
      <c r="K14" s="516"/>
      <c r="L14" s="512"/>
      <c r="N14" s="514" t="s">
        <v>692</v>
      </c>
      <c r="O14" s="514" t="s">
        <v>693</v>
      </c>
    </row>
    <row r="15" spans="1:15" ht="55.5" customHeight="1" x14ac:dyDescent="0.35">
      <c r="B15" s="520"/>
      <c r="C15" s="521"/>
      <c r="D15" s="522"/>
      <c r="E15" s="48"/>
      <c r="F15" s="10" t="s">
        <v>689</v>
      </c>
      <c r="G15" s="151" t="s">
        <v>690</v>
      </c>
      <c r="H15" s="151" t="s">
        <v>691</v>
      </c>
      <c r="I15" s="100"/>
      <c r="J15" s="10" t="s">
        <v>689</v>
      </c>
      <c r="K15" s="151" t="s">
        <v>690</v>
      </c>
      <c r="L15" s="151" t="s">
        <v>691</v>
      </c>
      <c r="M15" s="48"/>
      <c r="N15" s="515"/>
      <c r="O15" s="515"/>
    </row>
    <row r="16" spans="1:15" x14ac:dyDescent="0.35">
      <c r="A16" s="24">
        <v>1</v>
      </c>
      <c r="B16" s="513" t="str">
        <f>'Schedule 2J Adjustments'!B15:D15</f>
        <v/>
      </c>
      <c r="C16" s="513"/>
      <c r="D16" s="513"/>
      <c r="F16" s="117">
        <f>'Schedule 2J Adjustments'!H15</f>
        <v>0</v>
      </c>
      <c r="G16" s="68">
        <f>'Schedule 2J Adjustments'!J15</f>
        <v>0</v>
      </c>
      <c r="H16" s="68">
        <f>SUM(F16:G16)</f>
        <v>0</v>
      </c>
      <c r="J16" s="117">
        <f>'Schedule 2J Adjustments'!P15</f>
        <v>0</v>
      </c>
      <c r="K16" s="68">
        <f>'Schedule 2J Adjustments'!R15</f>
        <v>0</v>
      </c>
      <c r="L16" s="68">
        <f>SUM(J16:K16)</f>
        <v>0</v>
      </c>
      <c r="N16" s="120">
        <f>'Schedule 2J Adjustments'!X15</f>
        <v>0</v>
      </c>
      <c r="O16" s="120">
        <f>'Schedule 2J Adjustments'!AA15</f>
        <v>0</v>
      </c>
    </row>
    <row r="17" spans="1:15" x14ac:dyDescent="0.35">
      <c r="A17" s="24">
        <v>2</v>
      </c>
      <c r="B17" s="513" t="str">
        <f>'Schedule 2J Adjustments'!B16:D16</f>
        <v/>
      </c>
      <c r="C17" s="513"/>
      <c r="D17" s="513"/>
      <c r="F17" s="117">
        <f>'Schedule 2J Adjustments'!H16</f>
        <v>0</v>
      </c>
      <c r="G17" s="68">
        <f>'Schedule 2J Adjustments'!J16</f>
        <v>0</v>
      </c>
      <c r="H17" s="68">
        <f t="shared" ref="H17:H73" si="0">SUM(F17:G17)</f>
        <v>0</v>
      </c>
      <c r="J17" s="117">
        <f>'Schedule 2J Adjustments'!P16</f>
        <v>0</v>
      </c>
      <c r="K17" s="68">
        <f>'Schedule 2J Adjustments'!R16</f>
        <v>0</v>
      </c>
      <c r="L17" s="68">
        <f t="shared" ref="L17:L73" si="1">SUM(J17:K17)</f>
        <v>0</v>
      </c>
      <c r="N17" s="120">
        <f>'Schedule 2J Adjustments'!X16</f>
        <v>0</v>
      </c>
      <c r="O17" s="120">
        <f>'Schedule 2J Adjustments'!AA16</f>
        <v>0</v>
      </c>
    </row>
    <row r="18" spans="1:15" x14ac:dyDescent="0.35">
      <c r="A18" s="24">
        <v>3</v>
      </c>
      <c r="B18" s="513" t="str">
        <f>'Schedule 2J Adjustments'!B17:D17</f>
        <v/>
      </c>
      <c r="C18" s="513"/>
      <c r="D18" s="513"/>
      <c r="F18" s="117">
        <f>'Schedule 2J Adjustments'!H17</f>
        <v>0</v>
      </c>
      <c r="G18" s="68">
        <f>'Schedule 2J Adjustments'!J17</f>
        <v>0</v>
      </c>
      <c r="H18" s="68">
        <f t="shared" si="0"/>
        <v>0</v>
      </c>
      <c r="J18" s="117">
        <f>'Schedule 2J Adjustments'!P17</f>
        <v>0</v>
      </c>
      <c r="K18" s="68">
        <f>'Schedule 2J Adjustments'!R17</f>
        <v>0</v>
      </c>
      <c r="L18" s="68">
        <f t="shared" si="1"/>
        <v>0</v>
      </c>
      <c r="N18" s="120">
        <f>'Schedule 2J Adjustments'!X17</f>
        <v>0</v>
      </c>
      <c r="O18" s="120">
        <f>'Schedule 2J Adjustments'!AA17</f>
        <v>0</v>
      </c>
    </row>
    <row r="19" spans="1:15" x14ac:dyDescent="0.35">
      <c r="A19" s="24">
        <v>4</v>
      </c>
      <c r="B19" s="513" t="str">
        <f>'Schedule 2J Adjustments'!B18:D18</f>
        <v/>
      </c>
      <c r="C19" s="513"/>
      <c r="D19" s="513"/>
      <c r="F19" s="117">
        <f>'Schedule 2J Adjustments'!H18</f>
        <v>0</v>
      </c>
      <c r="G19" s="68">
        <f>'Schedule 2J Adjustments'!J18</f>
        <v>0</v>
      </c>
      <c r="H19" s="68">
        <f t="shared" si="0"/>
        <v>0</v>
      </c>
      <c r="J19" s="117">
        <f>'Schedule 2J Adjustments'!P18</f>
        <v>0</v>
      </c>
      <c r="K19" s="68">
        <f>'Schedule 2J Adjustments'!R18</f>
        <v>0</v>
      </c>
      <c r="L19" s="68">
        <f t="shared" si="1"/>
        <v>0</v>
      </c>
      <c r="N19" s="120">
        <f>'Schedule 2J Adjustments'!X18</f>
        <v>0</v>
      </c>
      <c r="O19" s="120">
        <f>'Schedule 2J Adjustments'!AA18</f>
        <v>0</v>
      </c>
    </row>
    <row r="20" spans="1:15" x14ac:dyDescent="0.35">
      <c r="A20" s="24">
        <v>5</v>
      </c>
      <c r="B20" s="513" t="str">
        <f>'Schedule 2J Adjustments'!B19:D19</f>
        <v/>
      </c>
      <c r="C20" s="513"/>
      <c r="D20" s="513"/>
      <c r="F20" s="117">
        <f>'Schedule 2J Adjustments'!H19</f>
        <v>0</v>
      </c>
      <c r="G20" s="68">
        <f>'Schedule 2J Adjustments'!J19</f>
        <v>0</v>
      </c>
      <c r="H20" s="68">
        <f t="shared" si="0"/>
        <v>0</v>
      </c>
      <c r="J20" s="117">
        <f>'Schedule 2J Adjustments'!P19</f>
        <v>0</v>
      </c>
      <c r="K20" s="68">
        <f>'Schedule 2J Adjustments'!R19</f>
        <v>0</v>
      </c>
      <c r="L20" s="68">
        <f t="shared" si="1"/>
        <v>0</v>
      </c>
      <c r="N20" s="120">
        <f>'Schedule 2J Adjustments'!X19</f>
        <v>0</v>
      </c>
      <c r="O20" s="120">
        <f>'Schedule 2J Adjustments'!AA19</f>
        <v>0</v>
      </c>
    </row>
    <row r="21" spans="1:15" x14ac:dyDescent="0.35">
      <c r="A21" s="24">
        <v>6</v>
      </c>
      <c r="B21" s="513" t="str">
        <f>'Schedule 2J Adjustments'!B20:D20</f>
        <v/>
      </c>
      <c r="C21" s="513"/>
      <c r="D21" s="513"/>
      <c r="F21" s="117">
        <f>'Schedule 2J Adjustments'!H20</f>
        <v>0</v>
      </c>
      <c r="G21" s="68">
        <f>'Schedule 2J Adjustments'!J20</f>
        <v>0</v>
      </c>
      <c r="H21" s="68">
        <f t="shared" si="0"/>
        <v>0</v>
      </c>
      <c r="J21" s="117">
        <f>'Schedule 2J Adjustments'!P20</f>
        <v>0</v>
      </c>
      <c r="K21" s="68">
        <f>'Schedule 2J Adjustments'!R20</f>
        <v>0</v>
      </c>
      <c r="L21" s="68">
        <f t="shared" si="1"/>
        <v>0</v>
      </c>
      <c r="N21" s="120">
        <f>'Schedule 2J Adjustments'!X20</f>
        <v>0</v>
      </c>
      <c r="O21" s="120">
        <f>'Schedule 2J Adjustments'!AA20</f>
        <v>0</v>
      </c>
    </row>
    <row r="22" spans="1:15" x14ac:dyDescent="0.35">
      <c r="A22" s="24">
        <v>7</v>
      </c>
      <c r="B22" s="513" t="str">
        <f>'Schedule 2J Adjustments'!B21:D21</f>
        <v/>
      </c>
      <c r="C22" s="513"/>
      <c r="D22" s="513"/>
      <c r="F22" s="117">
        <f>'Schedule 2J Adjustments'!H21</f>
        <v>0</v>
      </c>
      <c r="G22" s="68">
        <f>'Schedule 2J Adjustments'!J21</f>
        <v>0</v>
      </c>
      <c r="H22" s="68">
        <f t="shared" si="0"/>
        <v>0</v>
      </c>
      <c r="J22" s="117">
        <f>'Schedule 2J Adjustments'!P21</f>
        <v>0</v>
      </c>
      <c r="K22" s="68">
        <f>'Schedule 2J Adjustments'!R21</f>
        <v>0</v>
      </c>
      <c r="L22" s="68">
        <f t="shared" si="1"/>
        <v>0</v>
      </c>
      <c r="N22" s="120">
        <f>'Schedule 2J Adjustments'!X21</f>
        <v>0</v>
      </c>
      <c r="O22" s="120">
        <f>'Schedule 2J Adjustments'!AA21</f>
        <v>0</v>
      </c>
    </row>
    <row r="23" spans="1:15" x14ac:dyDescent="0.35">
      <c r="A23" s="24">
        <v>8</v>
      </c>
      <c r="B23" s="513" t="str">
        <f>'Schedule 2J Adjustments'!B22:D22</f>
        <v/>
      </c>
      <c r="C23" s="513"/>
      <c r="D23" s="513"/>
      <c r="F23" s="117">
        <f>'Schedule 2J Adjustments'!H22</f>
        <v>0</v>
      </c>
      <c r="G23" s="68">
        <f>'Schedule 2J Adjustments'!J22</f>
        <v>0</v>
      </c>
      <c r="H23" s="68">
        <f t="shared" si="0"/>
        <v>0</v>
      </c>
      <c r="J23" s="117">
        <f>'Schedule 2J Adjustments'!P22</f>
        <v>0</v>
      </c>
      <c r="K23" s="68">
        <f>'Schedule 2J Adjustments'!R22</f>
        <v>0</v>
      </c>
      <c r="L23" s="68">
        <f t="shared" si="1"/>
        <v>0</v>
      </c>
      <c r="N23" s="120">
        <f>'Schedule 2J Adjustments'!X22</f>
        <v>0</v>
      </c>
      <c r="O23" s="120">
        <f>'Schedule 2J Adjustments'!AA22</f>
        <v>0</v>
      </c>
    </row>
    <row r="24" spans="1:15" x14ac:dyDescent="0.35">
      <c r="A24" s="24">
        <v>9</v>
      </c>
      <c r="B24" s="513" t="str">
        <f>'Schedule 2J Adjustments'!B23:D23</f>
        <v/>
      </c>
      <c r="C24" s="513"/>
      <c r="D24" s="513"/>
      <c r="F24" s="117">
        <f>'Schedule 2J Adjustments'!H23</f>
        <v>0</v>
      </c>
      <c r="G24" s="68">
        <f>'Schedule 2J Adjustments'!J23</f>
        <v>0</v>
      </c>
      <c r="H24" s="68">
        <f t="shared" si="0"/>
        <v>0</v>
      </c>
      <c r="J24" s="117">
        <f>'Schedule 2J Adjustments'!P23</f>
        <v>0</v>
      </c>
      <c r="K24" s="68">
        <f>'Schedule 2J Adjustments'!R23</f>
        <v>0</v>
      </c>
      <c r="L24" s="68">
        <f t="shared" si="1"/>
        <v>0</v>
      </c>
      <c r="N24" s="120">
        <f>'Schedule 2J Adjustments'!X23</f>
        <v>0</v>
      </c>
      <c r="O24" s="120">
        <f>'Schedule 2J Adjustments'!AA23</f>
        <v>0</v>
      </c>
    </row>
    <row r="25" spans="1:15" x14ac:dyDescent="0.35">
      <c r="A25" s="24">
        <v>10</v>
      </c>
      <c r="B25" s="513" t="str">
        <f>'Schedule 2J Adjustments'!B24:D24</f>
        <v/>
      </c>
      <c r="C25" s="513"/>
      <c r="D25" s="513"/>
      <c r="F25" s="117">
        <f>'Schedule 2J Adjustments'!H24</f>
        <v>0</v>
      </c>
      <c r="G25" s="68">
        <f>'Schedule 2J Adjustments'!J24</f>
        <v>0</v>
      </c>
      <c r="H25" s="68">
        <f t="shared" si="0"/>
        <v>0</v>
      </c>
      <c r="J25" s="117">
        <f>'Schedule 2J Adjustments'!P24</f>
        <v>0</v>
      </c>
      <c r="K25" s="68">
        <f>'Schedule 2J Adjustments'!R24</f>
        <v>0</v>
      </c>
      <c r="L25" s="68">
        <f t="shared" si="1"/>
        <v>0</v>
      </c>
      <c r="N25" s="120">
        <f>'Schedule 2J Adjustments'!X24</f>
        <v>0</v>
      </c>
      <c r="O25" s="120">
        <f>'Schedule 2J Adjustments'!AA24</f>
        <v>0</v>
      </c>
    </row>
    <row r="26" spans="1:15" x14ac:dyDescent="0.35">
      <c r="A26" s="24">
        <v>11</v>
      </c>
      <c r="B26" s="513" t="str">
        <f>'Schedule 2J Adjustments'!B25:D25</f>
        <v/>
      </c>
      <c r="C26" s="513"/>
      <c r="D26" s="513"/>
      <c r="F26" s="117">
        <f>'Schedule 2J Adjustments'!H25</f>
        <v>0</v>
      </c>
      <c r="G26" s="68">
        <f>'Schedule 2J Adjustments'!J25</f>
        <v>0</v>
      </c>
      <c r="H26" s="68">
        <f t="shared" si="0"/>
        <v>0</v>
      </c>
      <c r="J26" s="117">
        <f>'Schedule 2J Adjustments'!P25</f>
        <v>0</v>
      </c>
      <c r="K26" s="68">
        <f>'Schedule 2J Adjustments'!R25</f>
        <v>0</v>
      </c>
      <c r="L26" s="68">
        <f t="shared" si="1"/>
        <v>0</v>
      </c>
      <c r="N26" s="120">
        <f>'Schedule 2J Adjustments'!X25</f>
        <v>0</v>
      </c>
      <c r="O26" s="120">
        <f>'Schedule 2J Adjustments'!AA25</f>
        <v>0</v>
      </c>
    </row>
    <row r="27" spans="1:15" x14ac:dyDescent="0.35">
      <c r="A27" s="24">
        <v>12</v>
      </c>
      <c r="B27" s="513" t="str">
        <f>'Schedule 2J Adjustments'!B26:D26</f>
        <v/>
      </c>
      <c r="C27" s="513"/>
      <c r="D27" s="513"/>
      <c r="F27" s="117">
        <f>'Schedule 2J Adjustments'!H26</f>
        <v>0</v>
      </c>
      <c r="G27" s="68">
        <f>'Schedule 2J Adjustments'!J26</f>
        <v>0</v>
      </c>
      <c r="H27" s="68">
        <f t="shared" si="0"/>
        <v>0</v>
      </c>
      <c r="J27" s="117">
        <f>'Schedule 2J Adjustments'!P26</f>
        <v>0</v>
      </c>
      <c r="K27" s="68">
        <f>'Schedule 2J Adjustments'!R26</f>
        <v>0</v>
      </c>
      <c r="L27" s="68">
        <f t="shared" si="1"/>
        <v>0</v>
      </c>
      <c r="N27" s="120">
        <f>'Schedule 2J Adjustments'!X26</f>
        <v>0</v>
      </c>
      <c r="O27" s="120">
        <f>'Schedule 2J Adjustments'!AA26</f>
        <v>0</v>
      </c>
    </row>
    <row r="28" spans="1:15" x14ac:dyDescent="0.35">
      <c r="A28" s="24">
        <v>13</v>
      </c>
      <c r="B28" s="513" t="str">
        <f>'Schedule 2J Adjustments'!B27:D27</f>
        <v/>
      </c>
      <c r="C28" s="513"/>
      <c r="D28" s="513"/>
      <c r="F28" s="117">
        <f>'Schedule 2J Adjustments'!H27</f>
        <v>0</v>
      </c>
      <c r="G28" s="68">
        <f>'Schedule 2J Adjustments'!J27</f>
        <v>0</v>
      </c>
      <c r="H28" s="68">
        <f t="shared" si="0"/>
        <v>0</v>
      </c>
      <c r="J28" s="117">
        <f>'Schedule 2J Adjustments'!P27</f>
        <v>0</v>
      </c>
      <c r="K28" s="68">
        <f>'Schedule 2J Adjustments'!R27</f>
        <v>0</v>
      </c>
      <c r="L28" s="68">
        <f t="shared" si="1"/>
        <v>0</v>
      </c>
      <c r="N28" s="120">
        <f>'Schedule 2J Adjustments'!X27</f>
        <v>0</v>
      </c>
      <c r="O28" s="120">
        <f>'Schedule 2J Adjustments'!AA27</f>
        <v>0</v>
      </c>
    </row>
    <row r="29" spans="1:15" x14ac:dyDescent="0.35">
      <c r="A29" s="24">
        <v>14</v>
      </c>
      <c r="B29" s="513" t="str">
        <f>'Schedule 2J Adjustments'!B28:D28</f>
        <v/>
      </c>
      <c r="C29" s="513"/>
      <c r="D29" s="513"/>
      <c r="F29" s="117">
        <f>'Schedule 2J Adjustments'!H28</f>
        <v>0</v>
      </c>
      <c r="G29" s="68">
        <f>'Schedule 2J Adjustments'!J28</f>
        <v>0</v>
      </c>
      <c r="H29" s="68">
        <f t="shared" si="0"/>
        <v>0</v>
      </c>
      <c r="J29" s="117">
        <f>'Schedule 2J Adjustments'!P28</f>
        <v>0</v>
      </c>
      <c r="K29" s="68">
        <f>'Schedule 2J Adjustments'!R28</f>
        <v>0</v>
      </c>
      <c r="L29" s="68">
        <f t="shared" si="1"/>
        <v>0</v>
      </c>
      <c r="N29" s="120">
        <f>'Schedule 2J Adjustments'!X28</f>
        <v>0</v>
      </c>
      <c r="O29" s="120">
        <f>'Schedule 2J Adjustments'!AA28</f>
        <v>0</v>
      </c>
    </row>
    <row r="30" spans="1:15" x14ac:dyDescent="0.35">
      <c r="A30" s="24">
        <v>15</v>
      </c>
      <c r="B30" s="513" t="str">
        <f>'Schedule 2J Adjustments'!B29:D29</f>
        <v/>
      </c>
      <c r="C30" s="513"/>
      <c r="D30" s="513"/>
      <c r="F30" s="117">
        <f>'Schedule 2J Adjustments'!H29</f>
        <v>0</v>
      </c>
      <c r="G30" s="68">
        <f>'Schedule 2J Adjustments'!J29</f>
        <v>0</v>
      </c>
      <c r="H30" s="68">
        <f t="shared" si="0"/>
        <v>0</v>
      </c>
      <c r="J30" s="117">
        <f>'Schedule 2J Adjustments'!P29</f>
        <v>0</v>
      </c>
      <c r="K30" s="68">
        <f>'Schedule 2J Adjustments'!R29</f>
        <v>0</v>
      </c>
      <c r="L30" s="68">
        <f t="shared" si="1"/>
        <v>0</v>
      </c>
      <c r="N30" s="120">
        <f>'Schedule 2J Adjustments'!X29</f>
        <v>0</v>
      </c>
      <c r="O30" s="120">
        <f>'Schedule 2J Adjustments'!AA29</f>
        <v>0</v>
      </c>
    </row>
    <row r="31" spans="1:15" x14ac:dyDescent="0.35">
      <c r="A31" s="24">
        <v>16</v>
      </c>
      <c r="B31" s="513" t="str">
        <f>'Schedule 2J Adjustments'!B30:D30</f>
        <v/>
      </c>
      <c r="C31" s="513"/>
      <c r="D31" s="513"/>
      <c r="F31" s="117">
        <f>'Schedule 2J Adjustments'!H30</f>
        <v>0</v>
      </c>
      <c r="G31" s="68">
        <f>'Schedule 2J Adjustments'!J30</f>
        <v>0</v>
      </c>
      <c r="H31" s="68">
        <f t="shared" si="0"/>
        <v>0</v>
      </c>
      <c r="J31" s="117">
        <f>'Schedule 2J Adjustments'!P30</f>
        <v>0</v>
      </c>
      <c r="K31" s="68">
        <f>'Schedule 2J Adjustments'!R30</f>
        <v>0</v>
      </c>
      <c r="L31" s="68">
        <f t="shared" si="1"/>
        <v>0</v>
      </c>
      <c r="N31" s="120">
        <f>'Schedule 2J Adjustments'!X30</f>
        <v>0</v>
      </c>
      <c r="O31" s="120">
        <f>'Schedule 2J Adjustments'!AA30</f>
        <v>0</v>
      </c>
    </row>
    <row r="32" spans="1:15" x14ac:dyDescent="0.35">
      <c r="A32" s="24">
        <v>17</v>
      </c>
      <c r="B32" s="513" t="str">
        <f>'Schedule 2J Adjustments'!B31:D31</f>
        <v/>
      </c>
      <c r="C32" s="513"/>
      <c r="D32" s="513"/>
      <c r="F32" s="117">
        <f>'Schedule 2J Adjustments'!H31</f>
        <v>0</v>
      </c>
      <c r="G32" s="68">
        <f>'Schedule 2J Adjustments'!J31</f>
        <v>0</v>
      </c>
      <c r="H32" s="68">
        <f t="shared" si="0"/>
        <v>0</v>
      </c>
      <c r="J32" s="117">
        <f>'Schedule 2J Adjustments'!P31</f>
        <v>0</v>
      </c>
      <c r="K32" s="68">
        <f>'Schedule 2J Adjustments'!R31</f>
        <v>0</v>
      </c>
      <c r="L32" s="68">
        <f t="shared" si="1"/>
        <v>0</v>
      </c>
      <c r="N32" s="120">
        <f>'Schedule 2J Adjustments'!X31</f>
        <v>0</v>
      </c>
      <c r="O32" s="120">
        <f>'Schedule 2J Adjustments'!AA31</f>
        <v>0</v>
      </c>
    </row>
    <row r="33" spans="1:15" x14ac:dyDescent="0.35">
      <c r="A33" s="24">
        <v>18</v>
      </c>
      <c r="B33" s="513" t="str">
        <f>'Schedule 2J Adjustments'!B32:D32</f>
        <v/>
      </c>
      <c r="C33" s="513"/>
      <c r="D33" s="513"/>
      <c r="F33" s="117">
        <f>'Schedule 2J Adjustments'!H32</f>
        <v>0</v>
      </c>
      <c r="G33" s="68">
        <f>'Schedule 2J Adjustments'!J32</f>
        <v>0</v>
      </c>
      <c r="H33" s="68">
        <f t="shared" si="0"/>
        <v>0</v>
      </c>
      <c r="J33" s="117">
        <f>'Schedule 2J Adjustments'!P32</f>
        <v>0</v>
      </c>
      <c r="K33" s="68">
        <f>'Schedule 2J Adjustments'!R32</f>
        <v>0</v>
      </c>
      <c r="L33" s="68">
        <f t="shared" si="1"/>
        <v>0</v>
      </c>
      <c r="N33" s="120">
        <f>'Schedule 2J Adjustments'!X32</f>
        <v>0</v>
      </c>
      <c r="O33" s="120">
        <f>'Schedule 2J Adjustments'!AA32</f>
        <v>0</v>
      </c>
    </row>
    <row r="34" spans="1:15" x14ac:dyDescent="0.35">
      <c r="A34" s="24">
        <v>19</v>
      </c>
      <c r="B34" s="513" t="str">
        <f>'Schedule 2J Adjustments'!B33:D33</f>
        <v/>
      </c>
      <c r="C34" s="513"/>
      <c r="D34" s="513"/>
      <c r="F34" s="117">
        <f>'Schedule 2J Adjustments'!H33</f>
        <v>0</v>
      </c>
      <c r="G34" s="68">
        <f>'Schedule 2J Adjustments'!J33</f>
        <v>0</v>
      </c>
      <c r="H34" s="68">
        <f t="shared" si="0"/>
        <v>0</v>
      </c>
      <c r="J34" s="117">
        <f>'Schedule 2J Adjustments'!P33</f>
        <v>0</v>
      </c>
      <c r="K34" s="68">
        <f>'Schedule 2J Adjustments'!R33</f>
        <v>0</v>
      </c>
      <c r="L34" s="68">
        <f t="shared" si="1"/>
        <v>0</v>
      </c>
      <c r="N34" s="120">
        <f>'Schedule 2J Adjustments'!X33</f>
        <v>0</v>
      </c>
      <c r="O34" s="120">
        <f>'Schedule 2J Adjustments'!AA33</f>
        <v>0</v>
      </c>
    </row>
    <row r="35" spans="1:15" x14ac:dyDescent="0.35">
      <c r="A35" s="24">
        <v>20</v>
      </c>
      <c r="B35" s="513" t="str">
        <f>'Schedule 2J Adjustments'!B34:D34</f>
        <v/>
      </c>
      <c r="C35" s="513"/>
      <c r="D35" s="513"/>
      <c r="F35" s="117">
        <f>'Schedule 2J Adjustments'!H34</f>
        <v>0</v>
      </c>
      <c r="G35" s="68">
        <f>'Schedule 2J Adjustments'!J34</f>
        <v>0</v>
      </c>
      <c r="H35" s="68">
        <f t="shared" si="0"/>
        <v>0</v>
      </c>
      <c r="J35" s="117">
        <f>'Schedule 2J Adjustments'!P34</f>
        <v>0</v>
      </c>
      <c r="K35" s="68">
        <f>'Schedule 2J Adjustments'!R34</f>
        <v>0</v>
      </c>
      <c r="L35" s="68">
        <f t="shared" si="1"/>
        <v>0</v>
      </c>
      <c r="N35" s="120">
        <f>'Schedule 2J Adjustments'!X34</f>
        <v>0</v>
      </c>
      <c r="O35" s="120">
        <f>'Schedule 2J Adjustments'!AA34</f>
        <v>0</v>
      </c>
    </row>
    <row r="36" spans="1:15" x14ac:dyDescent="0.35">
      <c r="A36" s="24">
        <v>21</v>
      </c>
      <c r="B36" s="513" t="str">
        <f>'Schedule 2J Adjustments'!B35:D35</f>
        <v/>
      </c>
      <c r="C36" s="513"/>
      <c r="D36" s="513"/>
      <c r="F36" s="117">
        <f>'Schedule 2J Adjustments'!H35</f>
        <v>0</v>
      </c>
      <c r="G36" s="68">
        <f>'Schedule 2J Adjustments'!J35</f>
        <v>0</v>
      </c>
      <c r="H36" s="68">
        <f t="shared" si="0"/>
        <v>0</v>
      </c>
      <c r="J36" s="117">
        <f>'Schedule 2J Adjustments'!P35</f>
        <v>0</v>
      </c>
      <c r="K36" s="68">
        <f>'Schedule 2J Adjustments'!R35</f>
        <v>0</v>
      </c>
      <c r="L36" s="68">
        <f t="shared" si="1"/>
        <v>0</v>
      </c>
      <c r="N36" s="120">
        <f>'Schedule 2J Adjustments'!X35</f>
        <v>0</v>
      </c>
      <c r="O36" s="120">
        <f>'Schedule 2J Adjustments'!AA35</f>
        <v>0</v>
      </c>
    </row>
    <row r="37" spans="1:15" x14ac:dyDescent="0.35">
      <c r="A37" s="24">
        <v>22</v>
      </c>
      <c r="B37" s="513" t="str">
        <f>'Schedule 2J Adjustments'!B36:D36</f>
        <v/>
      </c>
      <c r="C37" s="513"/>
      <c r="D37" s="513"/>
      <c r="F37" s="117">
        <f>'Schedule 2J Adjustments'!H36</f>
        <v>0</v>
      </c>
      <c r="G37" s="68">
        <f>'Schedule 2J Adjustments'!J36</f>
        <v>0</v>
      </c>
      <c r="H37" s="68">
        <f t="shared" si="0"/>
        <v>0</v>
      </c>
      <c r="J37" s="117">
        <f>'Schedule 2J Adjustments'!P36</f>
        <v>0</v>
      </c>
      <c r="K37" s="68">
        <f>'Schedule 2J Adjustments'!R36</f>
        <v>0</v>
      </c>
      <c r="L37" s="68">
        <f t="shared" si="1"/>
        <v>0</v>
      </c>
      <c r="N37" s="120">
        <f>'Schedule 2J Adjustments'!X36</f>
        <v>0</v>
      </c>
      <c r="O37" s="120">
        <f>'Schedule 2J Adjustments'!AA36</f>
        <v>0</v>
      </c>
    </row>
    <row r="38" spans="1:15" x14ac:dyDescent="0.35">
      <c r="A38" s="24">
        <v>23</v>
      </c>
      <c r="B38" s="513" t="str">
        <f>'Schedule 2J Adjustments'!B37:D37</f>
        <v/>
      </c>
      <c r="C38" s="513"/>
      <c r="D38" s="513"/>
      <c r="F38" s="117">
        <f>'Schedule 2J Adjustments'!H37</f>
        <v>0</v>
      </c>
      <c r="G38" s="68">
        <f>'Schedule 2J Adjustments'!J37</f>
        <v>0</v>
      </c>
      <c r="H38" s="68">
        <f t="shared" si="0"/>
        <v>0</v>
      </c>
      <c r="J38" s="117">
        <f>'Schedule 2J Adjustments'!P37</f>
        <v>0</v>
      </c>
      <c r="K38" s="68">
        <f>'Schedule 2J Adjustments'!R37</f>
        <v>0</v>
      </c>
      <c r="L38" s="68">
        <f t="shared" si="1"/>
        <v>0</v>
      </c>
      <c r="N38" s="120">
        <f>'Schedule 2J Adjustments'!X37</f>
        <v>0</v>
      </c>
      <c r="O38" s="120">
        <f>'Schedule 2J Adjustments'!AA37</f>
        <v>0</v>
      </c>
    </row>
    <row r="39" spans="1:15" x14ac:dyDescent="0.35">
      <c r="A39" s="24">
        <v>24</v>
      </c>
      <c r="B39" s="513" t="str">
        <f>'Schedule 2J Adjustments'!B38:D38</f>
        <v/>
      </c>
      <c r="C39" s="513"/>
      <c r="D39" s="513"/>
      <c r="F39" s="117">
        <f>'Schedule 2J Adjustments'!H38</f>
        <v>0</v>
      </c>
      <c r="G39" s="68">
        <f>'Schedule 2J Adjustments'!J38</f>
        <v>0</v>
      </c>
      <c r="H39" s="68">
        <f t="shared" si="0"/>
        <v>0</v>
      </c>
      <c r="J39" s="117">
        <f>'Schedule 2J Adjustments'!P38</f>
        <v>0</v>
      </c>
      <c r="K39" s="68">
        <f>'Schedule 2J Adjustments'!R38</f>
        <v>0</v>
      </c>
      <c r="L39" s="68">
        <f t="shared" si="1"/>
        <v>0</v>
      </c>
      <c r="N39" s="120">
        <f>'Schedule 2J Adjustments'!X38</f>
        <v>0</v>
      </c>
      <c r="O39" s="120">
        <f>'Schedule 2J Adjustments'!AA38</f>
        <v>0</v>
      </c>
    </row>
    <row r="40" spans="1:15" x14ac:dyDescent="0.35">
      <c r="A40" s="24">
        <v>25</v>
      </c>
      <c r="B40" s="513" t="str">
        <f>'Schedule 2J Adjustments'!B39:D39</f>
        <v/>
      </c>
      <c r="C40" s="513"/>
      <c r="D40" s="513"/>
      <c r="F40" s="117">
        <f>'Schedule 2J Adjustments'!H39</f>
        <v>0</v>
      </c>
      <c r="G40" s="68">
        <f>'Schedule 2J Adjustments'!J39</f>
        <v>0</v>
      </c>
      <c r="H40" s="68">
        <f t="shared" si="0"/>
        <v>0</v>
      </c>
      <c r="J40" s="117">
        <f>'Schedule 2J Adjustments'!P39</f>
        <v>0</v>
      </c>
      <c r="K40" s="68">
        <f>'Schedule 2J Adjustments'!R39</f>
        <v>0</v>
      </c>
      <c r="L40" s="68">
        <f t="shared" si="1"/>
        <v>0</v>
      </c>
      <c r="N40" s="120">
        <f>'Schedule 2J Adjustments'!X39</f>
        <v>0</v>
      </c>
      <c r="O40" s="120">
        <f>'Schedule 2J Adjustments'!AA39</f>
        <v>0</v>
      </c>
    </row>
    <row r="41" spans="1:15" x14ac:dyDescent="0.35">
      <c r="A41" s="24">
        <v>26</v>
      </c>
      <c r="B41" s="513" t="str">
        <f>'Schedule 2J Adjustments'!B40:D40</f>
        <v/>
      </c>
      <c r="C41" s="513"/>
      <c r="D41" s="513"/>
      <c r="F41" s="117">
        <f>'Schedule 2J Adjustments'!H40</f>
        <v>0</v>
      </c>
      <c r="G41" s="68">
        <f>'Schedule 2J Adjustments'!J40</f>
        <v>0</v>
      </c>
      <c r="H41" s="68">
        <f t="shared" si="0"/>
        <v>0</v>
      </c>
      <c r="J41" s="117">
        <f>'Schedule 2J Adjustments'!P40</f>
        <v>0</v>
      </c>
      <c r="K41" s="68">
        <f>'Schedule 2J Adjustments'!R40</f>
        <v>0</v>
      </c>
      <c r="L41" s="68">
        <f t="shared" si="1"/>
        <v>0</v>
      </c>
      <c r="N41" s="120">
        <f>'Schedule 2J Adjustments'!X40</f>
        <v>0</v>
      </c>
      <c r="O41" s="120">
        <f>'Schedule 2J Adjustments'!AA40</f>
        <v>0</v>
      </c>
    </row>
    <row r="42" spans="1:15" x14ac:dyDescent="0.35">
      <c r="A42" s="24">
        <v>27</v>
      </c>
      <c r="B42" s="513" t="str">
        <f>'Schedule 2J Adjustments'!B41:D41</f>
        <v/>
      </c>
      <c r="C42" s="513"/>
      <c r="D42" s="513"/>
      <c r="F42" s="117">
        <f>'Schedule 2J Adjustments'!H41</f>
        <v>0</v>
      </c>
      <c r="G42" s="68">
        <f>'Schedule 2J Adjustments'!J41</f>
        <v>0</v>
      </c>
      <c r="H42" s="68">
        <f t="shared" si="0"/>
        <v>0</v>
      </c>
      <c r="J42" s="117">
        <f>'Schedule 2J Adjustments'!P41</f>
        <v>0</v>
      </c>
      <c r="K42" s="68">
        <f>'Schedule 2J Adjustments'!R41</f>
        <v>0</v>
      </c>
      <c r="L42" s="68">
        <f t="shared" si="1"/>
        <v>0</v>
      </c>
      <c r="N42" s="120">
        <f>'Schedule 2J Adjustments'!X41</f>
        <v>0</v>
      </c>
      <c r="O42" s="120">
        <f>'Schedule 2J Adjustments'!AA41</f>
        <v>0</v>
      </c>
    </row>
    <row r="43" spans="1:15" x14ac:dyDescent="0.35">
      <c r="A43" s="24">
        <v>28</v>
      </c>
      <c r="B43" s="513" t="str">
        <f>'Schedule 2J Adjustments'!B42:D42</f>
        <v/>
      </c>
      <c r="C43" s="513"/>
      <c r="D43" s="513"/>
      <c r="F43" s="117">
        <f>'Schedule 2J Adjustments'!H42</f>
        <v>0</v>
      </c>
      <c r="G43" s="68">
        <f>'Schedule 2J Adjustments'!J42</f>
        <v>0</v>
      </c>
      <c r="H43" s="68">
        <f t="shared" si="0"/>
        <v>0</v>
      </c>
      <c r="J43" s="117">
        <f>'Schedule 2J Adjustments'!P42</f>
        <v>0</v>
      </c>
      <c r="K43" s="68">
        <f>'Schedule 2J Adjustments'!R42</f>
        <v>0</v>
      </c>
      <c r="L43" s="68">
        <f t="shared" si="1"/>
        <v>0</v>
      </c>
      <c r="N43" s="120">
        <f>'Schedule 2J Adjustments'!X42</f>
        <v>0</v>
      </c>
      <c r="O43" s="120">
        <f>'Schedule 2J Adjustments'!AA42</f>
        <v>0</v>
      </c>
    </row>
    <row r="44" spans="1:15" x14ac:dyDescent="0.35">
      <c r="A44" s="24">
        <v>29</v>
      </c>
      <c r="B44" s="513" t="str">
        <f>'Schedule 2J Adjustments'!B43:D43</f>
        <v/>
      </c>
      <c r="C44" s="513"/>
      <c r="D44" s="513"/>
      <c r="F44" s="117">
        <f>'Schedule 2J Adjustments'!H43</f>
        <v>0</v>
      </c>
      <c r="G44" s="68">
        <f>'Schedule 2J Adjustments'!J43</f>
        <v>0</v>
      </c>
      <c r="H44" s="68">
        <f t="shared" si="0"/>
        <v>0</v>
      </c>
      <c r="J44" s="117">
        <f>'Schedule 2J Adjustments'!P43</f>
        <v>0</v>
      </c>
      <c r="K44" s="68">
        <f>'Schedule 2J Adjustments'!R43</f>
        <v>0</v>
      </c>
      <c r="L44" s="68">
        <f t="shared" si="1"/>
        <v>0</v>
      </c>
      <c r="N44" s="120">
        <f>'Schedule 2J Adjustments'!X43</f>
        <v>0</v>
      </c>
      <c r="O44" s="120">
        <f>'Schedule 2J Adjustments'!AA43</f>
        <v>0</v>
      </c>
    </row>
    <row r="45" spans="1:15" x14ac:dyDescent="0.35">
      <c r="A45" s="24">
        <v>30</v>
      </c>
      <c r="B45" s="513" t="str">
        <f>'Schedule 2J Adjustments'!B44:D44</f>
        <v/>
      </c>
      <c r="C45" s="513"/>
      <c r="D45" s="513"/>
      <c r="F45" s="117">
        <f>'Schedule 2J Adjustments'!H44</f>
        <v>0</v>
      </c>
      <c r="G45" s="68">
        <f>'Schedule 2J Adjustments'!J44</f>
        <v>0</v>
      </c>
      <c r="H45" s="68">
        <f t="shared" si="0"/>
        <v>0</v>
      </c>
      <c r="J45" s="117">
        <f>'Schedule 2J Adjustments'!P44</f>
        <v>0</v>
      </c>
      <c r="K45" s="68">
        <f>'Schedule 2J Adjustments'!R44</f>
        <v>0</v>
      </c>
      <c r="L45" s="68">
        <f t="shared" si="1"/>
        <v>0</v>
      </c>
      <c r="N45" s="120">
        <f>'Schedule 2J Adjustments'!X44</f>
        <v>0</v>
      </c>
      <c r="O45" s="120">
        <f>'Schedule 2J Adjustments'!AA44</f>
        <v>0</v>
      </c>
    </row>
    <row r="46" spans="1:15" x14ac:dyDescent="0.35">
      <c r="A46" s="24">
        <v>31</v>
      </c>
      <c r="B46" s="513" t="str">
        <f>'Schedule 2J Adjustments'!B45:D45</f>
        <v/>
      </c>
      <c r="C46" s="513"/>
      <c r="D46" s="513"/>
      <c r="F46" s="117">
        <f>'Schedule 2J Adjustments'!H45</f>
        <v>0</v>
      </c>
      <c r="G46" s="68">
        <f>'Schedule 2J Adjustments'!J45</f>
        <v>0</v>
      </c>
      <c r="H46" s="68">
        <f t="shared" si="0"/>
        <v>0</v>
      </c>
      <c r="J46" s="117">
        <f>'Schedule 2J Adjustments'!P45</f>
        <v>0</v>
      </c>
      <c r="K46" s="68">
        <f>'Schedule 2J Adjustments'!R45</f>
        <v>0</v>
      </c>
      <c r="L46" s="68">
        <f t="shared" si="1"/>
        <v>0</v>
      </c>
      <c r="N46" s="120">
        <f>'Schedule 2J Adjustments'!X45</f>
        <v>0</v>
      </c>
      <c r="O46" s="120">
        <f>'Schedule 2J Adjustments'!AA45</f>
        <v>0</v>
      </c>
    </row>
    <row r="47" spans="1:15" x14ac:dyDescent="0.35">
      <c r="A47" s="24">
        <v>32</v>
      </c>
      <c r="B47" s="513" t="str">
        <f>'Schedule 2J Adjustments'!B46:D46</f>
        <v/>
      </c>
      <c r="C47" s="513"/>
      <c r="D47" s="513"/>
      <c r="F47" s="117">
        <f>'Schedule 2J Adjustments'!H46</f>
        <v>0</v>
      </c>
      <c r="G47" s="68">
        <f>'Schedule 2J Adjustments'!J46</f>
        <v>0</v>
      </c>
      <c r="H47" s="68">
        <f t="shared" si="0"/>
        <v>0</v>
      </c>
      <c r="J47" s="117">
        <f>'Schedule 2J Adjustments'!P46</f>
        <v>0</v>
      </c>
      <c r="K47" s="68">
        <f>'Schedule 2J Adjustments'!R46</f>
        <v>0</v>
      </c>
      <c r="L47" s="68">
        <f t="shared" si="1"/>
        <v>0</v>
      </c>
      <c r="N47" s="120">
        <f>'Schedule 2J Adjustments'!X46</f>
        <v>0</v>
      </c>
      <c r="O47" s="120">
        <f>'Schedule 2J Adjustments'!AA46</f>
        <v>0</v>
      </c>
    </row>
    <row r="48" spans="1:15" x14ac:dyDescent="0.35">
      <c r="A48" s="24">
        <v>33</v>
      </c>
      <c r="B48" s="513" t="str">
        <f>'Schedule 2J Adjustments'!B47:D47</f>
        <v/>
      </c>
      <c r="C48" s="513"/>
      <c r="D48" s="513"/>
      <c r="F48" s="117">
        <f>'Schedule 2J Adjustments'!H47</f>
        <v>0</v>
      </c>
      <c r="G48" s="68">
        <f>'Schedule 2J Adjustments'!J47</f>
        <v>0</v>
      </c>
      <c r="H48" s="68">
        <f t="shared" si="0"/>
        <v>0</v>
      </c>
      <c r="J48" s="117">
        <f>'Schedule 2J Adjustments'!P47</f>
        <v>0</v>
      </c>
      <c r="K48" s="68">
        <f>'Schedule 2J Adjustments'!R47</f>
        <v>0</v>
      </c>
      <c r="L48" s="68">
        <f t="shared" si="1"/>
        <v>0</v>
      </c>
      <c r="N48" s="120">
        <f>'Schedule 2J Adjustments'!X47</f>
        <v>0</v>
      </c>
      <c r="O48" s="120">
        <f>'Schedule 2J Adjustments'!AA47</f>
        <v>0</v>
      </c>
    </row>
    <row r="49" spans="1:15" x14ac:dyDescent="0.35">
      <c r="A49" s="24">
        <v>34</v>
      </c>
      <c r="B49" s="513" t="str">
        <f>'Schedule 2J Adjustments'!B48:D48</f>
        <v/>
      </c>
      <c r="C49" s="513"/>
      <c r="D49" s="513"/>
      <c r="F49" s="117">
        <f>'Schedule 2J Adjustments'!H48</f>
        <v>0</v>
      </c>
      <c r="G49" s="68">
        <f>'Schedule 2J Adjustments'!J48</f>
        <v>0</v>
      </c>
      <c r="H49" s="68">
        <f t="shared" si="0"/>
        <v>0</v>
      </c>
      <c r="J49" s="117">
        <f>'Schedule 2J Adjustments'!P48</f>
        <v>0</v>
      </c>
      <c r="K49" s="68">
        <f>'Schedule 2J Adjustments'!R48</f>
        <v>0</v>
      </c>
      <c r="L49" s="68">
        <f t="shared" si="1"/>
        <v>0</v>
      </c>
      <c r="N49" s="120">
        <f>'Schedule 2J Adjustments'!X48</f>
        <v>0</v>
      </c>
      <c r="O49" s="120">
        <f>'Schedule 2J Adjustments'!AA48</f>
        <v>0</v>
      </c>
    </row>
    <row r="50" spans="1:15" x14ac:dyDescent="0.35">
      <c r="A50" s="24">
        <v>35</v>
      </c>
      <c r="B50" s="513" t="str">
        <f>'Schedule 2J Adjustments'!B49:D49</f>
        <v/>
      </c>
      <c r="C50" s="513"/>
      <c r="D50" s="513"/>
      <c r="F50" s="117">
        <f>'Schedule 2J Adjustments'!H49</f>
        <v>0</v>
      </c>
      <c r="G50" s="68">
        <f>'Schedule 2J Adjustments'!J49</f>
        <v>0</v>
      </c>
      <c r="H50" s="68">
        <f t="shared" si="0"/>
        <v>0</v>
      </c>
      <c r="J50" s="117">
        <f>'Schedule 2J Adjustments'!P49</f>
        <v>0</v>
      </c>
      <c r="K50" s="68">
        <f>'Schedule 2J Adjustments'!R49</f>
        <v>0</v>
      </c>
      <c r="L50" s="68">
        <f t="shared" si="1"/>
        <v>0</v>
      </c>
      <c r="N50" s="120">
        <f>'Schedule 2J Adjustments'!X49</f>
        <v>0</v>
      </c>
      <c r="O50" s="120">
        <f>'Schedule 2J Adjustments'!AA49</f>
        <v>0</v>
      </c>
    </row>
    <row r="51" spans="1:15" x14ac:dyDescent="0.35">
      <c r="A51" s="24">
        <v>36</v>
      </c>
      <c r="B51" s="513" t="str">
        <f>'Schedule 2J Adjustments'!B50:D50</f>
        <v/>
      </c>
      <c r="C51" s="513"/>
      <c r="D51" s="513"/>
      <c r="F51" s="117">
        <f>'Schedule 2J Adjustments'!H50</f>
        <v>0</v>
      </c>
      <c r="G51" s="68">
        <f>'Schedule 2J Adjustments'!J50</f>
        <v>0</v>
      </c>
      <c r="H51" s="68">
        <f t="shared" si="0"/>
        <v>0</v>
      </c>
      <c r="J51" s="117">
        <f>'Schedule 2J Adjustments'!P50</f>
        <v>0</v>
      </c>
      <c r="K51" s="68">
        <f>'Schedule 2J Adjustments'!R50</f>
        <v>0</v>
      </c>
      <c r="L51" s="68">
        <f t="shared" si="1"/>
        <v>0</v>
      </c>
      <c r="N51" s="120">
        <f>'Schedule 2J Adjustments'!X50</f>
        <v>0</v>
      </c>
      <c r="O51" s="120">
        <f>'Schedule 2J Adjustments'!AA50</f>
        <v>0</v>
      </c>
    </row>
    <row r="52" spans="1:15" x14ac:dyDescent="0.35">
      <c r="A52" s="24">
        <v>37</v>
      </c>
      <c r="B52" s="513" t="str">
        <f>'Schedule 2J Adjustments'!B51:D51</f>
        <v/>
      </c>
      <c r="C52" s="513"/>
      <c r="D52" s="513"/>
      <c r="F52" s="117">
        <f>'Schedule 2J Adjustments'!H51</f>
        <v>0</v>
      </c>
      <c r="G52" s="68">
        <f>'Schedule 2J Adjustments'!J51</f>
        <v>0</v>
      </c>
      <c r="H52" s="68">
        <f t="shared" si="0"/>
        <v>0</v>
      </c>
      <c r="J52" s="117">
        <f>'Schedule 2J Adjustments'!P51</f>
        <v>0</v>
      </c>
      <c r="K52" s="68">
        <f>'Schedule 2J Adjustments'!R51</f>
        <v>0</v>
      </c>
      <c r="L52" s="68">
        <f t="shared" si="1"/>
        <v>0</v>
      </c>
      <c r="N52" s="120">
        <f>'Schedule 2J Adjustments'!X51</f>
        <v>0</v>
      </c>
      <c r="O52" s="120">
        <f>'Schedule 2J Adjustments'!AA51</f>
        <v>0</v>
      </c>
    </row>
    <row r="53" spans="1:15" x14ac:dyDescent="0.35">
      <c r="A53" s="24">
        <v>38</v>
      </c>
      <c r="B53" s="513" t="str">
        <f>'Schedule 2J Adjustments'!B52:D52</f>
        <v/>
      </c>
      <c r="C53" s="513"/>
      <c r="D53" s="513"/>
      <c r="F53" s="117">
        <f>'Schedule 2J Adjustments'!H52</f>
        <v>0</v>
      </c>
      <c r="G53" s="68">
        <f>'Schedule 2J Adjustments'!J52</f>
        <v>0</v>
      </c>
      <c r="H53" s="68">
        <f t="shared" si="0"/>
        <v>0</v>
      </c>
      <c r="J53" s="117">
        <f>'Schedule 2J Adjustments'!P52</f>
        <v>0</v>
      </c>
      <c r="K53" s="68">
        <f>'Schedule 2J Adjustments'!R52</f>
        <v>0</v>
      </c>
      <c r="L53" s="68">
        <f t="shared" si="1"/>
        <v>0</v>
      </c>
      <c r="N53" s="120">
        <f>'Schedule 2J Adjustments'!X52</f>
        <v>0</v>
      </c>
      <c r="O53" s="120">
        <f>'Schedule 2J Adjustments'!AA52</f>
        <v>0</v>
      </c>
    </row>
    <row r="54" spans="1:15" x14ac:dyDescent="0.35">
      <c r="A54" s="24">
        <v>39</v>
      </c>
      <c r="B54" s="513" t="str">
        <f>'Schedule 2J Adjustments'!B53:D53</f>
        <v/>
      </c>
      <c r="C54" s="513"/>
      <c r="D54" s="513"/>
      <c r="F54" s="117">
        <f>'Schedule 2J Adjustments'!H53</f>
        <v>0</v>
      </c>
      <c r="G54" s="68">
        <f>'Schedule 2J Adjustments'!J53</f>
        <v>0</v>
      </c>
      <c r="H54" s="68">
        <f t="shared" si="0"/>
        <v>0</v>
      </c>
      <c r="J54" s="117">
        <f>'Schedule 2J Adjustments'!P53</f>
        <v>0</v>
      </c>
      <c r="K54" s="68">
        <f>'Schedule 2J Adjustments'!R53</f>
        <v>0</v>
      </c>
      <c r="L54" s="68">
        <f t="shared" si="1"/>
        <v>0</v>
      </c>
      <c r="N54" s="120">
        <f>'Schedule 2J Adjustments'!X53</f>
        <v>0</v>
      </c>
      <c r="O54" s="120">
        <f>'Schedule 2J Adjustments'!AA53</f>
        <v>0</v>
      </c>
    </row>
    <row r="55" spans="1:15" x14ac:dyDescent="0.35">
      <c r="A55" s="24">
        <v>40</v>
      </c>
      <c r="B55" s="513" t="str">
        <f>'Schedule 2J Adjustments'!B54:D54</f>
        <v/>
      </c>
      <c r="C55" s="513"/>
      <c r="D55" s="513"/>
      <c r="F55" s="117">
        <f>'Schedule 2J Adjustments'!H54</f>
        <v>0</v>
      </c>
      <c r="G55" s="68">
        <f>'Schedule 2J Adjustments'!J54</f>
        <v>0</v>
      </c>
      <c r="H55" s="68">
        <f t="shared" si="0"/>
        <v>0</v>
      </c>
      <c r="J55" s="117">
        <f>'Schedule 2J Adjustments'!P54</f>
        <v>0</v>
      </c>
      <c r="K55" s="68">
        <f>'Schedule 2J Adjustments'!R54</f>
        <v>0</v>
      </c>
      <c r="L55" s="68">
        <f t="shared" si="1"/>
        <v>0</v>
      </c>
      <c r="N55" s="120">
        <f>'Schedule 2J Adjustments'!X54</f>
        <v>0</v>
      </c>
      <c r="O55" s="120">
        <f>'Schedule 2J Adjustments'!AA54</f>
        <v>0</v>
      </c>
    </row>
    <row r="56" spans="1:15" x14ac:dyDescent="0.35">
      <c r="A56" s="24">
        <v>41</v>
      </c>
      <c r="B56" s="513" t="str">
        <f>'Schedule 2J Adjustments'!B55:D55</f>
        <v/>
      </c>
      <c r="C56" s="513"/>
      <c r="D56" s="513"/>
      <c r="F56" s="117">
        <f>'Schedule 2J Adjustments'!H55</f>
        <v>0</v>
      </c>
      <c r="G56" s="68">
        <f>'Schedule 2J Adjustments'!J55</f>
        <v>0</v>
      </c>
      <c r="H56" s="68">
        <f t="shared" si="0"/>
        <v>0</v>
      </c>
      <c r="J56" s="117">
        <f>'Schedule 2J Adjustments'!P55</f>
        <v>0</v>
      </c>
      <c r="K56" s="68">
        <f>'Schedule 2J Adjustments'!R55</f>
        <v>0</v>
      </c>
      <c r="L56" s="68">
        <f t="shared" si="1"/>
        <v>0</v>
      </c>
      <c r="N56" s="120">
        <f>'Schedule 2J Adjustments'!X55</f>
        <v>0</v>
      </c>
      <c r="O56" s="120">
        <f>'Schedule 2J Adjustments'!AA55</f>
        <v>0</v>
      </c>
    </row>
    <row r="57" spans="1:15" x14ac:dyDescent="0.35">
      <c r="A57" s="24">
        <v>42</v>
      </c>
      <c r="B57" s="513" t="str">
        <f>'Schedule 2J Adjustments'!B56:D56</f>
        <v/>
      </c>
      <c r="C57" s="513"/>
      <c r="D57" s="513"/>
      <c r="F57" s="117">
        <f>'Schedule 2J Adjustments'!H56</f>
        <v>0</v>
      </c>
      <c r="G57" s="68">
        <f>'Schedule 2J Adjustments'!J56</f>
        <v>0</v>
      </c>
      <c r="H57" s="68">
        <f t="shared" si="0"/>
        <v>0</v>
      </c>
      <c r="J57" s="117">
        <f>'Schedule 2J Adjustments'!P56</f>
        <v>0</v>
      </c>
      <c r="K57" s="68">
        <f>'Schedule 2J Adjustments'!R56</f>
        <v>0</v>
      </c>
      <c r="L57" s="68">
        <f t="shared" si="1"/>
        <v>0</v>
      </c>
      <c r="N57" s="120">
        <f>'Schedule 2J Adjustments'!X56</f>
        <v>0</v>
      </c>
      <c r="O57" s="120">
        <f>'Schedule 2J Adjustments'!AA56</f>
        <v>0</v>
      </c>
    </row>
    <row r="58" spans="1:15" x14ac:dyDescent="0.35">
      <c r="A58" s="24">
        <v>43</v>
      </c>
      <c r="B58" s="513" t="str">
        <f>'Schedule 2J Adjustments'!B57:D57</f>
        <v/>
      </c>
      <c r="C58" s="513"/>
      <c r="D58" s="513"/>
      <c r="F58" s="117">
        <f>'Schedule 2J Adjustments'!H57</f>
        <v>0</v>
      </c>
      <c r="G58" s="68">
        <f>'Schedule 2J Adjustments'!J57</f>
        <v>0</v>
      </c>
      <c r="H58" s="68">
        <f t="shared" si="0"/>
        <v>0</v>
      </c>
      <c r="J58" s="117">
        <f>'Schedule 2J Adjustments'!P57</f>
        <v>0</v>
      </c>
      <c r="K58" s="68">
        <f>'Schedule 2J Adjustments'!R57</f>
        <v>0</v>
      </c>
      <c r="L58" s="68">
        <f t="shared" si="1"/>
        <v>0</v>
      </c>
      <c r="N58" s="120">
        <f>'Schedule 2J Adjustments'!X57</f>
        <v>0</v>
      </c>
      <c r="O58" s="120">
        <f>'Schedule 2J Adjustments'!AA57</f>
        <v>0</v>
      </c>
    </row>
    <row r="59" spans="1:15" x14ac:dyDescent="0.35">
      <c r="A59" s="24">
        <v>44</v>
      </c>
      <c r="B59" s="513" t="str">
        <f>'Schedule 2J Adjustments'!B58:D58</f>
        <v/>
      </c>
      <c r="C59" s="513"/>
      <c r="D59" s="513"/>
      <c r="F59" s="117">
        <f>'Schedule 2J Adjustments'!H58</f>
        <v>0</v>
      </c>
      <c r="G59" s="68">
        <f>'Schedule 2J Adjustments'!J58</f>
        <v>0</v>
      </c>
      <c r="H59" s="68">
        <f t="shared" si="0"/>
        <v>0</v>
      </c>
      <c r="J59" s="117">
        <f>'Schedule 2J Adjustments'!P58</f>
        <v>0</v>
      </c>
      <c r="K59" s="68">
        <f>'Schedule 2J Adjustments'!R58</f>
        <v>0</v>
      </c>
      <c r="L59" s="68">
        <f t="shared" si="1"/>
        <v>0</v>
      </c>
      <c r="N59" s="120">
        <f>'Schedule 2J Adjustments'!X58</f>
        <v>0</v>
      </c>
      <c r="O59" s="120">
        <f>'Schedule 2J Adjustments'!AA58</f>
        <v>0</v>
      </c>
    </row>
    <row r="60" spans="1:15" x14ac:dyDescent="0.35">
      <c r="A60" s="24">
        <v>45</v>
      </c>
      <c r="B60" s="513" t="str">
        <f>'Schedule 2J Adjustments'!B59:D59</f>
        <v/>
      </c>
      <c r="C60" s="513"/>
      <c r="D60" s="513"/>
      <c r="F60" s="117">
        <f>'Schedule 2J Adjustments'!H59</f>
        <v>0</v>
      </c>
      <c r="G60" s="68">
        <f>'Schedule 2J Adjustments'!J59</f>
        <v>0</v>
      </c>
      <c r="H60" s="68">
        <f t="shared" si="0"/>
        <v>0</v>
      </c>
      <c r="J60" s="117">
        <f>'Schedule 2J Adjustments'!P59</f>
        <v>0</v>
      </c>
      <c r="K60" s="68">
        <f>'Schedule 2J Adjustments'!R59</f>
        <v>0</v>
      </c>
      <c r="L60" s="68">
        <f t="shared" si="1"/>
        <v>0</v>
      </c>
      <c r="N60" s="120">
        <f>'Schedule 2J Adjustments'!X59</f>
        <v>0</v>
      </c>
      <c r="O60" s="120">
        <f>'Schedule 2J Adjustments'!AA59</f>
        <v>0</v>
      </c>
    </row>
    <row r="61" spans="1:15" x14ac:dyDescent="0.35">
      <c r="A61" s="24">
        <v>46</v>
      </c>
      <c r="B61" s="513" t="str">
        <f>'Schedule 2J Adjustments'!B60:D60</f>
        <v/>
      </c>
      <c r="C61" s="513"/>
      <c r="D61" s="513"/>
      <c r="F61" s="117">
        <f>'Schedule 2J Adjustments'!H60</f>
        <v>0</v>
      </c>
      <c r="G61" s="68">
        <f>'Schedule 2J Adjustments'!J60</f>
        <v>0</v>
      </c>
      <c r="H61" s="68">
        <f t="shared" si="0"/>
        <v>0</v>
      </c>
      <c r="J61" s="117">
        <f>'Schedule 2J Adjustments'!P60</f>
        <v>0</v>
      </c>
      <c r="K61" s="68">
        <f>'Schedule 2J Adjustments'!R60</f>
        <v>0</v>
      </c>
      <c r="L61" s="68">
        <f t="shared" si="1"/>
        <v>0</v>
      </c>
      <c r="N61" s="120">
        <f>'Schedule 2J Adjustments'!X60</f>
        <v>0</v>
      </c>
      <c r="O61" s="120">
        <f>'Schedule 2J Adjustments'!AA60</f>
        <v>0</v>
      </c>
    </row>
    <row r="62" spans="1:15" x14ac:dyDescent="0.35">
      <c r="A62" s="24">
        <v>47</v>
      </c>
      <c r="B62" s="513" t="str">
        <f>'Schedule 2J Adjustments'!B61:D61</f>
        <v/>
      </c>
      <c r="C62" s="513"/>
      <c r="D62" s="513"/>
      <c r="F62" s="117">
        <f>'Schedule 2J Adjustments'!H61</f>
        <v>0</v>
      </c>
      <c r="G62" s="68">
        <f>'Schedule 2J Adjustments'!J61</f>
        <v>0</v>
      </c>
      <c r="H62" s="68">
        <f t="shared" si="0"/>
        <v>0</v>
      </c>
      <c r="J62" s="117">
        <f>'Schedule 2J Adjustments'!P61</f>
        <v>0</v>
      </c>
      <c r="K62" s="68">
        <f>'Schedule 2J Adjustments'!R61</f>
        <v>0</v>
      </c>
      <c r="L62" s="68">
        <f t="shared" si="1"/>
        <v>0</v>
      </c>
      <c r="N62" s="120">
        <f>'Schedule 2J Adjustments'!X61</f>
        <v>0</v>
      </c>
      <c r="O62" s="120">
        <f>'Schedule 2J Adjustments'!AA61</f>
        <v>0</v>
      </c>
    </row>
    <row r="63" spans="1:15" x14ac:dyDescent="0.35">
      <c r="A63" s="24">
        <v>48</v>
      </c>
      <c r="B63" s="513" t="str">
        <f>'Schedule 2J Adjustments'!B62:D62</f>
        <v/>
      </c>
      <c r="C63" s="513"/>
      <c r="D63" s="513"/>
      <c r="F63" s="117">
        <f>'Schedule 2J Adjustments'!H62</f>
        <v>0</v>
      </c>
      <c r="G63" s="68">
        <f>'Schedule 2J Adjustments'!J62</f>
        <v>0</v>
      </c>
      <c r="H63" s="68">
        <f t="shared" si="0"/>
        <v>0</v>
      </c>
      <c r="J63" s="117">
        <f>'Schedule 2J Adjustments'!P62</f>
        <v>0</v>
      </c>
      <c r="K63" s="68">
        <f>'Schedule 2J Adjustments'!R62</f>
        <v>0</v>
      </c>
      <c r="L63" s="68">
        <f t="shared" si="1"/>
        <v>0</v>
      </c>
      <c r="N63" s="120">
        <f>'Schedule 2J Adjustments'!X62</f>
        <v>0</v>
      </c>
      <c r="O63" s="120">
        <f>'Schedule 2J Adjustments'!AA62</f>
        <v>0</v>
      </c>
    </row>
    <row r="64" spans="1:15" x14ac:dyDescent="0.35">
      <c r="A64" s="24">
        <v>49</v>
      </c>
      <c r="B64" s="513" t="str">
        <f>'Schedule 2J Adjustments'!B63:D63</f>
        <v/>
      </c>
      <c r="C64" s="513"/>
      <c r="D64" s="513"/>
      <c r="F64" s="117">
        <f>'Schedule 2J Adjustments'!H63</f>
        <v>0</v>
      </c>
      <c r="G64" s="68">
        <f>'Schedule 2J Adjustments'!J63</f>
        <v>0</v>
      </c>
      <c r="H64" s="68">
        <f t="shared" si="0"/>
        <v>0</v>
      </c>
      <c r="J64" s="117">
        <f>'Schedule 2J Adjustments'!P63</f>
        <v>0</v>
      </c>
      <c r="K64" s="68">
        <f>'Schedule 2J Adjustments'!R63</f>
        <v>0</v>
      </c>
      <c r="L64" s="68">
        <f t="shared" si="1"/>
        <v>0</v>
      </c>
      <c r="N64" s="120">
        <f>'Schedule 2J Adjustments'!X63</f>
        <v>0</v>
      </c>
      <c r="O64" s="120">
        <f>'Schedule 2J Adjustments'!AA63</f>
        <v>0</v>
      </c>
    </row>
    <row r="65" spans="1:15" x14ac:dyDescent="0.35">
      <c r="A65" s="24">
        <v>50</v>
      </c>
      <c r="B65" s="513" t="str">
        <f>'Schedule 2J Adjustments'!B64:D64</f>
        <v/>
      </c>
      <c r="C65" s="513"/>
      <c r="D65" s="513"/>
      <c r="F65" s="117">
        <f>'Schedule 2J Adjustments'!H64</f>
        <v>0</v>
      </c>
      <c r="G65" s="68">
        <f>'Schedule 2J Adjustments'!J64</f>
        <v>0</v>
      </c>
      <c r="H65" s="68">
        <f t="shared" si="0"/>
        <v>0</v>
      </c>
      <c r="J65" s="117">
        <f>'Schedule 2J Adjustments'!P64</f>
        <v>0</v>
      </c>
      <c r="K65" s="68">
        <f>'Schedule 2J Adjustments'!R64</f>
        <v>0</v>
      </c>
      <c r="L65" s="68">
        <f t="shared" si="1"/>
        <v>0</v>
      </c>
      <c r="N65" s="120">
        <f>'Schedule 2J Adjustments'!X64</f>
        <v>0</v>
      </c>
      <c r="O65" s="120">
        <f>'Schedule 2J Adjustments'!AA64</f>
        <v>0</v>
      </c>
    </row>
    <row r="66" spans="1:15" x14ac:dyDescent="0.35">
      <c r="A66" s="24">
        <v>51</v>
      </c>
      <c r="B66" s="513" t="str">
        <f>'Schedule 2J Adjustments'!B65:D65</f>
        <v/>
      </c>
      <c r="C66" s="513"/>
      <c r="D66" s="513"/>
      <c r="F66" s="117">
        <f>'Schedule 2J Adjustments'!H65</f>
        <v>0</v>
      </c>
      <c r="G66" s="68">
        <f>'Schedule 2J Adjustments'!J65</f>
        <v>0</v>
      </c>
      <c r="H66" s="68">
        <f t="shared" si="0"/>
        <v>0</v>
      </c>
      <c r="J66" s="117">
        <f>'Schedule 2J Adjustments'!P65</f>
        <v>0</v>
      </c>
      <c r="K66" s="68">
        <f>'Schedule 2J Adjustments'!R65</f>
        <v>0</v>
      </c>
      <c r="L66" s="68">
        <f t="shared" si="1"/>
        <v>0</v>
      </c>
      <c r="N66" s="120">
        <f>'Schedule 2J Adjustments'!X65</f>
        <v>0</v>
      </c>
      <c r="O66" s="120">
        <f>'Schedule 2J Adjustments'!AA65</f>
        <v>0</v>
      </c>
    </row>
    <row r="67" spans="1:15" x14ac:dyDescent="0.35">
      <c r="A67" s="24">
        <v>52</v>
      </c>
      <c r="B67" s="513" t="str">
        <f>'Schedule 2J Adjustments'!B66:D66</f>
        <v/>
      </c>
      <c r="C67" s="513"/>
      <c r="D67" s="513"/>
      <c r="F67" s="117">
        <f>'Schedule 2J Adjustments'!H66</f>
        <v>0</v>
      </c>
      <c r="G67" s="68">
        <f>'Schedule 2J Adjustments'!J66</f>
        <v>0</v>
      </c>
      <c r="H67" s="68">
        <f t="shared" si="0"/>
        <v>0</v>
      </c>
      <c r="J67" s="117">
        <f>'Schedule 2J Adjustments'!P66</f>
        <v>0</v>
      </c>
      <c r="K67" s="68">
        <f>'Schedule 2J Adjustments'!R66</f>
        <v>0</v>
      </c>
      <c r="L67" s="68">
        <f t="shared" si="1"/>
        <v>0</v>
      </c>
      <c r="N67" s="120">
        <f>'Schedule 2J Adjustments'!X66</f>
        <v>0</v>
      </c>
      <c r="O67" s="120">
        <f>'Schedule 2J Adjustments'!AA66</f>
        <v>0</v>
      </c>
    </row>
    <row r="68" spans="1:15" x14ac:dyDescent="0.35">
      <c r="A68" s="24">
        <v>53</v>
      </c>
      <c r="B68" s="513" t="str">
        <f>'Schedule 2J Adjustments'!B67:D67</f>
        <v/>
      </c>
      <c r="C68" s="513"/>
      <c r="D68" s="513"/>
      <c r="F68" s="117">
        <f>'Schedule 2J Adjustments'!H67</f>
        <v>0</v>
      </c>
      <c r="G68" s="68">
        <f>'Schedule 2J Adjustments'!J67</f>
        <v>0</v>
      </c>
      <c r="H68" s="68">
        <f t="shared" si="0"/>
        <v>0</v>
      </c>
      <c r="J68" s="117">
        <f>'Schedule 2J Adjustments'!P67</f>
        <v>0</v>
      </c>
      <c r="K68" s="68">
        <f>'Schedule 2J Adjustments'!R67</f>
        <v>0</v>
      </c>
      <c r="L68" s="68">
        <f t="shared" si="1"/>
        <v>0</v>
      </c>
      <c r="N68" s="120">
        <f>'Schedule 2J Adjustments'!X67</f>
        <v>0</v>
      </c>
      <c r="O68" s="120">
        <f>'Schedule 2J Adjustments'!AA67</f>
        <v>0</v>
      </c>
    </row>
    <row r="69" spans="1:15" x14ac:dyDescent="0.35">
      <c r="A69" s="24">
        <v>54</v>
      </c>
      <c r="B69" s="513" t="str">
        <f>'Schedule 2J Adjustments'!B68:D68</f>
        <v/>
      </c>
      <c r="C69" s="513"/>
      <c r="D69" s="513"/>
      <c r="F69" s="117">
        <f>'Schedule 2J Adjustments'!H68</f>
        <v>0</v>
      </c>
      <c r="G69" s="68">
        <f>'Schedule 2J Adjustments'!J68</f>
        <v>0</v>
      </c>
      <c r="H69" s="68">
        <f t="shared" si="0"/>
        <v>0</v>
      </c>
      <c r="J69" s="117">
        <f>'Schedule 2J Adjustments'!P68</f>
        <v>0</v>
      </c>
      <c r="K69" s="68">
        <f>'Schedule 2J Adjustments'!R68</f>
        <v>0</v>
      </c>
      <c r="L69" s="68">
        <f t="shared" si="1"/>
        <v>0</v>
      </c>
      <c r="N69" s="120">
        <f>'Schedule 2J Adjustments'!X68</f>
        <v>0</v>
      </c>
      <c r="O69" s="120">
        <f>'Schedule 2J Adjustments'!AA68</f>
        <v>0</v>
      </c>
    </row>
    <row r="70" spans="1:15" x14ac:dyDescent="0.35">
      <c r="A70" s="24">
        <v>55</v>
      </c>
      <c r="B70" s="513" t="str">
        <f>'Schedule 2J Adjustments'!B69:D69</f>
        <v/>
      </c>
      <c r="C70" s="513"/>
      <c r="D70" s="513"/>
      <c r="F70" s="117">
        <f>'Schedule 2J Adjustments'!H69</f>
        <v>0</v>
      </c>
      <c r="G70" s="68">
        <f>'Schedule 2J Adjustments'!J69</f>
        <v>0</v>
      </c>
      <c r="H70" s="68">
        <f t="shared" si="0"/>
        <v>0</v>
      </c>
      <c r="J70" s="117">
        <f>'Schedule 2J Adjustments'!P69</f>
        <v>0</v>
      </c>
      <c r="K70" s="68">
        <f>'Schedule 2J Adjustments'!R69</f>
        <v>0</v>
      </c>
      <c r="L70" s="68">
        <f t="shared" si="1"/>
        <v>0</v>
      </c>
      <c r="N70" s="120">
        <f>'Schedule 2J Adjustments'!X69</f>
        <v>0</v>
      </c>
      <c r="O70" s="120">
        <f>'Schedule 2J Adjustments'!AA69</f>
        <v>0</v>
      </c>
    </row>
    <row r="71" spans="1:15" x14ac:dyDescent="0.35">
      <c r="A71" s="24">
        <v>56</v>
      </c>
      <c r="B71" s="513" t="str">
        <f>'Schedule 2J Adjustments'!B70:D70</f>
        <v/>
      </c>
      <c r="C71" s="513"/>
      <c r="D71" s="513"/>
      <c r="F71" s="117">
        <f>'Schedule 2J Adjustments'!H70</f>
        <v>0</v>
      </c>
      <c r="G71" s="68">
        <f>'Schedule 2J Adjustments'!J70</f>
        <v>0</v>
      </c>
      <c r="H71" s="68">
        <f t="shared" si="0"/>
        <v>0</v>
      </c>
      <c r="J71" s="117">
        <f>'Schedule 2J Adjustments'!P70</f>
        <v>0</v>
      </c>
      <c r="K71" s="68">
        <f>'Schedule 2J Adjustments'!R70</f>
        <v>0</v>
      </c>
      <c r="L71" s="68">
        <f t="shared" si="1"/>
        <v>0</v>
      </c>
      <c r="N71" s="120">
        <f>'Schedule 2J Adjustments'!X70</f>
        <v>0</v>
      </c>
      <c r="O71" s="120">
        <f>'Schedule 2J Adjustments'!AA70</f>
        <v>0</v>
      </c>
    </row>
    <row r="72" spans="1:15" x14ac:dyDescent="0.35">
      <c r="A72" s="24">
        <v>57</v>
      </c>
      <c r="B72" s="513" t="str">
        <f>'Schedule 2J Adjustments'!B71:D71</f>
        <v/>
      </c>
      <c r="C72" s="513"/>
      <c r="D72" s="513"/>
      <c r="F72" s="117">
        <f>'Schedule 2J Adjustments'!H71</f>
        <v>0</v>
      </c>
      <c r="G72" s="68">
        <f>'Schedule 2J Adjustments'!J71</f>
        <v>0</v>
      </c>
      <c r="H72" s="68">
        <f t="shared" si="0"/>
        <v>0</v>
      </c>
      <c r="J72" s="117">
        <f>'Schedule 2J Adjustments'!P71</f>
        <v>0</v>
      </c>
      <c r="K72" s="68">
        <f>'Schedule 2J Adjustments'!R71</f>
        <v>0</v>
      </c>
      <c r="L72" s="68">
        <f t="shared" si="1"/>
        <v>0</v>
      </c>
      <c r="N72" s="120">
        <f>'Schedule 2J Adjustments'!X71</f>
        <v>0</v>
      </c>
      <c r="O72" s="120">
        <f>'Schedule 2J Adjustments'!AA71</f>
        <v>0</v>
      </c>
    </row>
    <row r="73" spans="1:15" x14ac:dyDescent="0.35">
      <c r="A73" s="24">
        <v>58</v>
      </c>
      <c r="B73" s="513" t="str">
        <f>'Schedule 2J Adjustments'!B72:D72</f>
        <v/>
      </c>
      <c r="C73" s="513"/>
      <c r="D73" s="513"/>
      <c r="F73" s="117">
        <f>'Schedule 2J Adjustments'!H72</f>
        <v>0</v>
      </c>
      <c r="G73" s="68">
        <f>'Schedule 2J Adjustments'!J72</f>
        <v>0</v>
      </c>
      <c r="H73" s="68">
        <f t="shared" si="0"/>
        <v>0</v>
      </c>
      <c r="J73" s="117">
        <f>'Schedule 2J Adjustments'!P72</f>
        <v>0</v>
      </c>
      <c r="K73" s="68">
        <f>'Schedule 2J Adjustments'!R72</f>
        <v>0</v>
      </c>
      <c r="L73" s="68">
        <f t="shared" si="1"/>
        <v>0</v>
      </c>
      <c r="N73" s="120">
        <f>'Schedule 2J Adjustments'!X72</f>
        <v>0</v>
      </c>
      <c r="O73" s="120">
        <f>'Schedule 2J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1">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854</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Health Solutions</v>
      </c>
    </row>
    <row r="7" spans="1:15" x14ac:dyDescent="0.35">
      <c r="A7" s="1" t="s">
        <v>0</v>
      </c>
      <c r="C7" s="35">
        <f>Results!$C$7</f>
        <v>45473</v>
      </c>
      <c r="F7" s="35"/>
    </row>
    <row r="9" spans="1:15" x14ac:dyDescent="0.35">
      <c r="A9" s="1" t="s">
        <v>253</v>
      </c>
      <c r="B9" s="1" t="s">
        <v>828</v>
      </c>
      <c r="C9" s="1"/>
      <c r="F9" s="119" t="str">
        <f>'Schedule 2K Adjustments'!F8</f>
        <v>Yes/No</v>
      </c>
      <c r="G9" s="41" t="s">
        <v>259</v>
      </c>
    </row>
    <row r="11" spans="1:15" x14ac:dyDescent="0.35">
      <c r="A11" s="1" t="s">
        <v>254</v>
      </c>
      <c r="B11" s="1" t="s">
        <v>256</v>
      </c>
      <c r="C11" s="1"/>
    </row>
    <row r="12" spans="1:15" x14ac:dyDescent="0.35">
      <c r="B12" s="318" t="s">
        <v>598</v>
      </c>
    </row>
    <row r="13" spans="1:15" x14ac:dyDescent="0.35">
      <c r="B13" s="508">
        <v>1</v>
      </c>
      <c r="C13" s="508"/>
      <c r="D13" s="508"/>
      <c r="F13" s="23">
        <v>2</v>
      </c>
      <c r="G13" s="23">
        <v>3</v>
      </c>
      <c r="H13" s="23">
        <v>4</v>
      </c>
      <c r="J13" s="23">
        <v>5</v>
      </c>
      <c r="K13" s="23">
        <v>6</v>
      </c>
      <c r="L13" s="23">
        <v>7</v>
      </c>
      <c r="N13" s="23">
        <v>8</v>
      </c>
      <c r="O13" s="23">
        <v>9</v>
      </c>
    </row>
    <row r="14" spans="1:15" ht="15" customHeight="1" x14ac:dyDescent="0.35">
      <c r="B14" s="517" t="s">
        <v>612</v>
      </c>
      <c r="C14" s="518"/>
      <c r="D14" s="519"/>
      <c r="F14" s="511" t="s">
        <v>261</v>
      </c>
      <c r="G14" s="516"/>
      <c r="H14" s="512"/>
      <c r="J14" s="511" t="s">
        <v>262</v>
      </c>
      <c r="K14" s="516"/>
      <c r="L14" s="512"/>
      <c r="N14" s="514" t="s">
        <v>692</v>
      </c>
      <c r="O14" s="514" t="s">
        <v>693</v>
      </c>
    </row>
    <row r="15" spans="1:15" ht="55.5" customHeight="1" x14ac:dyDescent="0.35">
      <c r="B15" s="520"/>
      <c r="C15" s="521"/>
      <c r="D15" s="522"/>
      <c r="E15" s="48"/>
      <c r="F15" s="10" t="s">
        <v>689</v>
      </c>
      <c r="G15" s="151" t="s">
        <v>690</v>
      </c>
      <c r="H15" s="151" t="s">
        <v>691</v>
      </c>
      <c r="I15" s="100"/>
      <c r="J15" s="10" t="s">
        <v>689</v>
      </c>
      <c r="K15" s="151" t="s">
        <v>690</v>
      </c>
      <c r="L15" s="151" t="s">
        <v>691</v>
      </c>
      <c r="M15" s="48"/>
      <c r="N15" s="515"/>
      <c r="O15" s="515"/>
    </row>
    <row r="16" spans="1:15" x14ac:dyDescent="0.35">
      <c r="A16" s="24">
        <v>1</v>
      </c>
      <c r="B16" s="513" t="str">
        <f>'Schedule 2K Adjustments'!B15:D15</f>
        <v/>
      </c>
      <c r="C16" s="513"/>
      <c r="D16" s="513"/>
      <c r="F16" s="117">
        <f>'Schedule 2K Adjustments'!H15</f>
        <v>0</v>
      </c>
      <c r="G16" s="68">
        <f>'Schedule 2K Adjustments'!J15</f>
        <v>0</v>
      </c>
      <c r="H16" s="68">
        <f>SUM(F16:G16)</f>
        <v>0</v>
      </c>
      <c r="J16" s="117">
        <f>'Schedule 2K Adjustments'!P15</f>
        <v>0</v>
      </c>
      <c r="K16" s="68">
        <f>'Schedule 2K Adjustments'!R15</f>
        <v>0</v>
      </c>
      <c r="L16" s="68">
        <f>SUM(J16:K16)</f>
        <v>0</v>
      </c>
      <c r="N16" s="120">
        <f>'Schedule 2K Adjustments'!X15</f>
        <v>0</v>
      </c>
      <c r="O16" s="120">
        <f>'Schedule 2K Adjustments'!AA15</f>
        <v>0</v>
      </c>
    </row>
    <row r="17" spans="1:15" x14ac:dyDescent="0.35">
      <c r="A17" s="24">
        <v>2</v>
      </c>
      <c r="B17" s="513" t="str">
        <f>'Schedule 2K Adjustments'!B16:D16</f>
        <v/>
      </c>
      <c r="C17" s="513"/>
      <c r="D17" s="513"/>
      <c r="F17" s="117">
        <f>'Schedule 2K Adjustments'!H16</f>
        <v>0</v>
      </c>
      <c r="G17" s="68">
        <f>'Schedule 2K Adjustments'!J16</f>
        <v>0</v>
      </c>
      <c r="H17" s="68">
        <f t="shared" ref="H17:H73" si="0">SUM(F17:G17)</f>
        <v>0</v>
      </c>
      <c r="J17" s="117">
        <f>'Schedule 2K Adjustments'!P16</f>
        <v>0</v>
      </c>
      <c r="K17" s="68">
        <f>'Schedule 2K Adjustments'!R16</f>
        <v>0</v>
      </c>
      <c r="L17" s="68">
        <f t="shared" ref="L17:L73" si="1">SUM(J17:K17)</f>
        <v>0</v>
      </c>
      <c r="N17" s="120">
        <f>'Schedule 2K Adjustments'!X16</f>
        <v>0</v>
      </c>
      <c r="O17" s="120">
        <f>'Schedule 2K Adjustments'!AA16</f>
        <v>0</v>
      </c>
    </row>
    <row r="18" spans="1:15" x14ac:dyDescent="0.35">
      <c r="A18" s="24">
        <v>3</v>
      </c>
      <c r="B18" s="513" t="str">
        <f>'Schedule 2K Adjustments'!B17:D17</f>
        <v/>
      </c>
      <c r="C18" s="513"/>
      <c r="D18" s="513"/>
      <c r="F18" s="117">
        <f>'Schedule 2K Adjustments'!H17</f>
        <v>0</v>
      </c>
      <c r="G18" s="68">
        <f>'Schedule 2K Adjustments'!J17</f>
        <v>0</v>
      </c>
      <c r="H18" s="68">
        <f t="shared" si="0"/>
        <v>0</v>
      </c>
      <c r="J18" s="117">
        <f>'Schedule 2K Adjustments'!P17</f>
        <v>0</v>
      </c>
      <c r="K18" s="68">
        <f>'Schedule 2K Adjustments'!R17</f>
        <v>0</v>
      </c>
      <c r="L18" s="68">
        <f t="shared" si="1"/>
        <v>0</v>
      </c>
      <c r="N18" s="120">
        <f>'Schedule 2K Adjustments'!X17</f>
        <v>0</v>
      </c>
      <c r="O18" s="120">
        <f>'Schedule 2K Adjustments'!AA17</f>
        <v>0</v>
      </c>
    </row>
    <row r="19" spans="1:15" x14ac:dyDescent="0.35">
      <c r="A19" s="24">
        <v>4</v>
      </c>
      <c r="B19" s="513" t="str">
        <f>'Schedule 2K Adjustments'!B18:D18</f>
        <v/>
      </c>
      <c r="C19" s="513"/>
      <c r="D19" s="513"/>
      <c r="F19" s="117">
        <f>'Schedule 2K Adjustments'!H18</f>
        <v>0</v>
      </c>
      <c r="G19" s="68">
        <f>'Schedule 2K Adjustments'!J18</f>
        <v>0</v>
      </c>
      <c r="H19" s="68">
        <f t="shared" si="0"/>
        <v>0</v>
      </c>
      <c r="J19" s="117">
        <f>'Schedule 2K Adjustments'!P18</f>
        <v>0</v>
      </c>
      <c r="K19" s="68">
        <f>'Schedule 2K Adjustments'!R18</f>
        <v>0</v>
      </c>
      <c r="L19" s="68">
        <f t="shared" si="1"/>
        <v>0</v>
      </c>
      <c r="N19" s="120">
        <f>'Schedule 2K Adjustments'!X18</f>
        <v>0</v>
      </c>
      <c r="O19" s="120">
        <f>'Schedule 2K Adjustments'!AA18</f>
        <v>0</v>
      </c>
    </row>
    <row r="20" spans="1:15" x14ac:dyDescent="0.35">
      <c r="A20" s="24">
        <v>5</v>
      </c>
      <c r="B20" s="513" t="str">
        <f>'Schedule 2K Adjustments'!B19:D19</f>
        <v/>
      </c>
      <c r="C20" s="513"/>
      <c r="D20" s="513"/>
      <c r="F20" s="117">
        <f>'Schedule 2K Adjustments'!H19</f>
        <v>0</v>
      </c>
      <c r="G20" s="68">
        <f>'Schedule 2K Adjustments'!J19</f>
        <v>0</v>
      </c>
      <c r="H20" s="68">
        <f t="shared" si="0"/>
        <v>0</v>
      </c>
      <c r="J20" s="117">
        <f>'Schedule 2K Adjustments'!P19</f>
        <v>0</v>
      </c>
      <c r="K20" s="68">
        <f>'Schedule 2K Adjustments'!R19</f>
        <v>0</v>
      </c>
      <c r="L20" s="68">
        <f t="shared" si="1"/>
        <v>0</v>
      </c>
      <c r="N20" s="120">
        <f>'Schedule 2K Adjustments'!X19</f>
        <v>0</v>
      </c>
      <c r="O20" s="120">
        <f>'Schedule 2K Adjustments'!AA19</f>
        <v>0</v>
      </c>
    </row>
    <row r="21" spans="1:15" x14ac:dyDescent="0.35">
      <c r="A21" s="24">
        <v>6</v>
      </c>
      <c r="B21" s="513" t="str">
        <f>'Schedule 2K Adjustments'!B20:D20</f>
        <v/>
      </c>
      <c r="C21" s="513"/>
      <c r="D21" s="513"/>
      <c r="F21" s="117">
        <f>'Schedule 2K Adjustments'!H20</f>
        <v>0</v>
      </c>
      <c r="G21" s="68">
        <f>'Schedule 2K Adjustments'!J20</f>
        <v>0</v>
      </c>
      <c r="H21" s="68">
        <f t="shared" si="0"/>
        <v>0</v>
      </c>
      <c r="J21" s="117">
        <f>'Schedule 2K Adjustments'!P20</f>
        <v>0</v>
      </c>
      <c r="K21" s="68">
        <f>'Schedule 2K Adjustments'!R20</f>
        <v>0</v>
      </c>
      <c r="L21" s="68">
        <f t="shared" si="1"/>
        <v>0</v>
      </c>
      <c r="N21" s="120">
        <f>'Schedule 2K Adjustments'!X20</f>
        <v>0</v>
      </c>
      <c r="O21" s="120">
        <f>'Schedule 2K Adjustments'!AA20</f>
        <v>0</v>
      </c>
    </row>
    <row r="22" spans="1:15" x14ac:dyDescent="0.35">
      <c r="A22" s="24">
        <v>7</v>
      </c>
      <c r="B22" s="513" t="str">
        <f>'Schedule 2K Adjustments'!B21:D21</f>
        <v/>
      </c>
      <c r="C22" s="513"/>
      <c r="D22" s="513"/>
      <c r="F22" s="117">
        <f>'Schedule 2K Adjustments'!H21</f>
        <v>0</v>
      </c>
      <c r="G22" s="68">
        <f>'Schedule 2K Adjustments'!J21</f>
        <v>0</v>
      </c>
      <c r="H22" s="68">
        <f t="shared" si="0"/>
        <v>0</v>
      </c>
      <c r="J22" s="117">
        <f>'Schedule 2K Adjustments'!P21</f>
        <v>0</v>
      </c>
      <c r="K22" s="68">
        <f>'Schedule 2K Adjustments'!R21</f>
        <v>0</v>
      </c>
      <c r="L22" s="68">
        <f t="shared" si="1"/>
        <v>0</v>
      </c>
      <c r="N22" s="120">
        <f>'Schedule 2K Adjustments'!X21</f>
        <v>0</v>
      </c>
      <c r="O22" s="120">
        <f>'Schedule 2K Adjustments'!AA21</f>
        <v>0</v>
      </c>
    </row>
    <row r="23" spans="1:15" x14ac:dyDescent="0.35">
      <c r="A23" s="24">
        <v>8</v>
      </c>
      <c r="B23" s="513" t="str">
        <f>'Schedule 2K Adjustments'!B22:D22</f>
        <v/>
      </c>
      <c r="C23" s="513"/>
      <c r="D23" s="513"/>
      <c r="F23" s="117">
        <f>'Schedule 2K Adjustments'!H22</f>
        <v>0</v>
      </c>
      <c r="G23" s="68">
        <f>'Schedule 2K Adjustments'!J22</f>
        <v>0</v>
      </c>
      <c r="H23" s="68">
        <f t="shared" si="0"/>
        <v>0</v>
      </c>
      <c r="J23" s="117">
        <f>'Schedule 2K Adjustments'!P22</f>
        <v>0</v>
      </c>
      <c r="K23" s="68">
        <f>'Schedule 2K Adjustments'!R22</f>
        <v>0</v>
      </c>
      <c r="L23" s="68">
        <f t="shared" si="1"/>
        <v>0</v>
      </c>
      <c r="N23" s="120">
        <f>'Schedule 2K Adjustments'!X22</f>
        <v>0</v>
      </c>
      <c r="O23" s="120">
        <f>'Schedule 2K Adjustments'!AA22</f>
        <v>0</v>
      </c>
    </row>
    <row r="24" spans="1:15" x14ac:dyDescent="0.35">
      <c r="A24" s="24">
        <v>9</v>
      </c>
      <c r="B24" s="513" t="str">
        <f>'Schedule 2K Adjustments'!B23:D23</f>
        <v/>
      </c>
      <c r="C24" s="513"/>
      <c r="D24" s="513"/>
      <c r="F24" s="117">
        <f>'Schedule 2K Adjustments'!H23</f>
        <v>0</v>
      </c>
      <c r="G24" s="68">
        <f>'Schedule 2K Adjustments'!J23</f>
        <v>0</v>
      </c>
      <c r="H24" s="68">
        <f t="shared" si="0"/>
        <v>0</v>
      </c>
      <c r="J24" s="117">
        <f>'Schedule 2K Adjustments'!P23</f>
        <v>0</v>
      </c>
      <c r="K24" s="68">
        <f>'Schedule 2K Adjustments'!R23</f>
        <v>0</v>
      </c>
      <c r="L24" s="68">
        <f t="shared" si="1"/>
        <v>0</v>
      </c>
      <c r="N24" s="120">
        <f>'Schedule 2K Adjustments'!X23</f>
        <v>0</v>
      </c>
      <c r="O24" s="120">
        <f>'Schedule 2K Adjustments'!AA23</f>
        <v>0</v>
      </c>
    </row>
    <row r="25" spans="1:15" x14ac:dyDescent="0.35">
      <c r="A25" s="24">
        <v>10</v>
      </c>
      <c r="B25" s="513" t="str">
        <f>'Schedule 2K Adjustments'!B24:D24</f>
        <v/>
      </c>
      <c r="C25" s="513"/>
      <c r="D25" s="513"/>
      <c r="F25" s="117">
        <f>'Schedule 2K Adjustments'!H24</f>
        <v>0</v>
      </c>
      <c r="G25" s="68">
        <f>'Schedule 2K Adjustments'!J24</f>
        <v>0</v>
      </c>
      <c r="H25" s="68">
        <f t="shared" si="0"/>
        <v>0</v>
      </c>
      <c r="J25" s="117">
        <f>'Schedule 2K Adjustments'!P24</f>
        <v>0</v>
      </c>
      <c r="K25" s="68">
        <f>'Schedule 2K Adjustments'!R24</f>
        <v>0</v>
      </c>
      <c r="L25" s="68">
        <f t="shared" si="1"/>
        <v>0</v>
      </c>
      <c r="N25" s="120">
        <f>'Schedule 2K Adjustments'!X24</f>
        <v>0</v>
      </c>
      <c r="O25" s="120">
        <f>'Schedule 2K Adjustments'!AA24</f>
        <v>0</v>
      </c>
    </row>
    <row r="26" spans="1:15" x14ac:dyDescent="0.35">
      <c r="A26" s="24">
        <v>11</v>
      </c>
      <c r="B26" s="513" t="str">
        <f>'Schedule 2K Adjustments'!B25:D25</f>
        <v/>
      </c>
      <c r="C26" s="513"/>
      <c r="D26" s="513"/>
      <c r="F26" s="117">
        <f>'Schedule 2K Adjustments'!H25</f>
        <v>0</v>
      </c>
      <c r="G26" s="68">
        <f>'Schedule 2K Adjustments'!J25</f>
        <v>0</v>
      </c>
      <c r="H26" s="68">
        <f t="shared" si="0"/>
        <v>0</v>
      </c>
      <c r="J26" s="117">
        <f>'Schedule 2K Adjustments'!P25</f>
        <v>0</v>
      </c>
      <c r="K26" s="68">
        <f>'Schedule 2K Adjustments'!R25</f>
        <v>0</v>
      </c>
      <c r="L26" s="68">
        <f t="shared" si="1"/>
        <v>0</v>
      </c>
      <c r="N26" s="120">
        <f>'Schedule 2K Adjustments'!X25</f>
        <v>0</v>
      </c>
      <c r="O26" s="120">
        <f>'Schedule 2K Adjustments'!AA25</f>
        <v>0</v>
      </c>
    </row>
    <row r="27" spans="1:15" x14ac:dyDescent="0.35">
      <c r="A27" s="24">
        <v>12</v>
      </c>
      <c r="B27" s="513" t="str">
        <f>'Schedule 2K Adjustments'!B26:D26</f>
        <v/>
      </c>
      <c r="C27" s="513"/>
      <c r="D27" s="513"/>
      <c r="F27" s="117">
        <f>'Schedule 2K Adjustments'!H26</f>
        <v>0</v>
      </c>
      <c r="G27" s="68">
        <f>'Schedule 2K Adjustments'!J26</f>
        <v>0</v>
      </c>
      <c r="H27" s="68">
        <f t="shared" si="0"/>
        <v>0</v>
      </c>
      <c r="J27" s="117">
        <f>'Schedule 2K Adjustments'!P26</f>
        <v>0</v>
      </c>
      <c r="K27" s="68">
        <f>'Schedule 2K Adjustments'!R26</f>
        <v>0</v>
      </c>
      <c r="L27" s="68">
        <f t="shared" si="1"/>
        <v>0</v>
      </c>
      <c r="N27" s="120">
        <f>'Schedule 2K Adjustments'!X26</f>
        <v>0</v>
      </c>
      <c r="O27" s="120">
        <f>'Schedule 2K Adjustments'!AA26</f>
        <v>0</v>
      </c>
    </row>
    <row r="28" spans="1:15" x14ac:dyDescent="0.35">
      <c r="A28" s="24">
        <v>13</v>
      </c>
      <c r="B28" s="513" t="str">
        <f>'Schedule 2K Adjustments'!B27:D27</f>
        <v/>
      </c>
      <c r="C28" s="513"/>
      <c r="D28" s="513"/>
      <c r="F28" s="117">
        <f>'Schedule 2K Adjustments'!H27</f>
        <v>0</v>
      </c>
      <c r="G28" s="68">
        <f>'Schedule 2K Adjustments'!J27</f>
        <v>0</v>
      </c>
      <c r="H28" s="68">
        <f t="shared" si="0"/>
        <v>0</v>
      </c>
      <c r="J28" s="117">
        <f>'Schedule 2K Adjustments'!P27</f>
        <v>0</v>
      </c>
      <c r="K28" s="68">
        <f>'Schedule 2K Adjustments'!R27</f>
        <v>0</v>
      </c>
      <c r="L28" s="68">
        <f t="shared" si="1"/>
        <v>0</v>
      </c>
      <c r="N28" s="120">
        <f>'Schedule 2K Adjustments'!X27</f>
        <v>0</v>
      </c>
      <c r="O28" s="120">
        <f>'Schedule 2K Adjustments'!AA27</f>
        <v>0</v>
      </c>
    </row>
    <row r="29" spans="1:15" x14ac:dyDescent="0.35">
      <c r="A29" s="24">
        <v>14</v>
      </c>
      <c r="B29" s="513" t="str">
        <f>'Schedule 2K Adjustments'!B28:D28</f>
        <v/>
      </c>
      <c r="C29" s="513"/>
      <c r="D29" s="513"/>
      <c r="F29" s="117">
        <f>'Schedule 2K Adjustments'!H28</f>
        <v>0</v>
      </c>
      <c r="G29" s="68">
        <f>'Schedule 2K Adjustments'!J28</f>
        <v>0</v>
      </c>
      <c r="H29" s="68">
        <f t="shared" si="0"/>
        <v>0</v>
      </c>
      <c r="J29" s="117">
        <f>'Schedule 2K Adjustments'!P28</f>
        <v>0</v>
      </c>
      <c r="K29" s="68">
        <f>'Schedule 2K Adjustments'!R28</f>
        <v>0</v>
      </c>
      <c r="L29" s="68">
        <f t="shared" si="1"/>
        <v>0</v>
      </c>
      <c r="N29" s="120">
        <f>'Schedule 2K Adjustments'!X28</f>
        <v>0</v>
      </c>
      <c r="O29" s="120">
        <f>'Schedule 2K Adjustments'!AA28</f>
        <v>0</v>
      </c>
    </row>
    <row r="30" spans="1:15" x14ac:dyDescent="0.35">
      <c r="A30" s="24">
        <v>15</v>
      </c>
      <c r="B30" s="513" t="str">
        <f>'Schedule 2K Adjustments'!B29:D29</f>
        <v/>
      </c>
      <c r="C30" s="513"/>
      <c r="D30" s="513"/>
      <c r="F30" s="117">
        <f>'Schedule 2K Adjustments'!H29</f>
        <v>0</v>
      </c>
      <c r="G30" s="68">
        <f>'Schedule 2K Adjustments'!J29</f>
        <v>0</v>
      </c>
      <c r="H30" s="68">
        <f t="shared" si="0"/>
        <v>0</v>
      </c>
      <c r="J30" s="117">
        <f>'Schedule 2K Adjustments'!P29</f>
        <v>0</v>
      </c>
      <c r="K30" s="68">
        <f>'Schedule 2K Adjustments'!R29</f>
        <v>0</v>
      </c>
      <c r="L30" s="68">
        <f t="shared" si="1"/>
        <v>0</v>
      </c>
      <c r="N30" s="120">
        <f>'Schedule 2K Adjustments'!X29</f>
        <v>0</v>
      </c>
      <c r="O30" s="120">
        <f>'Schedule 2K Adjustments'!AA29</f>
        <v>0</v>
      </c>
    </row>
    <row r="31" spans="1:15" x14ac:dyDescent="0.35">
      <c r="A31" s="24">
        <v>16</v>
      </c>
      <c r="B31" s="513" t="str">
        <f>'Schedule 2K Adjustments'!B30:D30</f>
        <v/>
      </c>
      <c r="C31" s="513"/>
      <c r="D31" s="513"/>
      <c r="F31" s="117">
        <f>'Schedule 2K Adjustments'!H30</f>
        <v>0</v>
      </c>
      <c r="G31" s="68">
        <f>'Schedule 2K Adjustments'!J30</f>
        <v>0</v>
      </c>
      <c r="H31" s="68">
        <f t="shared" si="0"/>
        <v>0</v>
      </c>
      <c r="J31" s="117">
        <f>'Schedule 2K Adjustments'!P30</f>
        <v>0</v>
      </c>
      <c r="K31" s="68">
        <f>'Schedule 2K Adjustments'!R30</f>
        <v>0</v>
      </c>
      <c r="L31" s="68">
        <f t="shared" si="1"/>
        <v>0</v>
      </c>
      <c r="N31" s="120">
        <f>'Schedule 2K Adjustments'!X30</f>
        <v>0</v>
      </c>
      <c r="O31" s="120">
        <f>'Schedule 2K Adjustments'!AA30</f>
        <v>0</v>
      </c>
    </row>
    <row r="32" spans="1:15" x14ac:dyDescent="0.35">
      <c r="A32" s="24">
        <v>17</v>
      </c>
      <c r="B32" s="513" t="str">
        <f>'Schedule 2K Adjustments'!B31:D31</f>
        <v/>
      </c>
      <c r="C32" s="513"/>
      <c r="D32" s="513"/>
      <c r="F32" s="117">
        <f>'Schedule 2K Adjustments'!H31</f>
        <v>0</v>
      </c>
      <c r="G32" s="68">
        <f>'Schedule 2K Adjustments'!J31</f>
        <v>0</v>
      </c>
      <c r="H32" s="68">
        <f t="shared" si="0"/>
        <v>0</v>
      </c>
      <c r="J32" s="117">
        <f>'Schedule 2K Adjustments'!P31</f>
        <v>0</v>
      </c>
      <c r="K32" s="68">
        <f>'Schedule 2K Adjustments'!R31</f>
        <v>0</v>
      </c>
      <c r="L32" s="68">
        <f t="shared" si="1"/>
        <v>0</v>
      </c>
      <c r="N32" s="120">
        <f>'Schedule 2K Adjustments'!X31</f>
        <v>0</v>
      </c>
      <c r="O32" s="120">
        <f>'Schedule 2K Adjustments'!AA31</f>
        <v>0</v>
      </c>
    </row>
    <row r="33" spans="1:15" x14ac:dyDescent="0.35">
      <c r="A33" s="24">
        <v>18</v>
      </c>
      <c r="B33" s="513" t="str">
        <f>'Schedule 2K Adjustments'!B32:D32</f>
        <v/>
      </c>
      <c r="C33" s="513"/>
      <c r="D33" s="513"/>
      <c r="F33" s="117">
        <f>'Schedule 2K Adjustments'!H32</f>
        <v>0</v>
      </c>
      <c r="G33" s="68">
        <f>'Schedule 2K Adjustments'!J32</f>
        <v>0</v>
      </c>
      <c r="H33" s="68">
        <f t="shared" si="0"/>
        <v>0</v>
      </c>
      <c r="J33" s="117">
        <f>'Schedule 2K Adjustments'!P32</f>
        <v>0</v>
      </c>
      <c r="K33" s="68">
        <f>'Schedule 2K Adjustments'!R32</f>
        <v>0</v>
      </c>
      <c r="L33" s="68">
        <f t="shared" si="1"/>
        <v>0</v>
      </c>
      <c r="N33" s="120">
        <f>'Schedule 2K Adjustments'!X32</f>
        <v>0</v>
      </c>
      <c r="O33" s="120">
        <f>'Schedule 2K Adjustments'!AA32</f>
        <v>0</v>
      </c>
    </row>
    <row r="34" spans="1:15" x14ac:dyDescent="0.35">
      <c r="A34" s="24">
        <v>19</v>
      </c>
      <c r="B34" s="513" t="str">
        <f>'Schedule 2K Adjustments'!B33:D33</f>
        <v/>
      </c>
      <c r="C34" s="513"/>
      <c r="D34" s="513"/>
      <c r="F34" s="117">
        <f>'Schedule 2K Adjustments'!H33</f>
        <v>0</v>
      </c>
      <c r="G34" s="68">
        <f>'Schedule 2K Adjustments'!J33</f>
        <v>0</v>
      </c>
      <c r="H34" s="68">
        <f t="shared" si="0"/>
        <v>0</v>
      </c>
      <c r="J34" s="117">
        <f>'Schedule 2K Adjustments'!P33</f>
        <v>0</v>
      </c>
      <c r="K34" s="68">
        <f>'Schedule 2K Adjustments'!R33</f>
        <v>0</v>
      </c>
      <c r="L34" s="68">
        <f t="shared" si="1"/>
        <v>0</v>
      </c>
      <c r="N34" s="120">
        <f>'Schedule 2K Adjustments'!X33</f>
        <v>0</v>
      </c>
      <c r="O34" s="120">
        <f>'Schedule 2K Adjustments'!AA33</f>
        <v>0</v>
      </c>
    </row>
    <row r="35" spans="1:15" x14ac:dyDescent="0.35">
      <c r="A35" s="24">
        <v>20</v>
      </c>
      <c r="B35" s="513" t="str">
        <f>'Schedule 2K Adjustments'!B34:D34</f>
        <v/>
      </c>
      <c r="C35" s="513"/>
      <c r="D35" s="513"/>
      <c r="F35" s="117">
        <f>'Schedule 2K Adjustments'!H34</f>
        <v>0</v>
      </c>
      <c r="G35" s="68">
        <f>'Schedule 2K Adjustments'!J34</f>
        <v>0</v>
      </c>
      <c r="H35" s="68">
        <f t="shared" si="0"/>
        <v>0</v>
      </c>
      <c r="J35" s="117">
        <f>'Schedule 2K Adjustments'!P34</f>
        <v>0</v>
      </c>
      <c r="K35" s="68">
        <f>'Schedule 2K Adjustments'!R34</f>
        <v>0</v>
      </c>
      <c r="L35" s="68">
        <f t="shared" si="1"/>
        <v>0</v>
      </c>
      <c r="N35" s="120">
        <f>'Schedule 2K Adjustments'!X34</f>
        <v>0</v>
      </c>
      <c r="O35" s="120">
        <f>'Schedule 2K Adjustments'!AA34</f>
        <v>0</v>
      </c>
    </row>
    <row r="36" spans="1:15" x14ac:dyDescent="0.35">
      <c r="A36" s="24">
        <v>21</v>
      </c>
      <c r="B36" s="513" t="str">
        <f>'Schedule 2K Adjustments'!B35:D35</f>
        <v/>
      </c>
      <c r="C36" s="513"/>
      <c r="D36" s="513"/>
      <c r="F36" s="117">
        <f>'Schedule 2K Adjustments'!H35</f>
        <v>0</v>
      </c>
      <c r="G36" s="68">
        <f>'Schedule 2K Adjustments'!J35</f>
        <v>0</v>
      </c>
      <c r="H36" s="68">
        <f t="shared" si="0"/>
        <v>0</v>
      </c>
      <c r="J36" s="117">
        <f>'Schedule 2K Adjustments'!P35</f>
        <v>0</v>
      </c>
      <c r="K36" s="68">
        <f>'Schedule 2K Adjustments'!R35</f>
        <v>0</v>
      </c>
      <c r="L36" s="68">
        <f t="shared" si="1"/>
        <v>0</v>
      </c>
      <c r="N36" s="120">
        <f>'Schedule 2K Adjustments'!X35</f>
        <v>0</v>
      </c>
      <c r="O36" s="120">
        <f>'Schedule 2K Adjustments'!AA35</f>
        <v>0</v>
      </c>
    </row>
    <row r="37" spans="1:15" x14ac:dyDescent="0.35">
      <c r="A37" s="24">
        <v>22</v>
      </c>
      <c r="B37" s="513" t="str">
        <f>'Schedule 2K Adjustments'!B36:D36</f>
        <v/>
      </c>
      <c r="C37" s="513"/>
      <c r="D37" s="513"/>
      <c r="F37" s="117">
        <f>'Schedule 2K Adjustments'!H36</f>
        <v>0</v>
      </c>
      <c r="G37" s="68">
        <f>'Schedule 2K Adjustments'!J36</f>
        <v>0</v>
      </c>
      <c r="H37" s="68">
        <f t="shared" si="0"/>
        <v>0</v>
      </c>
      <c r="J37" s="117">
        <f>'Schedule 2K Adjustments'!P36</f>
        <v>0</v>
      </c>
      <c r="K37" s="68">
        <f>'Schedule 2K Adjustments'!R36</f>
        <v>0</v>
      </c>
      <c r="L37" s="68">
        <f t="shared" si="1"/>
        <v>0</v>
      </c>
      <c r="N37" s="120">
        <f>'Schedule 2K Adjustments'!X36</f>
        <v>0</v>
      </c>
      <c r="O37" s="120">
        <f>'Schedule 2K Adjustments'!AA36</f>
        <v>0</v>
      </c>
    </row>
    <row r="38" spans="1:15" x14ac:dyDescent="0.35">
      <c r="A38" s="24">
        <v>23</v>
      </c>
      <c r="B38" s="513" t="str">
        <f>'Schedule 2K Adjustments'!B37:D37</f>
        <v/>
      </c>
      <c r="C38" s="513"/>
      <c r="D38" s="513"/>
      <c r="F38" s="117">
        <f>'Schedule 2K Adjustments'!H37</f>
        <v>0</v>
      </c>
      <c r="G38" s="68">
        <f>'Schedule 2K Adjustments'!J37</f>
        <v>0</v>
      </c>
      <c r="H38" s="68">
        <f t="shared" si="0"/>
        <v>0</v>
      </c>
      <c r="J38" s="117">
        <f>'Schedule 2K Adjustments'!P37</f>
        <v>0</v>
      </c>
      <c r="K38" s="68">
        <f>'Schedule 2K Adjustments'!R37</f>
        <v>0</v>
      </c>
      <c r="L38" s="68">
        <f t="shared" si="1"/>
        <v>0</v>
      </c>
      <c r="N38" s="120">
        <f>'Schedule 2K Adjustments'!X37</f>
        <v>0</v>
      </c>
      <c r="O38" s="120">
        <f>'Schedule 2K Adjustments'!AA37</f>
        <v>0</v>
      </c>
    </row>
    <row r="39" spans="1:15" x14ac:dyDescent="0.35">
      <c r="A39" s="24">
        <v>24</v>
      </c>
      <c r="B39" s="513" t="str">
        <f>'Schedule 2K Adjustments'!B38:D38</f>
        <v/>
      </c>
      <c r="C39" s="513"/>
      <c r="D39" s="513"/>
      <c r="F39" s="117">
        <f>'Schedule 2K Adjustments'!H38</f>
        <v>0</v>
      </c>
      <c r="G39" s="68">
        <f>'Schedule 2K Adjustments'!J38</f>
        <v>0</v>
      </c>
      <c r="H39" s="68">
        <f t="shared" si="0"/>
        <v>0</v>
      </c>
      <c r="J39" s="117">
        <f>'Schedule 2K Adjustments'!P38</f>
        <v>0</v>
      </c>
      <c r="K39" s="68">
        <f>'Schedule 2K Adjustments'!R38</f>
        <v>0</v>
      </c>
      <c r="L39" s="68">
        <f t="shared" si="1"/>
        <v>0</v>
      </c>
      <c r="N39" s="120">
        <f>'Schedule 2K Adjustments'!X38</f>
        <v>0</v>
      </c>
      <c r="O39" s="120">
        <f>'Schedule 2K Adjustments'!AA38</f>
        <v>0</v>
      </c>
    </row>
    <row r="40" spans="1:15" x14ac:dyDescent="0.35">
      <c r="A40" s="24">
        <v>25</v>
      </c>
      <c r="B40" s="513" t="str">
        <f>'Schedule 2K Adjustments'!B39:D39</f>
        <v/>
      </c>
      <c r="C40" s="513"/>
      <c r="D40" s="513"/>
      <c r="F40" s="117">
        <f>'Schedule 2K Adjustments'!H39</f>
        <v>0</v>
      </c>
      <c r="G40" s="68">
        <f>'Schedule 2K Adjustments'!J39</f>
        <v>0</v>
      </c>
      <c r="H40" s="68">
        <f t="shared" si="0"/>
        <v>0</v>
      </c>
      <c r="J40" s="117">
        <f>'Schedule 2K Adjustments'!P39</f>
        <v>0</v>
      </c>
      <c r="K40" s="68">
        <f>'Schedule 2K Adjustments'!R39</f>
        <v>0</v>
      </c>
      <c r="L40" s="68">
        <f t="shared" si="1"/>
        <v>0</v>
      </c>
      <c r="N40" s="120">
        <f>'Schedule 2K Adjustments'!X39</f>
        <v>0</v>
      </c>
      <c r="O40" s="120">
        <f>'Schedule 2K Adjustments'!AA39</f>
        <v>0</v>
      </c>
    </row>
    <row r="41" spans="1:15" x14ac:dyDescent="0.35">
      <c r="A41" s="24">
        <v>26</v>
      </c>
      <c r="B41" s="513" t="str">
        <f>'Schedule 2K Adjustments'!B40:D40</f>
        <v/>
      </c>
      <c r="C41" s="513"/>
      <c r="D41" s="513"/>
      <c r="F41" s="117">
        <f>'Schedule 2K Adjustments'!H40</f>
        <v>0</v>
      </c>
      <c r="G41" s="68">
        <f>'Schedule 2K Adjustments'!J40</f>
        <v>0</v>
      </c>
      <c r="H41" s="68">
        <f t="shared" si="0"/>
        <v>0</v>
      </c>
      <c r="J41" s="117">
        <f>'Schedule 2K Adjustments'!P40</f>
        <v>0</v>
      </c>
      <c r="K41" s="68">
        <f>'Schedule 2K Adjustments'!R40</f>
        <v>0</v>
      </c>
      <c r="L41" s="68">
        <f t="shared" si="1"/>
        <v>0</v>
      </c>
      <c r="N41" s="120">
        <f>'Schedule 2K Adjustments'!X40</f>
        <v>0</v>
      </c>
      <c r="O41" s="120">
        <f>'Schedule 2K Adjustments'!AA40</f>
        <v>0</v>
      </c>
    </row>
    <row r="42" spans="1:15" x14ac:dyDescent="0.35">
      <c r="A42" s="24">
        <v>27</v>
      </c>
      <c r="B42" s="513" t="str">
        <f>'Schedule 2K Adjustments'!B41:D41</f>
        <v/>
      </c>
      <c r="C42" s="513"/>
      <c r="D42" s="513"/>
      <c r="F42" s="117">
        <f>'Schedule 2K Adjustments'!H41</f>
        <v>0</v>
      </c>
      <c r="G42" s="68">
        <f>'Schedule 2K Adjustments'!J41</f>
        <v>0</v>
      </c>
      <c r="H42" s="68">
        <f t="shared" si="0"/>
        <v>0</v>
      </c>
      <c r="J42" s="117">
        <f>'Schedule 2K Adjustments'!P41</f>
        <v>0</v>
      </c>
      <c r="K42" s="68">
        <f>'Schedule 2K Adjustments'!R41</f>
        <v>0</v>
      </c>
      <c r="L42" s="68">
        <f t="shared" si="1"/>
        <v>0</v>
      </c>
      <c r="N42" s="120">
        <f>'Schedule 2K Adjustments'!X41</f>
        <v>0</v>
      </c>
      <c r="O42" s="120">
        <f>'Schedule 2K Adjustments'!AA41</f>
        <v>0</v>
      </c>
    </row>
    <row r="43" spans="1:15" x14ac:dyDescent="0.35">
      <c r="A43" s="24">
        <v>28</v>
      </c>
      <c r="B43" s="513" t="str">
        <f>'Schedule 2K Adjustments'!B42:D42</f>
        <v/>
      </c>
      <c r="C43" s="513"/>
      <c r="D43" s="513"/>
      <c r="F43" s="117">
        <f>'Schedule 2K Adjustments'!H42</f>
        <v>0</v>
      </c>
      <c r="G43" s="68">
        <f>'Schedule 2K Adjustments'!J42</f>
        <v>0</v>
      </c>
      <c r="H43" s="68">
        <f t="shared" si="0"/>
        <v>0</v>
      </c>
      <c r="J43" s="117">
        <f>'Schedule 2K Adjustments'!P42</f>
        <v>0</v>
      </c>
      <c r="K43" s="68">
        <f>'Schedule 2K Adjustments'!R42</f>
        <v>0</v>
      </c>
      <c r="L43" s="68">
        <f t="shared" si="1"/>
        <v>0</v>
      </c>
      <c r="N43" s="120">
        <f>'Schedule 2K Adjustments'!X42</f>
        <v>0</v>
      </c>
      <c r="O43" s="120">
        <f>'Schedule 2K Adjustments'!AA42</f>
        <v>0</v>
      </c>
    </row>
    <row r="44" spans="1:15" x14ac:dyDescent="0.35">
      <c r="A44" s="24">
        <v>29</v>
      </c>
      <c r="B44" s="513" t="str">
        <f>'Schedule 2K Adjustments'!B43:D43</f>
        <v/>
      </c>
      <c r="C44" s="513"/>
      <c r="D44" s="513"/>
      <c r="F44" s="117">
        <f>'Schedule 2K Adjustments'!H43</f>
        <v>0</v>
      </c>
      <c r="G44" s="68">
        <f>'Schedule 2K Adjustments'!J43</f>
        <v>0</v>
      </c>
      <c r="H44" s="68">
        <f t="shared" si="0"/>
        <v>0</v>
      </c>
      <c r="J44" s="117">
        <f>'Schedule 2K Adjustments'!P43</f>
        <v>0</v>
      </c>
      <c r="K44" s="68">
        <f>'Schedule 2K Adjustments'!R43</f>
        <v>0</v>
      </c>
      <c r="L44" s="68">
        <f t="shared" si="1"/>
        <v>0</v>
      </c>
      <c r="N44" s="120">
        <f>'Schedule 2K Adjustments'!X43</f>
        <v>0</v>
      </c>
      <c r="O44" s="120">
        <f>'Schedule 2K Adjustments'!AA43</f>
        <v>0</v>
      </c>
    </row>
    <row r="45" spans="1:15" x14ac:dyDescent="0.35">
      <c r="A45" s="24">
        <v>30</v>
      </c>
      <c r="B45" s="513" t="str">
        <f>'Schedule 2K Adjustments'!B44:D44</f>
        <v/>
      </c>
      <c r="C45" s="513"/>
      <c r="D45" s="513"/>
      <c r="F45" s="117">
        <f>'Schedule 2K Adjustments'!H44</f>
        <v>0</v>
      </c>
      <c r="G45" s="68">
        <f>'Schedule 2K Adjustments'!J44</f>
        <v>0</v>
      </c>
      <c r="H45" s="68">
        <f t="shared" si="0"/>
        <v>0</v>
      </c>
      <c r="J45" s="117">
        <f>'Schedule 2K Adjustments'!P44</f>
        <v>0</v>
      </c>
      <c r="K45" s="68">
        <f>'Schedule 2K Adjustments'!R44</f>
        <v>0</v>
      </c>
      <c r="L45" s="68">
        <f t="shared" si="1"/>
        <v>0</v>
      </c>
      <c r="N45" s="120">
        <f>'Schedule 2K Adjustments'!X44</f>
        <v>0</v>
      </c>
      <c r="O45" s="120">
        <f>'Schedule 2K Adjustments'!AA44</f>
        <v>0</v>
      </c>
    </row>
    <row r="46" spans="1:15" x14ac:dyDescent="0.35">
      <c r="A46" s="24">
        <v>31</v>
      </c>
      <c r="B46" s="513" t="str">
        <f>'Schedule 2K Adjustments'!B45:D45</f>
        <v/>
      </c>
      <c r="C46" s="513"/>
      <c r="D46" s="513"/>
      <c r="F46" s="117">
        <f>'Schedule 2K Adjustments'!H45</f>
        <v>0</v>
      </c>
      <c r="G46" s="68">
        <f>'Schedule 2K Adjustments'!J45</f>
        <v>0</v>
      </c>
      <c r="H46" s="68">
        <f t="shared" si="0"/>
        <v>0</v>
      </c>
      <c r="J46" s="117">
        <f>'Schedule 2K Adjustments'!P45</f>
        <v>0</v>
      </c>
      <c r="K46" s="68">
        <f>'Schedule 2K Adjustments'!R45</f>
        <v>0</v>
      </c>
      <c r="L46" s="68">
        <f t="shared" si="1"/>
        <v>0</v>
      </c>
      <c r="N46" s="120">
        <f>'Schedule 2K Adjustments'!X45</f>
        <v>0</v>
      </c>
      <c r="O46" s="120">
        <f>'Schedule 2K Adjustments'!AA45</f>
        <v>0</v>
      </c>
    </row>
    <row r="47" spans="1:15" x14ac:dyDescent="0.35">
      <c r="A47" s="24">
        <v>32</v>
      </c>
      <c r="B47" s="513" t="str">
        <f>'Schedule 2K Adjustments'!B46:D46</f>
        <v/>
      </c>
      <c r="C47" s="513"/>
      <c r="D47" s="513"/>
      <c r="F47" s="117">
        <f>'Schedule 2K Adjustments'!H46</f>
        <v>0</v>
      </c>
      <c r="G47" s="68">
        <f>'Schedule 2K Adjustments'!J46</f>
        <v>0</v>
      </c>
      <c r="H47" s="68">
        <f t="shared" si="0"/>
        <v>0</v>
      </c>
      <c r="J47" s="117">
        <f>'Schedule 2K Adjustments'!P46</f>
        <v>0</v>
      </c>
      <c r="K47" s="68">
        <f>'Schedule 2K Adjustments'!R46</f>
        <v>0</v>
      </c>
      <c r="L47" s="68">
        <f t="shared" si="1"/>
        <v>0</v>
      </c>
      <c r="N47" s="120">
        <f>'Schedule 2K Adjustments'!X46</f>
        <v>0</v>
      </c>
      <c r="O47" s="120">
        <f>'Schedule 2K Adjustments'!AA46</f>
        <v>0</v>
      </c>
    </row>
    <row r="48" spans="1:15" x14ac:dyDescent="0.35">
      <c r="A48" s="24">
        <v>33</v>
      </c>
      <c r="B48" s="513" t="str">
        <f>'Schedule 2K Adjustments'!B47:D47</f>
        <v/>
      </c>
      <c r="C48" s="513"/>
      <c r="D48" s="513"/>
      <c r="F48" s="117">
        <f>'Schedule 2K Adjustments'!H47</f>
        <v>0</v>
      </c>
      <c r="G48" s="68">
        <f>'Schedule 2K Adjustments'!J47</f>
        <v>0</v>
      </c>
      <c r="H48" s="68">
        <f t="shared" si="0"/>
        <v>0</v>
      </c>
      <c r="J48" s="117">
        <f>'Schedule 2K Adjustments'!P47</f>
        <v>0</v>
      </c>
      <c r="K48" s="68">
        <f>'Schedule 2K Adjustments'!R47</f>
        <v>0</v>
      </c>
      <c r="L48" s="68">
        <f t="shared" si="1"/>
        <v>0</v>
      </c>
      <c r="N48" s="120">
        <f>'Schedule 2K Adjustments'!X47</f>
        <v>0</v>
      </c>
      <c r="O48" s="120">
        <f>'Schedule 2K Adjustments'!AA47</f>
        <v>0</v>
      </c>
    </row>
    <row r="49" spans="1:15" x14ac:dyDescent="0.35">
      <c r="A49" s="24">
        <v>34</v>
      </c>
      <c r="B49" s="513" t="str">
        <f>'Schedule 2K Adjustments'!B48:D48</f>
        <v/>
      </c>
      <c r="C49" s="513"/>
      <c r="D49" s="513"/>
      <c r="F49" s="117">
        <f>'Schedule 2K Adjustments'!H48</f>
        <v>0</v>
      </c>
      <c r="G49" s="68">
        <f>'Schedule 2K Adjustments'!J48</f>
        <v>0</v>
      </c>
      <c r="H49" s="68">
        <f t="shared" si="0"/>
        <v>0</v>
      </c>
      <c r="J49" s="117">
        <f>'Schedule 2K Adjustments'!P48</f>
        <v>0</v>
      </c>
      <c r="K49" s="68">
        <f>'Schedule 2K Adjustments'!R48</f>
        <v>0</v>
      </c>
      <c r="L49" s="68">
        <f t="shared" si="1"/>
        <v>0</v>
      </c>
      <c r="N49" s="120">
        <f>'Schedule 2K Adjustments'!X48</f>
        <v>0</v>
      </c>
      <c r="O49" s="120">
        <f>'Schedule 2K Adjustments'!AA48</f>
        <v>0</v>
      </c>
    </row>
    <row r="50" spans="1:15" x14ac:dyDescent="0.35">
      <c r="A50" s="24">
        <v>35</v>
      </c>
      <c r="B50" s="513" t="str">
        <f>'Schedule 2K Adjustments'!B49:D49</f>
        <v/>
      </c>
      <c r="C50" s="513"/>
      <c r="D50" s="513"/>
      <c r="F50" s="117">
        <f>'Schedule 2K Adjustments'!H49</f>
        <v>0</v>
      </c>
      <c r="G50" s="68">
        <f>'Schedule 2K Adjustments'!J49</f>
        <v>0</v>
      </c>
      <c r="H50" s="68">
        <f t="shared" si="0"/>
        <v>0</v>
      </c>
      <c r="J50" s="117">
        <f>'Schedule 2K Adjustments'!P49</f>
        <v>0</v>
      </c>
      <c r="K50" s="68">
        <f>'Schedule 2K Adjustments'!R49</f>
        <v>0</v>
      </c>
      <c r="L50" s="68">
        <f t="shared" si="1"/>
        <v>0</v>
      </c>
      <c r="N50" s="120">
        <f>'Schedule 2K Adjustments'!X49</f>
        <v>0</v>
      </c>
      <c r="O50" s="120">
        <f>'Schedule 2K Adjustments'!AA49</f>
        <v>0</v>
      </c>
    </row>
    <row r="51" spans="1:15" x14ac:dyDescent="0.35">
      <c r="A51" s="24">
        <v>36</v>
      </c>
      <c r="B51" s="513" t="str">
        <f>'Schedule 2K Adjustments'!B50:D50</f>
        <v/>
      </c>
      <c r="C51" s="513"/>
      <c r="D51" s="513"/>
      <c r="F51" s="117">
        <f>'Schedule 2K Adjustments'!H50</f>
        <v>0</v>
      </c>
      <c r="G51" s="68">
        <f>'Schedule 2K Adjustments'!J50</f>
        <v>0</v>
      </c>
      <c r="H51" s="68">
        <f t="shared" si="0"/>
        <v>0</v>
      </c>
      <c r="J51" s="117">
        <f>'Schedule 2K Adjustments'!P50</f>
        <v>0</v>
      </c>
      <c r="K51" s="68">
        <f>'Schedule 2K Adjustments'!R50</f>
        <v>0</v>
      </c>
      <c r="L51" s="68">
        <f t="shared" si="1"/>
        <v>0</v>
      </c>
      <c r="N51" s="120">
        <f>'Schedule 2K Adjustments'!X50</f>
        <v>0</v>
      </c>
      <c r="O51" s="120">
        <f>'Schedule 2K Adjustments'!AA50</f>
        <v>0</v>
      </c>
    </row>
    <row r="52" spans="1:15" x14ac:dyDescent="0.35">
      <c r="A52" s="24">
        <v>37</v>
      </c>
      <c r="B52" s="513" t="str">
        <f>'Schedule 2K Adjustments'!B51:D51</f>
        <v/>
      </c>
      <c r="C52" s="513"/>
      <c r="D52" s="513"/>
      <c r="F52" s="117">
        <f>'Schedule 2K Adjustments'!H51</f>
        <v>0</v>
      </c>
      <c r="G52" s="68">
        <f>'Schedule 2K Adjustments'!J51</f>
        <v>0</v>
      </c>
      <c r="H52" s="68">
        <f t="shared" si="0"/>
        <v>0</v>
      </c>
      <c r="J52" s="117">
        <f>'Schedule 2K Adjustments'!P51</f>
        <v>0</v>
      </c>
      <c r="K52" s="68">
        <f>'Schedule 2K Adjustments'!R51</f>
        <v>0</v>
      </c>
      <c r="L52" s="68">
        <f t="shared" si="1"/>
        <v>0</v>
      </c>
      <c r="N52" s="120">
        <f>'Schedule 2K Adjustments'!X51</f>
        <v>0</v>
      </c>
      <c r="O52" s="120">
        <f>'Schedule 2K Adjustments'!AA51</f>
        <v>0</v>
      </c>
    </row>
    <row r="53" spans="1:15" x14ac:dyDescent="0.35">
      <c r="A53" s="24">
        <v>38</v>
      </c>
      <c r="B53" s="513" t="str">
        <f>'Schedule 2K Adjustments'!B52:D52</f>
        <v/>
      </c>
      <c r="C53" s="513"/>
      <c r="D53" s="513"/>
      <c r="F53" s="117">
        <f>'Schedule 2K Adjustments'!H52</f>
        <v>0</v>
      </c>
      <c r="G53" s="68">
        <f>'Schedule 2K Adjustments'!J52</f>
        <v>0</v>
      </c>
      <c r="H53" s="68">
        <f t="shared" si="0"/>
        <v>0</v>
      </c>
      <c r="J53" s="117">
        <f>'Schedule 2K Adjustments'!P52</f>
        <v>0</v>
      </c>
      <c r="K53" s="68">
        <f>'Schedule 2K Adjustments'!R52</f>
        <v>0</v>
      </c>
      <c r="L53" s="68">
        <f t="shared" si="1"/>
        <v>0</v>
      </c>
      <c r="N53" s="120">
        <f>'Schedule 2K Adjustments'!X52</f>
        <v>0</v>
      </c>
      <c r="O53" s="120">
        <f>'Schedule 2K Adjustments'!AA52</f>
        <v>0</v>
      </c>
    </row>
    <row r="54" spans="1:15" x14ac:dyDescent="0.35">
      <c r="A54" s="24">
        <v>39</v>
      </c>
      <c r="B54" s="513" t="str">
        <f>'Schedule 2K Adjustments'!B53:D53</f>
        <v/>
      </c>
      <c r="C54" s="513"/>
      <c r="D54" s="513"/>
      <c r="F54" s="117">
        <f>'Schedule 2K Adjustments'!H53</f>
        <v>0</v>
      </c>
      <c r="G54" s="68">
        <f>'Schedule 2K Adjustments'!J53</f>
        <v>0</v>
      </c>
      <c r="H54" s="68">
        <f t="shared" si="0"/>
        <v>0</v>
      </c>
      <c r="J54" s="117">
        <f>'Schedule 2K Adjustments'!P53</f>
        <v>0</v>
      </c>
      <c r="K54" s="68">
        <f>'Schedule 2K Adjustments'!R53</f>
        <v>0</v>
      </c>
      <c r="L54" s="68">
        <f t="shared" si="1"/>
        <v>0</v>
      </c>
      <c r="N54" s="120">
        <f>'Schedule 2K Adjustments'!X53</f>
        <v>0</v>
      </c>
      <c r="O54" s="120">
        <f>'Schedule 2K Adjustments'!AA53</f>
        <v>0</v>
      </c>
    </row>
    <row r="55" spans="1:15" x14ac:dyDescent="0.35">
      <c r="A55" s="24">
        <v>40</v>
      </c>
      <c r="B55" s="513" t="str">
        <f>'Schedule 2K Adjustments'!B54:D54</f>
        <v/>
      </c>
      <c r="C55" s="513"/>
      <c r="D55" s="513"/>
      <c r="F55" s="117">
        <f>'Schedule 2K Adjustments'!H54</f>
        <v>0</v>
      </c>
      <c r="G55" s="68">
        <f>'Schedule 2K Adjustments'!J54</f>
        <v>0</v>
      </c>
      <c r="H55" s="68">
        <f t="shared" si="0"/>
        <v>0</v>
      </c>
      <c r="J55" s="117">
        <f>'Schedule 2K Adjustments'!P54</f>
        <v>0</v>
      </c>
      <c r="K55" s="68">
        <f>'Schedule 2K Adjustments'!R54</f>
        <v>0</v>
      </c>
      <c r="L55" s="68">
        <f t="shared" si="1"/>
        <v>0</v>
      </c>
      <c r="N55" s="120">
        <f>'Schedule 2K Adjustments'!X54</f>
        <v>0</v>
      </c>
      <c r="O55" s="120">
        <f>'Schedule 2K Adjustments'!AA54</f>
        <v>0</v>
      </c>
    </row>
    <row r="56" spans="1:15" x14ac:dyDescent="0.35">
      <c r="A56" s="24">
        <v>41</v>
      </c>
      <c r="B56" s="513" t="str">
        <f>'Schedule 2K Adjustments'!B55:D55</f>
        <v/>
      </c>
      <c r="C56" s="513"/>
      <c r="D56" s="513"/>
      <c r="F56" s="117">
        <f>'Schedule 2K Adjustments'!H55</f>
        <v>0</v>
      </c>
      <c r="G56" s="68">
        <f>'Schedule 2K Adjustments'!J55</f>
        <v>0</v>
      </c>
      <c r="H56" s="68">
        <f t="shared" si="0"/>
        <v>0</v>
      </c>
      <c r="J56" s="117">
        <f>'Schedule 2K Adjustments'!P55</f>
        <v>0</v>
      </c>
      <c r="K56" s="68">
        <f>'Schedule 2K Adjustments'!R55</f>
        <v>0</v>
      </c>
      <c r="L56" s="68">
        <f t="shared" si="1"/>
        <v>0</v>
      </c>
      <c r="N56" s="120">
        <f>'Schedule 2K Adjustments'!X55</f>
        <v>0</v>
      </c>
      <c r="O56" s="120">
        <f>'Schedule 2K Adjustments'!AA55</f>
        <v>0</v>
      </c>
    </row>
    <row r="57" spans="1:15" x14ac:dyDescent="0.35">
      <c r="A57" s="24">
        <v>42</v>
      </c>
      <c r="B57" s="513" t="str">
        <f>'Schedule 2K Adjustments'!B56:D56</f>
        <v/>
      </c>
      <c r="C57" s="513"/>
      <c r="D57" s="513"/>
      <c r="F57" s="117">
        <f>'Schedule 2K Adjustments'!H56</f>
        <v>0</v>
      </c>
      <c r="G57" s="68">
        <f>'Schedule 2K Adjustments'!J56</f>
        <v>0</v>
      </c>
      <c r="H57" s="68">
        <f t="shared" si="0"/>
        <v>0</v>
      </c>
      <c r="J57" s="117">
        <f>'Schedule 2K Adjustments'!P56</f>
        <v>0</v>
      </c>
      <c r="K57" s="68">
        <f>'Schedule 2K Adjustments'!R56</f>
        <v>0</v>
      </c>
      <c r="L57" s="68">
        <f t="shared" si="1"/>
        <v>0</v>
      </c>
      <c r="N57" s="120">
        <f>'Schedule 2K Adjustments'!X56</f>
        <v>0</v>
      </c>
      <c r="O57" s="120">
        <f>'Schedule 2K Adjustments'!AA56</f>
        <v>0</v>
      </c>
    </row>
    <row r="58" spans="1:15" x14ac:dyDescent="0.35">
      <c r="A58" s="24">
        <v>43</v>
      </c>
      <c r="B58" s="513" t="str">
        <f>'Schedule 2K Adjustments'!B57:D57</f>
        <v/>
      </c>
      <c r="C58" s="513"/>
      <c r="D58" s="513"/>
      <c r="F58" s="117">
        <f>'Schedule 2K Adjustments'!H57</f>
        <v>0</v>
      </c>
      <c r="G58" s="68">
        <f>'Schedule 2K Adjustments'!J57</f>
        <v>0</v>
      </c>
      <c r="H58" s="68">
        <f t="shared" si="0"/>
        <v>0</v>
      </c>
      <c r="J58" s="117">
        <f>'Schedule 2K Adjustments'!P57</f>
        <v>0</v>
      </c>
      <c r="K58" s="68">
        <f>'Schedule 2K Adjustments'!R57</f>
        <v>0</v>
      </c>
      <c r="L58" s="68">
        <f t="shared" si="1"/>
        <v>0</v>
      </c>
      <c r="N58" s="120">
        <f>'Schedule 2K Adjustments'!X57</f>
        <v>0</v>
      </c>
      <c r="O58" s="120">
        <f>'Schedule 2K Adjustments'!AA57</f>
        <v>0</v>
      </c>
    </row>
    <row r="59" spans="1:15" x14ac:dyDescent="0.35">
      <c r="A59" s="24">
        <v>44</v>
      </c>
      <c r="B59" s="513" t="str">
        <f>'Schedule 2K Adjustments'!B58:D58</f>
        <v/>
      </c>
      <c r="C59" s="513"/>
      <c r="D59" s="513"/>
      <c r="F59" s="117">
        <f>'Schedule 2K Adjustments'!H58</f>
        <v>0</v>
      </c>
      <c r="G59" s="68">
        <f>'Schedule 2K Adjustments'!J58</f>
        <v>0</v>
      </c>
      <c r="H59" s="68">
        <f t="shared" si="0"/>
        <v>0</v>
      </c>
      <c r="J59" s="117">
        <f>'Schedule 2K Adjustments'!P58</f>
        <v>0</v>
      </c>
      <c r="K59" s="68">
        <f>'Schedule 2K Adjustments'!R58</f>
        <v>0</v>
      </c>
      <c r="L59" s="68">
        <f t="shared" si="1"/>
        <v>0</v>
      </c>
      <c r="N59" s="120">
        <f>'Schedule 2K Adjustments'!X58</f>
        <v>0</v>
      </c>
      <c r="O59" s="120">
        <f>'Schedule 2K Adjustments'!AA58</f>
        <v>0</v>
      </c>
    </row>
    <row r="60" spans="1:15" x14ac:dyDescent="0.35">
      <c r="A60" s="24">
        <v>45</v>
      </c>
      <c r="B60" s="513" t="str">
        <f>'Schedule 2K Adjustments'!B59:D59</f>
        <v/>
      </c>
      <c r="C60" s="513"/>
      <c r="D60" s="513"/>
      <c r="F60" s="117">
        <f>'Schedule 2K Adjustments'!H59</f>
        <v>0</v>
      </c>
      <c r="G60" s="68">
        <f>'Schedule 2K Adjustments'!J59</f>
        <v>0</v>
      </c>
      <c r="H60" s="68">
        <f t="shared" si="0"/>
        <v>0</v>
      </c>
      <c r="J60" s="117">
        <f>'Schedule 2K Adjustments'!P59</f>
        <v>0</v>
      </c>
      <c r="K60" s="68">
        <f>'Schedule 2K Adjustments'!R59</f>
        <v>0</v>
      </c>
      <c r="L60" s="68">
        <f t="shared" si="1"/>
        <v>0</v>
      </c>
      <c r="N60" s="120">
        <f>'Schedule 2K Adjustments'!X59</f>
        <v>0</v>
      </c>
      <c r="O60" s="120">
        <f>'Schedule 2K Adjustments'!AA59</f>
        <v>0</v>
      </c>
    </row>
    <row r="61" spans="1:15" x14ac:dyDescent="0.35">
      <c r="A61" s="24">
        <v>46</v>
      </c>
      <c r="B61" s="513" t="str">
        <f>'Schedule 2K Adjustments'!B60:D60</f>
        <v/>
      </c>
      <c r="C61" s="513"/>
      <c r="D61" s="513"/>
      <c r="F61" s="117">
        <f>'Schedule 2K Adjustments'!H60</f>
        <v>0</v>
      </c>
      <c r="G61" s="68">
        <f>'Schedule 2K Adjustments'!J60</f>
        <v>0</v>
      </c>
      <c r="H61" s="68">
        <f t="shared" si="0"/>
        <v>0</v>
      </c>
      <c r="J61" s="117">
        <f>'Schedule 2K Adjustments'!P60</f>
        <v>0</v>
      </c>
      <c r="K61" s="68">
        <f>'Schedule 2K Adjustments'!R60</f>
        <v>0</v>
      </c>
      <c r="L61" s="68">
        <f t="shared" si="1"/>
        <v>0</v>
      </c>
      <c r="N61" s="120">
        <f>'Schedule 2K Adjustments'!X60</f>
        <v>0</v>
      </c>
      <c r="O61" s="120">
        <f>'Schedule 2K Adjustments'!AA60</f>
        <v>0</v>
      </c>
    </row>
    <row r="62" spans="1:15" x14ac:dyDescent="0.35">
      <c r="A62" s="24">
        <v>47</v>
      </c>
      <c r="B62" s="513" t="str">
        <f>'Schedule 2K Adjustments'!B61:D61</f>
        <v/>
      </c>
      <c r="C62" s="513"/>
      <c r="D62" s="513"/>
      <c r="F62" s="117">
        <f>'Schedule 2K Adjustments'!H61</f>
        <v>0</v>
      </c>
      <c r="G62" s="68">
        <f>'Schedule 2K Adjustments'!J61</f>
        <v>0</v>
      </c>
      <c r="H62" s="68">
        <f t="shared" si="0"/>
        <v>0</v>
      </c>
      <c r="J62" s="117">
        <f>'Schedule 2K Adjustments'!P61</f>
        <v>0</v>
      </c>
      <c r="K62" s="68">
        <f>'Schedule 2K Adjustments'!R61</f>
        <v>0</v>
      </c>
      <c r="L62" s="68">
        <f t="shared" si="1"/>
        <v>0</v>
      </c>
      <c r="N62" s="120">
        <f>'Schedule 2K Adjustments'!X61</f>
        <v>0</v>
      </c>
      <c r="O62" s="120">
        <f>'Schedule 2K Adjustments'!AA61</f>
        <v>0</v>
      </c>
    </row>
    <row r="63" spans="1:15" x14ac:dyDescent="0.35">
      <c r="A63" s="24">
        <v>48</v>
      </c>
      <c r="B63" s="513" t="str">
        <f>'Schedule 2K Adjustments'!B62:D62</f>
        <v/>
      </c>
      <c r="C63" s="513"/>
      <c r="D63" s="513"/>
      <c r="F63" s="117">
        <f>'Schedule 2K Adjustments'!H62</f>
        <v>0</v>
      </c>
      <c r="G63" s="68">
        <f>'Schedule 2K Adjustments'!J62</f>
        <v>0</v>
      </c>
      <c r="H63" s="68">
        <f t="shared" si="0"/>
        <v>0</v>
      </c>
      <c r="J63" s="117">
        <f>'Schedule 2K Adjustments'!P62</f>
        <v>0</v>
      </c>
      <c r="K63" s="68">
        <f>'Schedule 2K Adjustments'!R62</f>
        <v>0</v>
      </c>
      <c r="L63" s="68">
        <f t="shared" si="1"/>
        <v>0</v>
      </c>
      <c r="N63" s="120">
        <f>'Schedule 2K Adjustments'!X62</f>
        <v>0</v>
      </c>
      <c r="O63" s="120">
        <f>'Schedule 2K Adjustments'!AA62</f>
        <v>0</v>
      </c>
    </row>
    <row r="64" spans="1:15" x14ac:dyDescent="0.35">
      <c r="A64" s="24">
        <v>49</v>
      </c>
      <c r="B64" s="513" t="str">
        <f>'Schedule 2K Adjustments'!B63:D63</f>
        <v/>
      </c>
      <c r="C64" s="513"/>
      <c r="D64" s="513"/>
      <c r="F64" s="117">
        <f>'Schedule 2K Adjustments'!H63</f>
        <v>0</v>
      </c>
      <c r="G64" s="68">
        <f>'Schedule 2K Adjustments'!J63</f>
        <v>0</v>
      </c>
      <c r="H64" s="68">
        <f t="shared" si="0"/>
        <v>0</v>
      </c>
      <c r="J64" s="117">
        <f>'Schedule 2K Adjustments'!P63</f>
        <v>0</v>
      </c>
      <c r="K64" s="68">
        <f>'Schedule 2K Adjustments'!R63</f>
        <v>0</v>
      </c>
      <c r="L64" s="68">
        <f t="shared" si="1"/>
        <v>0</v>
      </c>
      <c r="N64" s="120">
        <f>'Schedule 2K Adjustments'!X63</f>
        <v>0</v>
      </c>
      <c r="O64" s="120">
        <f>'Schedule 2K Adjustments'!AA63</f>
        <v>0</v>
      </c>
    </row>
    <row r="65" spans="1:15" x14ac:dyDescent="0.35">
      <c r="A65" s="24">
        <v>50</v>
      </c>
      <c r="B65" s="513" t="str">
        <f>'Schedule 2K Adjustments'!B64:D64</f>
        <v/>
      </c>
      <c r="C65" s="513"/>
      <c r="D65" s="513"/>
      <c r="F65" s="117">
        <f>'Schedule 2K Adjustments'!H64</f>
        <v>0</v>
      </c>
      <c r="G65" s="68">
        <f>'Schedule 2K Adjustments'!J64</f>
        <v>0</v>
      </c>
      <c r="H65" s="68">
        <f t="shared" si="0"/>
        <v>0</v>
      </c>
      <c r="J65" s="117">
        <f>'Schedule 2K Adjustments'!P64</f>
        <v>0</v>
      </c>
      <c r="K65" s="68">
        <f>'Schedule 2K Adjustments'!R64</f>
        <v>0</v>
      </c>
      <c r="L65" s="68">
        <f t="shared" si="1"/>
        <v>0</v>
      </c>
      <c r="N65" s="120">
        <f>'Schedule 2K Adjustments'!X64</f>
        <v>0</v>
      </c>
      <c r="O65" s="120">
        <f>'Schedule 2K Adjustments'!AA64</f>
        <v>0</v>
      </c>
    </row>
    <row r="66" spans="1:15" x14ac:dyDescent="0.35">
      <c r="A66" s="24">
        <v>51</v>
      </c>
      <c r="B66" s="513" t="str">
        <f>'Schedule 2K Adjustments'!B65:D65</f>
        <v/>
      </c>
      <c r="C66" s="513"/>
      <c r="D66" s="513"/>
      <c r="F66" s="117">
        <f>'Schedule 2K Adjustments'!H65</f>
        <v>0</v>
      </c>
      <c r="G66" s="68">
        <f>'Schedule 2K Adjustments'!J65</f>
        <v>0</v>
      </c>
      <c r="H66" s="68">
        <f t="shared" si="0"/>
        <v>0</v>
      </c>
      <c r="J66" s="117">
        <f>'Schedule 2K Adjustments'!P65</f>
        <v>0</v>
      </c>
      <c r="K66" s="68">
        <f>'Schedule 2K Adjustments'!R65</f>
        <v>0</v>
      </c>
      <c r="L66" s="68">
        <f t="shared" si="1"/>
        <v>0</v>
      </c>
      <c r="N66" s="120">
        <f>'Schedule 2K Adjustments'!X65</f>
        <v>0</v>
      </c>
      <c r="O66" s="120">
        <f>'Schedule 2K Adjustments'!AA65</f>
        <v>0</v>
      </c>
    </row>
    <row r="67" spans="1:15" x14ac:dyDescent="0.35">
      <c r="A67" s="24">
        <v>52</v>
      </c>
      <c r="B67" s="513" t="str">
        <f>'Schedule 2K Adjustments'!B66:D66</f>
        <v/>
      </c>
      <c r="C67" s="513"/>
      <c r="D67" s="513"/>
      <c r="F67" s="117">
        <f>'Schedule 2K Adjustments'!H66</f>
        <v>0</v>
      </c>
      <c r="G67" s="68">
        <f>'Schedule 2K Adjustments'!J66</f>
        <v>0</v>
      </c>
      <c r="H67" s="68">
        <f t="shared" si="0"/>
        <v>0</v>
      </c>
      <c r="J67" s="117">
        <f>'Schedule 2K Adjustments'!P66</f>
        <v>0</v>
      </c>
      <c r="K67" s="68">
        <f>'Schedule 2K Adjustments'!R66</f>
        <v>0</v>
      </c>
      <c r="L67" s="68">
        <f t="shared" si="1"/>
        <v>0</v>
      </c>
      <c r="N67" s="120">
        <f>'Schedule 2K Adjustments'!X66</f>
        <v>0</v>
      </c>
      <c r="O67" s="120">
        <f>'Schedule 2K Adjustments'!AA66</f>
        <v>0</v>
      </c>
    </row>
    <row r="68" spans="1:15" x14ac:dyDescent="0.35">
      <c r="A68" s="24">
        <v>53</v>
      </c>
      <c r="B68" s="513" t="str">
        <f>'Schedule 2K Adjustments'!B67:D67</f>
        <v/>
      </c>
      <c r="C68" s="513"/>
      <c r="D68" s="513"/>
      <c r="F68" s="117">
        <f>'Schedule 2K Adjustments'!H67</f>
        <v>0</v>
      </c>
      <c r="G68" s="68">
        <f>'Schedule 2K Adjustments'!J67</f>
        <v>0</v>
      </c>
      <c r="H68" s="68">
        <f t="shared" si="0"/>
        <v>0</v>
      </c>
      <c r="J68" s="117">
        <f>'Schedule 2K Adjustments'!P67</f>
        <v>0</v>
      </c>
      <c r="K68" s="68">
        <f>'Schedule 2K Adjustments'!R67</f>
        <v>0</v>
      </c>
      <c r="L68" s="68">
        <f t="shared" si="1"/>
        <v>0</v>
      </c>
      <c r="N68" s="120">
        <f>'Schedule 2K Adjustments'!X67</f>
        <v>0</v>
      </c>
      <c r="O68" s="120">
        <f>'Schedule 2K Adjustments'!AA67</f>
        <v>0</v>
      </c>
    </row>
    <row r="69" spans="1:15" x14ac:dyDescent="0.35">
      <c r="A69" s="24">
        <v>54</v>
      </c>
      <c r="B69" s="513" t="str">
        <f>'Schedule 2K Adjustments'!B68:D68</f>
        <v/>
      </c>
      <c r="C69" s="513"/>
      <c r="D69" s="513"/>
      <c r="F69" s="117">
        <f>'Schedule 2K Adjustments'!H68</f>
        <v>0</v>
      </c>
      <c r="G69" s="68">
        <f>'Schedule 2K Adjustments'!J68</f>
        <v>0</v>
      </c>
      <c r="H69" s="68">
        <f t="shared" si="0"/>
        <v>0</v>
      </c>
      <c r="J69" s="117">
        <f>'Schedule 2K Adjustments'!P68</f>
        <v>0</v>
      </c>
      <c r="K69" s="68">
        <f>'Schedule 2K Adjustments'!R68</f>
        <v>0</v>
      </c>
      <c r="L69" s="68">
        <f t="shared" si="1"/>
        <v>0</v>
      </c>
      <c r="N69" s="120">
        <f>'Schedule 2K Adjustments'!X68</f>
        <v>0</v>
      </c>
      <c r="O69" s="120">
        <f>'Schedule 2K Adjustments'!AA68</f>
        <v>0</v>
      </c>
    </row>
    <row r="70" spans="1:15" x14ac:dyDescent="0.35">
      <c r="A70" s="24">
        <v>55</v>
      </c>
      <c r="B70" s="513" t="str">
        <f>'Schedule 2K Adjustments'!B69:D69</f>
        <v/>
      </c>
      <c r="C70" s="513"/>
      <c r="D70" s="513"/>
      <c r="F70" s="117">
        <f>'Schedule 2K Adjustments'!H69</f>
        <v>0</v>
      </c>
      <c r="G70" s="68">
        <f>'Schedule 2K Adjustments'!J69</f>
        <v>0</v>
      </c>
      <c r="H70" s="68">
        <f t="shared" si="0"/>
        <v>0</v>
      </c>
      <c r="J70" s="117">
        <f>'Schedule 2K Adjustments'!P69</f>
        <v>0</v>
      </c>
      <c r="K70" s="68">
        <f>'Schedule 2K Adjustments'!R69</f>
        <v>0</v>
      </c>
      <c r="L70" s="68">
        <f t="shared" si="1"/>
        <v>0</v>
      </c>
      <c r="N70" s="120">
        <f>'Schedule 2K Adjustments'!X69</f>
        <v>0</v>
      </c>
      <c r="O70" s="120">
        <f>'Schedule 2K Adjustments'!AA69</f>
        <v>0</v>
      </c>
    </row>
    <row r="71" spans="1:15" x14ac:dyDescent="0.35">
      <c r="A71" s="24">
        <v>56</v>
      </c>
      <c r="B71" s="513" t="str">
        <f>'Schedule 2K Adjustments'!B70:D70</f>
        <v/>
      </c>
      <c r="C71" s="513"/>
      <c r="D71" s="513"/>
      <c r="F71" s="117">
        <f>'Schedule 2K Adjustments'!H70</f>
        <v>0</v>
      </c>
      <c r="G71" s="68">
        <f>'Schedule 2K Adjustments'!J70</f>
        <v>0</v>
      </c>
      <c r="H71" s="68">
        <f t="shared" si="0"/>
        <v>0</v>
      </c>
      <c r="J71" s="117">
        <f>'Schedule 2K Adjustments'!P70</f>
        <v>0</v>
      </c>
      <c r="K71" s="68">
        <f>'Schedule 2K Adjustments'!R70</f>
        <v>0</v>
      </c>
      <c r="L71" s="68">
        <f t="shared" si="1"/>
        <v>0</v>
      </c>
      <c r="N71" s="120">
        <f>'Schedule 2K Adjustments'!X70</f>
        <v>0</v>
      </c>
      <c r="O71" s="120">
        <f>'Schedule 2K Adjustments'!AA70</f>
        <v>0</v>
      </c>
    </row>
    <row r="72" spans="1:15" x14ac:dyDescent="0.35">
      <c r="A72" s="24">
        <v>57</v>
      </c>
      <c r="B72" s="513" t="str">
        <f>'Schedule 2K Adjustments'!B71:D71</f>
        <v/>
      </c>
      <c r="C72" s="513"/>
      <c r="D72" s="513"/>
      <c r="F72" s="117">
        <f>'Schedule 2K Adjustments'!H71</f>
        <v>0</v>
      </c>
      <c r="G72" s="68">
        <f>'Schedule 2K Adjustments'!J71</f>
        <v>0</v>
      </c>
      <c r="H72" s="68">
        <f t="shared" si="0"/>
        <v>0</v>
      </c>
      <c r="J72" s="117">
        <f>'Schedule 2K Adjustments'!P71</f>
        <v>0</v>
      </c>
      <c r="K72" s="68">
        <f>'Schedule 2K Adjustments'!R71</f>
        <v>0</v>
      </c>
      <c r="L72" s="68">
        <f t="shared" si="1"/>
        <v>0</v>
      </c>
      <c r="N72" s="120">
        <f>'Schedule 2K Adjustments'!X71</f>
        <v>0</v>
      </c>
      <c r="O72" s="120">
        <f>'Schedule 2K Adjustments'!AA71</f>
        <v>0</v>
      </c>
    </row>
    <row r="73" spans="1:15" x14ac:dyDescent="0.35">
      <c r="A73" s="24">
        <v>58</v>
      </c>
      <c r="B73" s="513" t="str">
        <f>'Schedule 2K Adjustments'!B72:D72</f>
        <v/>
      </c>
      <c r="C73" s="513"/>
      <c r="D73" s="513"/>
      <c r="F73" s="117">
        <f>'Schedule 2K Adjustments'!H72</f>
        <v>0</v>
      </c>
      <c r="G73" s="68">
        <f>'Schedule 2K Adjustments'!J72</f>
        <v>0</v>
      </c>
      <c r="H73" s="68">
        <f t="shared" si="0"/>
        <v>0</v>
      </c>
      <c r="J73" s="117">
        <f>'Schedule 2K Adjustments'!P72</f>
        <v>0</v>
      </c>
      <c r="K73" s="68">
        <f>'Schedule 2K Adjustments'!R72</f>
        <v>0</v>
      </c>
      <c r="L73" s="68">
        <f t="shared" si="1"/>
        <v>0</v>
      </c>
      <c r="N73" s="120">
        <f>'Schedule 2K Adjustments'!X72</f>
        <v>0</v>
      </c>
      <c r="O73" s="120">
        <f>'Schedule 2K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2">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855</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Health Solutions</v>
      </c>
    </row>
    <row r="7" spans="1:15" x14ac:dyDescent="0.35">
      <c r="A7" s="1" t="s">
        <v>0</v>
      </c>
      <c r="C7" s="35">
        <f>Results!$C$7</f>
        <v>45473</v>
      </c>
      <c r="F7" s="35"/>
    </row>
    <row r="9" spans="1:15" x14ac:dyDescent="0.35">
      <c r="A9" s="1" t="s">
        <v>253</v>
      </c>
      <c r="B9" s="1" t="s">
        <v>831</v>
      </c>
      <c r="C9" s="1"/>
      <c r="F9" s="119" t="str">
        <f>'Schedule 2L Adjustments'!F8</f>
        <v>Yes/No</v>
      </c>
      <c r="G9" s="41" t="s">
        <v>259</v>
      </c>
    </row>
    <row r="11" spans="1:15" x14ac:dyDescent="0.35">
      <c r="A11" s="1" t="s">
        <v>254</v>
      </c>
      <c r="B11" s="1" t="s">
        <v>256</v>
      </c>
      <c r="C11" s="1"/>
    </row>
    <row r="12" spans="1:15" x14ac:dyDescent="0.35">
      <c r="B12" s="318" t="s">
        <v>598</v>
      </c>
    </row>
    <row r="13" spans="1:15" x14ac:dyDescent="0.35">
      <c r="B13" s="508">
        <v>1</v>
      </c>
      <c r="C13" s="508"/>
      <c r="D13" s="508"/>
      <c r="F13" s="23">
        <v>2</v>
      </c>
      <c r="G13" s="23">
        <v>3</v>
      </c>
      <c r="H13" s="23">
        <v>4</v>
      </c>
      <c r="J13" s="23">
        <v>5</v>
      </c>
      <c r="K13" s="23">
        <v>6</v>
      </c>
      <c r="L13" s="23">
        <v>7</v>
      </c>
      <c r="N13" s="23">
        <v>8</v>
      </c>
      <c r="O13" s="23">
        <v>9</v>
      </c>
    </row>
    <row r="14" spans="1:15" ht="15" customHeight="1" x14ac:dyDescent="0.35">
      <c r="B14" s="517" t="s">
        <v>612</v>
      </c>
      <c r="C14" s="518"/>
      <c r="D14" s="519"/>
      <c r="F14" s="511" t="s">
        <v>261</v>
      </c>
      <c r="G14" s="516"/>
      <c r="H14" s="512"/>
      <c r="J14" s="511" t="s">
        <v>262</v>
      </c>
      <c r="K14" s="516"/>
      <c r="L14" s="512"/>
      <c r="N14" s="514" t="s">
        <v>692</v>
      </c>
      <c r="O14" s="514" t="s">
        <v>693</v>
      </c>
    </row>
    <row r="15" spans="1:15" ht="55.5" customHeight="1" x14ac:dyDescent="0.35">
      <c r="B15" s="520"/>
      <c r="C15" s="521"/>
      <c r="D15" s="522"/>
      <c r="E15" s="48"/>
      <c r="F15" s="10" t="s">
        <v>689</v>
      </c>
      <c r="G15" s="151" t="s">
        <v>690</v>
      </c>
      <c r="H15" s="151" t="s">
        <v>691</v>
      </c>
      <c r="I15" s="100"/>
      <c r="J15" s="10" t="s">
        <v>689</v>
      </c>
      <c r="K15" s="151" t="s">
        <v>690</v>
      </c>
      <c r="L15" s="151" t="s">
        <v>691</v>
      </c>
      <c r="M15" s="48"/>
      <c r="N15" s="515"/>
      <c r="O15" s="515"/>
    </row>
    <row r="16" spans="1:15" x14ac:dyDescent="0.35">
      <c r="A16" s="24">
        <v>1</v>
      </c>
      <c r="B16" s="513" t="str">
        <f>'Schedule 2L Adjustments'!B15:D15</f>
        <v/>
      </c>
      <c r="C16" s="513"/>
      <c r="D16" s="513"/>
      <c r="F16" s="117">
        <f>'Schedule 2L Adjustments'!H15</f>
        <v>0</v>
      </c>
      <c r="G16" s="68">
        <f>'Schedule 2L Adjustments'!J15</f>
        <v>0</v>
      </c>
      <c r="H16" s="68">
        <f>SUM(F16:G16)</f>
        <v>0</v>
      </c>
      <c r="J16" s="117">
        <f>'Schedule 2L Adjustments'!P15</f>
        <v>0</v>
      </c>
      <c r="K16" s="68">
        <f>'Schedule 2L Adjustments'!R15</f>
        <v>0</v>
      </c>
      <c r="L16" s="68">
        <f>SUM(J16:K16)</f>
        <v>0</v>
      </c>
      <c r="N16" s="120">
        <f>'Schedule 2L Adjustments'!X15</f>
        <v>0</v>
      </c>
      <c r="O16" s="120">
        <f>'Schedule 2L Adjustments'!AA15</f>
        <v>0</v>
      </c>
    </row>
    <row r="17" spans="1:15" x14ac:dyDescent="0.35">
      <c r="A17" s="24">
        <v>2</v>
      </c>
      <c r="B17" s="513" t="str">
        <f>'Schedule 2L Adjustments'!B16:D16</f>
        <v/>
      </c>
      <c r="C17" s="513"/>
      <c r="D17" s="513"/>
      <c r="F17" s="117">
        <f>'Schedule 2L Adjustments'!H16</f>
        <v>0</v>
      </c>
      <c r="G17" s="68">
        <f>'Schedule 2L Adjustments'!J16</f>
        <v>0</v>
      </c>
      <c r="H17" s="68">
        <f t="shared" ref="H17:H73" si="0">SUM(F17:G17)</f>
        <v>0</v>
      </c>
      <c r="J17" s="117">
        <f>'Schedule 2L Adjustments'!P16</f>
        <v>0</v>
      </c>
      <c r="K17" s="68">
        <f>'Schedule 2L Adjustments'!R16</f>
        <v>0</v>
      </c>
      <c r="L17" s="68">
        <f t="shared" ref="L17:L73" si="1">SUM(J17:K17)</f>
        <v>0</v>
      </c>
      <c r="N17" s="120">
        <f>'Schedule 2L Adjustments'!X16</f>
        <v>0</v>
      </c>
      <c r="O17" s="120">
        <f>'Schedule 2L Adjustments'!AA16</f>
        <v>0</v>
      </c>
    </row>
    <row r="18" spans="1:15" x14ac:dyDescent="0.35">
      <c r="A18" s="24">
        <v>3</v>
      </c>
      <c r="B18" s="513" t="str">
        <f>'Schedule 2L Adjustments'!B17:D17</f>
        <v/>
      </c>
      <c r="C18" s="513"/>
      <c r="D18" s="513"/>
      <c r="F18" s="117">
        <f>'Schedule 2L Adjustments'!H17</f>
        <v>0</v>
      </c>
      <c r="G18" s="68">
        <f>'Schedule 2L Adjustments'!J17</f>
        <v>0</v>
      </c>
      <c r="H18" s="68">
        <f t="shared" si="0"/>
        <v>0</v>
      </c>
      <c r="J18" s="117">
        <f>'Schedule 2L Adjustments'!P17</f>
        <v>0</v>
      </c>
      <c r="K18" s="68">
        <f>'Schedule 2L Adjustments'!R17</f>
        <v>0</v>
      </c>
      <c r="L18" s="68">
        <f t="shared" si="1"/>
        <v>0</v>
      </c>
      <c r="N18" s="120">
        <f>'Schedule 2L Adjustments'!X17</f>
        <v>0</v>
      </c>
      <c r="O18" s="120">
        <f>'Schedule 2L Adjustments'!AA17</f>
        <v>0</v>
      </c>
    </row>
    <row r="19" spans="1:15" x14ac:dyDescent="0.35">
      <c r="A19" s="24">
        <v>4</v>
      </c>
      <c r="B19" s="513" t="str">
        <f>'Schedule 2L Adjustments'!B18:D18</f>
        <v/>
      </c>
      <c r="C19" s="513"/>
      <c r="D19" s="513"/>
      <c r="F19" s="117">
        <f>'Schedule 2L Adjustments'!H18</f>
        <v>0</v>
      </c>
      <c r="G19" s="68">
        <f>'Schedule 2L Adjustments'!J18</f>
        <v>0</v>
      </c>
      <c r="H19" s="68">
        <f t="shared" si="0"/>
        <v>0</v>
      </c>
      <c r="J19" s="117">
        <f>'Schedule 2L Adjustments'!P18</f>
        <v>0</v>
      </c>
      <c r="K19" s="68">
        <f>'Schedule 2L Adjustments'!R18</f>
        <v>0</v>
      </c>
      <c r="L19" s="68">
        <f t="shared" si="1"/>
        <v>0</v>
      </c>
      <c r="N19" s="120">
        <f>'Schedule 2L Adjustments'!X18</f>
        <v>0</v>
      </c>
      <c r="O19" s="120">
        <f>'Schedule 2L Adjustments'!AA18</f>
        <v>0</v>
      </c>
    </row>
    <row r="20" spans="1:15" x14ac:dyDescent="0.35">
      <c r="A20" s="24">
        <v>5</v>
      </c>
      <c r="B20" s="513" t="str">
        <f>'Schedule 2L Adjustments'!B19:D19</f>
        <v/>
      </c>
      <c r="C20" s="513"/>
      <c r="D20" s="513"/>
      <c r="F20" s="117">
        <f>'Schedule 2L Adjustments'!H19</f>
        <v>0</v>
      </c>
      <c r="G20" s="68">
        <f>'Schedule 2L Adjustments'!J19</f>
        <v>0</v>
      </c>
      <c r="H20" s="68">
        <f t="shared" si="0"/>
        <v>0</v>
      </c>
      <c r="J20" s="117">
        <f>'Schedule 2L Adjustments'!P19</f>
        <v>0</v>
      </c>
      <c r="K20" s="68">
        <f>'Schedule 2L Adjustments'!R19</f>
        <v>0</v>
      </c>
      <c r="L20" s="68">
        <f t="shared" si="1"/>
        <v>0</v>
      </c>
      <c r="N20" s="120">
        <f>'Schedule 2L Adjustments'!X19</f>
        <v>0</v>
      </c>
      <c r="O20" s="120">
        <f>'Schedule 2L Adjustments'!AA19</f>
        <v>0</v>
      </c>
    </row>
    <row r="21" spans="1:15" x14ac:dyDescent="0.35">
      <c r="A21" s="24">
        <v>6</v>
      </c>
      <c r="B21" s="513" t="str">
        <f>'Schedule 2L Adjustments'!B20:D20</f>
        <v/>
      </c>
      <c r="C21" s="513"/>
      <c r="D21" s="513"/>
      <c r="F21" s="117">
        <f>'Schedule 2L Adjustments'!H20</f>
        <v>0</v>
      </c>
      <c r="G21" s="68">
        <f>'Schedule 2L Adjustments'!J20</f>
        <v>0</v>
      </c>
      <c r="H21" s="68">
        <f t="shared" si="0"/>
        <v>0</v>
      </c>
      <c r="J21" s="117">
        <f>'Schedule 2L Adjustments'!P20</f>
        <v>0</v>
      </c>
      <c r="K21" s="68">
        <f>'Schedule 2L Adjustments'!R20</f>
        <v>0</v>
      </c>
      <c r="L21" s="68">
        <f t="shared" si="1"/>
        <v>0</v>
      </c>
      <c r="N21" s="120">
        <f>'Schedule 2L Adjustments'!X20</f>
        <v>0</v>
      </c>
      <c r="O21" s="120">
        <f>'Schedule 2L Adjustments'!AA20</f>
        <v>0</v>
      </c>
    </row>
    <row r="22" spans="1:15" x14ac:dyDescent="0.35">
      <c r="A22" s="24">
        <v>7</v>
      </c>
      <c r="B22" s="513" t="str">
        <f>'Schedule 2L Adjustments'!B21:D21</f>
        <v/>
      </c>
      <c r="C22" s="513"/>
      <c r="D22" s="513"/>
      <c r="F22" s="117">
        <f>'Schedule 2L Adjustments'!H21</f>
        <v>0</v>
      </c>
      <c r="G22" s="68">
        <f>'Schedule 2L Adjustments'!J21</f>
        <v>0</v>
      </c>
      <c r="H22" s="68">
        <f t="shared" si="0"/>
        <v>0</v>
      </c>
      <c r="J22" s="117">
        <f>'Schedule 2L Adjustments'!P21</f>
        <v>0</v>
      </c>
      <c r="K22" s="68">
        <f>'Schedule 2L Adjustments'!R21</f>
        <v>0</v>
      </c>
      <c r="L22" s="68">
        <f t="shared" si="1"/>
        <v>0</v>
      </c>
      <c r="N22" s="120">
        <f>'Schedule 2L Adjustments'!X21</f>
        <v>0</v>
      </c>
      <c r="O22" s="120">
        <f>'Schedule 2L Adjustments'!AA21</f>
        <v>0</v>
      </c>
    </row>
    <row r="23" spans="1:15" x14ac:dyDescent="0.35">
      <c r="A23" s="24">
        <v>8</v>
      </c>
      <c r="B23" s="513" t="str">
        <f>'Schedule 2L Adjustments'!B22:D22</f>
        <v/>
      </c>
      <c r="C23" s="513"/>
      <c r="D23" s="513"/>
      <c r="F23" s="117">
        <f>'Schedule 2L Adjustments'!H22</f>
        <v>0</v>
      </c>
      <c r="G23" s="68">
        <f>'Schedule 2L Adjustments'!J22</f>
        <v>0</v>
      </c>
      <c r="H23" s="68">
        <f t="shared" si="0"/>
        <v>0</v>
      </c>
      <c r="J23" s="117">
        <f>'Schedule 2L Adjustments'!P22</f>
        <v>0</v>
      </c>
      <c r="K23" s="68">
        <f>'Schedule 2L Adjustments'!R22</f>
        <v>0</v>
      </c>
      <c r="L23" s="68">
        <f t="shared" si="1"/>
        <v>0</v>
      </c>
      <c r="N23" s="120">
        <f>'Schedule 2L Adjustments'!X22</f>
        <v>0</v>
      </c>
      <c r="O23" s="120">
        <f>'Schedule 2L Adjustments'!AA22</f>
        <v>0</v>
      </c>
    </row>
    <row r="24" spans="1:15" x14ac:dyDescent="0.35">
      <c r="A24" s="24">
        <v>9</v>
      </c>
      <c r="B24" s="513" t="str">
        <f>'Schedule 2L Adjustments'!B23:D23</f>
        <v/>
      </c>
      <c r="C24" s="513"/>
      <c r="D24" s="513"/>
      <c r="F24" s="117">
        <f>'Schedule 2L Adjustments'!H23</f>
        <v>0</v>
      </c>
      <c r="G24" s="68">
        <f>'Schedule 2L Adjustments'!J23</f>
        <v>0</v>
      </c>
      <c r="H24" s="68">
        <f t="shared" si="0"/>
        <v>0</v>
      </c>
      <c r="J24" s="117">
        <f>'Schedule 2L Adjustments'!P23</f>
        <v>0</v>
      </c>
      <c r="K24" s="68">
        <f>'Schedule 2L Adjustments'!R23</f>
        <v>0</v>
      </c>
      <c r="L24" s="68">
        <f t="shared" si="1"/>
        <v>0</v>
      </c>
      <c r="N24" s="120">
        <f>'Schedule 2L Adjustments'!X23</f>
        <v>0</v>
      </c>
      <c r="O24" s="120">
        <f>'Schedule 2L Adjustments'!AA23</f>
        <v>0</v>
      </c>
    </row>
    <row r="25" spans="1:15" x14ac:dyDescent="0.35">
      <c r="A25" s="24">
        <v>10</v>
      </c>
      <c r="B25" s="513" t="str">
        <f>'Schedule 2L Adjustments'!B24:D24</f>
        <v/>
      </c>
      <c r="C25" s="513"/>
      <c r="D25" s="513"/>
      <c r="F25" s="117">
        <f>'Schedule 2L Adjustments'!H24</f>
        <v>0</v>
      </c>
      <c r="G25" s="68">
        <f>'Schedule 2L Adjustments'!J24</f>
        <v>0</v>
      </c>
      <c r="H25" s="68">
        <f t="shared" si="0"/>
        <v>0</v>
      </c>
      <c r="J25" s="117">
        <f>'Schedule 2L Adjustments'!P24</f>
        <v>0</v>
      </c>
      <c r="K25" s="68">
        <f>'Schedule 2L Adjustments'!R24</f>
        <v>0</v>
      </c>
      <c r="L25" s="68">
        <f t="shared" si="1"/>
        <v>0</v>
      </c>
      <c r="N25" s="120">
        <f>'Schedule 2L Adjustments'!X24</f>
        <v>0</v>
      </c>
      <c r="O25" s="120">
        <f>'Schedule 2L Adjustments'!AA24</f>
        <v>0</v>
      </c>
    </row>
    <row r="26" spans="1:15" x14ac:dyDescent="0.35">
      <c r="A26" s="24">
        <v>11</v>
      </c>
      <c r="B26" s="513" t="str">
        <f>'Schedule 2L Adjustments'!B25:D25</f>
        <v/>
      </c>
      <c r="C26" s="513"/>
      <c r="D26" s="513"/>
      <c r="F26" s="117">
        <f>'Schedule 2L Adjustments'!H25</f>
        <v>0</v>
      </c>
      <c r="G26" s="68">
        <f>'Schedule 2L Adjustments'!J25</f>
        <v>0</v>
      </c>
      <c r="H26" s="68">
        <f t="shared" si="0"/>
        <v>0</v>
      </c>
      <c r="J26" s="117">
        <f>'Schedule 2L Adjustments'!P25</f>
        <v>0</v>
      </c>
      <c r="K26" s="68">
        <f>'Schedule 2L Adjustments'!R25</f>
        <v>0</v>
      </c>
      <c r="L26" s="68">
        <f t="shared" si="1"/>
        <v>0</v>
      </c>
      <c r="N26" s="120">
        <f>'Schedule 2L Adjustments'!X25</f>
        <v>0</v>
      </c>
      <c r="O26" s="120">
        <f>'Schedule 2L Adjustments'!AA25</f>
        <v>0</v>
      </c>
    </row>
    <row r="27" spans="1:15" x14ac:dyDescent="0.35">
      <c r="A27" s="24">
        <v>12</v>
      </c>
      <c r="B27" s="513" t="str">
        <f>'Schedule 2L Adjustments'!B26:D26</f>
        <v/>
      </c>
      <c r="C27" s="513"/>
      <c r="D27" s="513"/>
      <c r="F27" s="117">
        <f>'Schedule 2L Adjustments'!H26</f>
        <v>0</v>
      </c>
      <c r="G27" s="68">
        <f>'Schedule 2L Adjustments'!J26</f>
        <v>0</v>
      </c>
      <c r="H27" s="68">
        <f t="shared" si="0"/>
        <v>0</v>
      </c>
      <c r="J27" s="117">
        <f>'Schedule 2L Adjustments'!P26</f>
        <v>0</v>
      </c>
      <c r="K27" s="68">
        <f>'Schedule 2L Adjustments'!R26</f>
        <v>0</v>
      </c>
      <c r="L27" s="68">
        <f t="shared" si="1"/>
        <v>0</v>
      </c>
      <c r="N27" s="120">
        <f>'Schedule 2L Adjustments'!X26</f>
        <v>0</v>
      </c>
      <c r="O27" s="120">
        <f>'Schedule 2L Adjustments'!AA26</f>
        <v>0</v>
      </c>
    </row>
    <row r="28" spans="1:15" x14ac:dyDescent="0.35">
      <c r="A28" s="24">
        <v>13</v>
      </c>
      <c r="B28" s="513" t="str">
        <f>'Schedule 2L Adjustments'!B27:D27</f>
        <v/>
      </c>
      <c r="C28" s="513"/>
      <c r="D28" s="513"/>
      <c r="F28" s="117">
        <f>'Schedule 2L Adjustments'!H27</f>
        <v>0</v>
      </c>
      <c r="G28" s="68">
        <f>'Schedule 2L Adjustments'!J27</f>
        <v>0</v>
      </c>
      <c r="H28" s="68">
        <f t="shared" si="0"/>
        <v>0</v>
      </c>
      <c r="J28" s="117">
        <f>'Schedule 2L Adjustments'!P27</f>
        <v>0</v>
      </c>
      <c r="K28" s="68">
        <f>'Schedule 2L Adjustments'!R27</f>
        <v>0</v>
      </c>
      <c r="L28" s="68">
        <f t="shared" si="1"/>
        <v>0</v>
      </c>
      <c r="N28" s="120">
        <f>'Schedule 2L Adjustments'!X27</f>
        <v>0</v>
      </c>
      <c r="O28" s="120">
        <f>'Schedule 2L Adjustments'!AA27</f>
        <v>0</v>
      </c>
    </row>
    <row r="29" spans="1:15" x14ac:dyDescent="0.35">
      <c r="A29" s="24">
        <v>14</v>
      </c>
      <c r="B29" s="513" t="str">
        <f>'Schedule 2L Adjustments'!B28:D28</f>
        <v/>
      </c>
      <c r="C29" s="513"/>
      <c r="D29" s="513"/>
      <c r="F29" s="117">
        <f>'Schedule 2L Adjustments'!H28</f>
        <v>0</v>
      </c>
      <c r="G29" s="68">
        <f>'Schedule 2L Adjustments'!J28</f>
        <v>0</v>
      </c>
      <c r="H29" s="68">
        <f t="shared" si="0"/>
        <v>0</v>
      </c>
      <c r="J29" s="117">
        <f>'Schedule 2L Adjustments'!P28</f>
        <v>0</v>
      </c>
      <c r="K29" s="68">
        <f>'Schedule 2L Adjustments'!R28</f>
        <v>0</v>
      </c>
      <c r="L29" s="68">
        <f t="shared" si="1"/>
        <v>0</v>
      </c>
      <c r="N29" s="120">
        <f>'Schedule 2L Adjustments'!X28</f>
        <v>0</v>
      </c>
      <c r="O29" s="120">
        <f>'Schedule 2L Adjustments'!AA28</f>
        <v>0</v>
      </c>
    </row>
    <row r="30" spans="1:15" x14ac:dyDescent="0.35">
      <c r="A30" s="24">
        <v>15</v>
      </c>
      <c r="B30" s="513" t="str">
        <f>'Schedule 2L Adjustments'!B29:D29</f>
        <v/>
      </c>
      <c r="C30" s="513"/>
      <c r="D30" s="513"/>
      <c r="F30" s="117">
        <f>'Schedule 2L Adjustments'!H29</f>
        <v>0</v>
      </c>
      <c r="G30" s="68">
        <f>'Schedule 2L Adjustments'!J29</f>
        <v>0</v>
      </c>
      <c r="H30" s="68">
        <f t="shared" si="0"/>
        <v>0</v>
      </c>
      <c r="J30" s="117">
        <f>'Schedule 2L Adjustments'!P29</f>
        <v>0</v>
      </c>
      <c r="K30" s="68">
        <f>'Schedule 2L Adjustments'!R29</f>
        <v>0</v>
      </c>
      <c r="L30" s="68">
        <f t="shared" si="1"/>
        <v>0</v>
      </c>
      <c r="N30" s="120">
        <f>'Schedule 2L Adjustments'!X29</f>
        <v>0</v>
      </c>
      <c r="O30" s="120">
        <f>'Schedule 2L Adjustments'!AA29</f>
        <v>0</v>
      </c>
    </row>
    <row r="31" spans="1:15" x14ac:dyDescent="0.35">
      <c r="A31" s="24">
        <v>16</v>
      </c>
      <c r="B31" s="513" t="str">
        <f>'Schedule 2L Adjustments'!B30:D30</f>
        <v/>
      </c>
      <c r="C31" s="513"/>
      <c r="D31" s="513"/>
      <c r="F31" s="117">
        <f>'Schedule 2L Adjustments'!H30</f>
        <v>0</v>
      </c>
      <c r="G31" s="68">
        <f>'Schedule 2L Adjustments'!J30</f>
        <v>0</v>
      </c>
      <c r="H31" s="68">
        <f t="shared" si="0"/>
        <v>0</v>
      </c>
      <c r="J31" s="117">
        <f>'Schedule 2L Adjustments'!P30</f>
        <v>0</v>
      </c>
      <c r="K31" s="68">
        <f>'Schedule 2L Adjustments'!R30</f>
        <v>0</v>
      </c>
      <c r="L31" s="68">
        <f t="shared" si="1"/>
        <v>0</v>
      </c>
      <c r="N31" s="120">
        <f>'Schedule 2L Adjustments'!X30</f>
        <v>0</v>
      </c>
      <c r="O31" s="120">
        <f>'Schedule 2L Adjustments'!AA30</f>
        <v>0</v>
      </c>
    </row>
    <row r="32" spans="1:15" x14ac:dyDescent="0.35">
      <c r="A32" s="24">
        <v>17</v>
      </c>
      <c r="B32" s="513" t="str">
        <f>'Schedule 2L Adjustments'!B31:D31</f>
        <v/>
      </c>
      <c r="C32" s="513"/>
      <c r="D32" s="513"/>
      <c r="F32" s="117">
        <f>'Schedule 2L Adjustments'!H31</f>
        <v>0</v>
      </c>
      <c r="G32" s="68">
        <f>'Schedule 2L Adjustments'!J31</f>
        <v>0</v>
      </c>
      <c r="H32" s="68">
        <f t="shared" si="0"/>
        <v>0</v>
      </c>
      <c r="J32" s="117">
        <f>'Schedule 2L Adjustments'!P31</f>
        <v>0</v>
      </c>
      <c r="K32" s="68">
        <f>'Schedule 2L Adjustments'!R31</f>
        <v>0</v>
      </c>
      <c r="L32" s="68">
        <f t="shared" si="1"/>
        <v>0</v>
      </c>
      <c r="N32" s="120">
        <f>'Schedule 2L Adjustments'!X31</f>
        <v>0</v>
      </c>
      <c r="O32" s="120">
        <f>'Schedule 2L Adjustments'!AA31</f>
        <v>0</v>
      </c>
    </row>
    <row r="33" spans="1:15" x14ac:dyDescent="0.35">
      <c r="A33" s="24">
        <v>18</v>
      </c>
      <c r="B33" s="513" t="str">
        <f>'Schedule 2L Adjustments'!B32:D32</f>
        <v/>
      </c>
      <c r="C33" s="513"/>
      <c r="D33" s="513"/>
      <c r="F33" s="117">
        <f>'Schedule 2L Adjustments'!H32</f>
        <v>0</v>
      </c>
      <c r="G33" s="68">
        <f>'Schedule 2L Adjustments'!J32</f>
        <v>0</v>
      </c>
      <c r="H33" s="68">
        <f t="shared" si="0"/>
        <v>0</v>
      </c>
      <c r="J33" s="117">
        <f>'Schedule 2L Adjustments'!P32</f>
        <v>0</v>
      </c>
      <c r="K33" s="68">
        <f>'Schedule 2L Adjustments'!R32</f>
        <v>0</v>
      </c>
      <c r="L33" s="68">
        <f t="shared" si="1"/>
        <v>0</v>
      </c>
      <c r="N33" s="120">
        <f>'Schedule 2L Adjustments'!X32</f>
        <v>0</v>
      </c>
      <c r="O33" s="120">
        <f>'Schedule 2L Adjustments'!AA32</f>
        <v>0</v>
      </c>
    </row>
    <row r="34" spans="1:15" x14ac:dyDescent="0.35">
      <c r="A34" s="24">
        <v>19</v>
      </c>
      <c r="B34" s="513" t="str">
        <f>'Schedule 2L Adjustments'!B33:D33</f>
        <v/>
      </c>
      <c r="C34" s="513"/>
      <c r="D34" s="513"/>
      <c r="F34" s="117">
        <f>'Schedule 2L Adjustments'!H33</f>
        <v>0</v>
      </c>
      <c r="G34" s="68">
        <f>'Schedule 2L Adjustments'!J33</f>
        <v>0</v>
      </c>
      <c r="H34" s="68">
        <f t="shared" si="0"/>
        <v>0</v>
      </c>
      <c r="J34" s="117">
        <f>'Schedule 2L Adjustments'!P33</f>
        <v>0</v>
      </c>
      <c r="K34" s="68">
        <f>'Schedule 2L Adjustments'!R33</f>
        <v>0</v>
      </c>
      <c r="L34" s="68">
        <f t="shared" si="1"/>
        <v>0</v>
      </c>
      <c r="N34" s="120">
        <f>'Schedule 2L Adjustments'!X33</f>
        <v>0</v>
      </c>
      <c r="O34" s="120">
        <f>'Schedule 2L Adjustments'!AA33</f>
        <v>0</v>
      </c>
    </row>
    <row r="35" spans="1:15" x14ac:dyDescent="0.35">
      <c r="A35" s="24">
        <v>20</v>
      </c>
      <c r="B35" s="513" t="str">
        <f>'Schedule 2L Adjustments'!B34:D34</f>
        <v/>
      </c>
      <c r="C35" s="513"/>
      <c r="D35" s="513"/>
      <c r="F35" s="117">
        <f>'Schedule 2L Adjustments'!H34</f>
        <v>0</v>
      </c>
      <c r="G35" s="68">
        <f>'Schedule 2L Adjustments'!J34</f>
        <v>0</v>
      </c>
      <c r="H35" s="68">
        <f t="shared" si="0"/>
        <v>0</v>
      </c>
      <c r="J35" s="117">
        <f>'Schedule 2L Adjustments'!P34</f>
        <v>0</v>
      </c>
      <c r="K35" s="68">
        <f>'Schedule 2L Adjustments'!R34</f>
        <v>0</v>
      </c>
      <c r="L35" s="68">
        <f t="shared" si="1"/>
        <v>0</v>
      </c>
      <c r="N35" s="120">
        <f>'Schedule 2L Adjustments'!X34</f>
        <v>0</v>
      </c>
      <c r="O35" s="120">
        <f>'Schedule 2L Adjustments'!AA34</f>
        <v>0</v>
      </c>
    </row>
    <row r="36" spans="1:15" x14ac:dyDescent="0.35">
      <c r="A36" s="24">
        <v>21</v>
      </c>
      <c r="B36" s="513" t="str">
        <f>'Schedule 2L Adjustments'!B35:D35</f>
        <v/>
      </c>
      <c r="C36" s="513"/>
      <c r="D36" s="513"/>
      <c r="F36" s="117">
        <f>'Schedule 2L Adjustments'!H35</f>
        <v>0</v>
      </c>
      <c r="G36" s="68">
        <f>'Schedule 2L Adjustments'!J35</f>
        <v>0</v>
      </c>
      <c r="H36" s="68">
        <f t="shared" si="0"/>
        <v>0</v>
      </c>
      <c r="J36" s="117">
        <f>'Schedule 2L Adjustments'!P35</f>
        <v>0</v>
      </c>
      <c r="K36" s="68">
        <f>'Schedule 2L Adjustments'!R35</f>
        <v>0</v>
      </c>
      <c r="L36" s="68">
        <f t="shared" si="1"/>
        <v>0</v>
      </c>
      <c r="N36" s="120">
        <f>'Schedule 2L Adjustments'!X35</f>
        <v>0</v>
      </c>
      <c r="O36" s="120">
        <f>'Schedule 2L Adjustments'!AA35</f>
        <v>0</v>
      </c>
    </row>
    <row r="37" spans="1:15" x14ac:dyDescent="0.35">
      <c r="A37" s="24">
        <v>22</v>
      </c>
      <c r="B37" s="513" t="str">
        <f>'Schedule 2L Adjustments'!B36:D36</f>
        <v/>
      </c>
      <c r="C37" s="513"/>
      <c r="D37" s="513"/>
      <c r="F37" s="117">
        <f>'Schedule 2L Adjustments'!H36</f>
        <v>0</v>
      </c>
      <c r="G37" s="68">
        <f>'Schedule 2L Adjustments'!J36</f>
        <v>0</v>
      </c>
      <c r="H37" s="68">
        <f t="shared" si="0"/>
        <v>0</v>
      </c>
      <c r="J37" s="117">
        <f>'Schedule 2L Adjustments'!P36</f>
        <v>0</v>
      </c>
      <c r="K37" s="68">
        <f>'Schedule 2L Adjustments'!R36</f>
        <v>0</v>
      </c>
      <c r="L37" s="68">
        <f t="shared" si="1"/>
        <v>0</v>
      </c>
      <c r="N37" s="120">
        <f>'Schedule 2L Adjustments'!X36</f>
        <v>0</v>
      </c>
      <c r="O37" s="120">
        <f>'Schedule 2L Adjustments'!AA36</f>
        <v>0</v>
      </c>
    </row>
    <row r="38" spans="1:15" x14ac:dyDescent="0.35">
      <c r="A38" s="24">
        <v>23</v>
      </c>
      <c r="B38" s="513" t="str">
        <f>'Schedule 2L Adjustments'!B37:D37</f>
        <v/>
      </c>
      <c r="C38" s="513"/>
      <c r="D38" s="513"/>
      <c r="F38" s="117">
        <f>'Schedule 2L Adjustments'!H37</f>
        <v>0</v>
      </c>
      <c r="G38" s="68">
        <f>'Schedule 2L Adjustments'!J37</f>
        <v>0</v>
      </c>
      <c r="H38" s="68">
        <f t="shared" si="0"/>
        <v>0</v>
      </c>
      <c r="J38" s="117">
        <f>'Schedule 2L Adjustments'!P37</f>
        <v>0</v>
      </c>
      <c r="K38" s="68">
        <f>'Schedule 2L Adjustments'!R37</f>
        <v>0</v>
      </c>
      <c r="L38" s="68">
        <f t="shared" si="1"/>
        <v>0</v>
      </c>
      <c r="N38" s="120">
        <f>'Schedule 2L Adjustments'!X37</f>
        <v>0</v>
      </c>
      <c r="O38" s="120">
        <f>'Schedule 2L Adjustments'!AA37</f>
        <v>0</v>
      </c>
    </row>
    <row r="39" spans="1:15" x14ac:dyDescent="0.35">
      <c r="A39" s="24">
        <v>24</v>
      </c>
      <c r="B39" s="513" t="str">
        <f>'Schedule 2L Adjustments'!B38:D38</f>
        <v/>
      </c>
      <c r="C39" s="513"/>
      <c r="D39" s="513"/>
      <c r="F39" s="117">
        <f>'Schedule 2L Adjustments'!H38</f>
        <v>0</v>
      </c>
      <c r="G39" s="68">
        <f>'Schedule 2L Adjustments'!J38</f>
        <v>0</v>
      </c>
      <c r="H39" s="68">
        <f t="shared" si="0"/>
        <v>0</v>
      </c>
      <c r="J39" s="117">
        <f>'Schedule 2L Adjustments'!P38</f>
        <v>0</v>
      </c>
      <c r="K39" s="68">
        <f>'Schedule 2L Adjustments'!R38</f>
        <v>0</v>
      </c>
      <c r="L39" s="68">
        <f t="shared" si="1"/>
        <v>0</v>
      </c>
      <c r="N39" s="120">
        <f>'Schedule 2L Adjustments'!X38</f>
        <v>0</v>
      </c>
      <c r="O39" s="120">
        <f>'Schedule 2L Adjustments'!AA38</f>
        <v>0</v>
      </c>
    </row>
    <row r="40" spans="1:15" x14ac:dyDescent="0.35">
      <c r="A40" s="24">
        <v>25</v>
      </c>
      <c r="B40" s="513" t="str">
        <f>'Schedule 2L Adjustments'!B39:D39</f>
        <v/>
      </c>
      <c r="C40" s="513"/>
      <c r="D40" s="513"/>
      <c r="F40" s="117">
        <f>'Schedule 2L Adjustments'!H39</f>
        <v>0</v>
      </c>
      <c r="G40" s="68">
        <f>'Schedule 2L Adjustments'!J39</f>
        <v>0</v>
      </c>
      <c r="H40" s="68">
        <f t="shared" si="0"/>
        <v>0</v>
      </c>
      <c r="J40" s="117">
        <f>'Schedule 2L Adjustments'!P39</f>
        <v>0</v>
      </c>
      <c r="K40" s="68">
        <f>'Schedule 2L Adjustments'!R39</f>
        <v>0</v>
      </c>
      <c r="L40" s="68">
        <f t="shared" si="1"/>
        <v>0</v>
      </c>
      <c r="N40" s="120">
        <f>'Schedule 2L Adjustments'!X39</f>
        <v>0</v>
      </c>
      <c r="O40" s="120">
        <f>'Schedule 2L Adjustments'!AA39</f>
        <v>0</v>
      </c>
    </row>
    <row r="41" spans="1:15" x14ac:dyDescent="0.35">
      <c r="A41" s="24">
        <v>26</v>
      </c>
      <c r="B41" s="513" t="str">
        <f>'Schedule 2L Adjustments'!B40:D40</f>
        <v/>
      </c>
      <c r="C41" s="513"/>
      <c r="D41" s="513"/>
      <c r="F41" s="117">
        <f>'Schedule 2L Adjustments'!H40</f>
        <v>0</v>
      </c>
      <c r="G41" s="68">
        <f>'Schedule 2L Adjustments'!J40</f>
        <v>0</v>
      </c>
      <c r="H41" s="68">
        <f t="shared" si="0"/>
        <v>0</v>
      </c>
      <c r="J41" s="117">
        <f>'Schedule 2L Adjustments'!P40</f>
        <v>0</v>
      </c>
      <c r="K41" s="68">
        <f>'Schedule 2L Adjustments'!R40</f>
        <v>0</v>
      </c>
      <c r="L41" s="68">
        <f t="shared" si="1"/>
        <v>0</v>
      </c>
      <c r="N41" s="120">
        <f>'Schedule 2L Adjustments'!X40</f>
        <v>0</v>
      </c>
      <c r="O41" s="120">
        <f>'Schedule 2L Adjustments'!AA40</f>
        <v>0</v>
      </c>
    </row>
    <row r="42" spans="1:15" x14ac:dyDescent="0.35">
      <c r="A42" s="24">
        <v>27</v>
      </c>
      <c r="B42" s="513" t="str">
        <f>'Schedule 2L Adjustments'!B41:D41</f>
        <v/>
      </c>
      <c r="C42" s="513"/>
      <c r="D42" s="513"/>
      <c r="F42" s="117">
        <f>'Schedule 2L Adjustments'!H41</f>
        <v>0</v>
      </c>
      <c r="G42" s="68">
        <f>'Schedule 2L Adjustments'!J41</f>
        <v>0</v>
      </c>
      <c r="H42" s="68">
        <f t="shared" si="0"/>
        <v>0</v>
      </c>
      <c r="J42" s="117">
        <f>'Schedule 2L Adjustments'!P41</f>
        <v>0</v>
      </c>
      <c r="K42" s="68">
        <f>'Schedule 2L Adjustments'!R41</f>
        <v>0</v>
      </c>
      <c r="L42" s="68">
        <f t="shared" si="1"/>
        <v>0</v>
      </c>
      <c r="N42" s="120">
        <f>'Schedule 2L Adjustments'!X41</f>
        <v>0</v>
      </c>
      <c r="O42" s="120">
        <f>'Schedule 2L Adjustments'!AA41</f>
        <v>0</v>
      </c>
    </row>
    <row r="43" spans="1:15" x14ac:dyDescent="0.35">
      <c r="A43" s="24">
        <v>28</v>
      </c>
      <c r="B43" s="513" t="str">
        <f>'Schedule 2L Adjustments'!B42:D42</f>
        <v/>
      </c>
      <c r="C43" s="513"/>
      <c r="D43" s="513"/>
      <c r="F43" s="117">
        <f>'Schedule 2L Adjustments'!H42</f>
        <v>0</v>
      </c>
      <c r="G43" s="68">
        <f>'Schedule 2L Adjustments'!J42</f>
        <v>0</v>
      </c>
      <c r="H43" s="68">
        <f t="shared" si="0"/>
        <v>0</v>
      </c>
      <c r="J43" s="117">
        <f>'Schedule 2L Adjustments'!P42</f>
        <v>0</v>
      </c>
      <c r="K43" s="68">
        <f>'Schedule 2L Adjustments'!R42</f>
        <v>0</v>
      </c>
      <c r="L43" s="68">
        <f t="shared" si="1"/>
        <v>0</v>
      </c>
      <c r="N43" s="120">
        <f>'Schedule 2L Adjustments'!X42</f>
        <v>0</v>
      </c>
      <c r="O43" s="120">
        <f>'Schedule 2L Adjustments'!AA42</f>
        <v>0</v>
      </c>
    </row>
    <row r="44" spans="1:15" x14ac:dyDescent="0.35">
      <c r="A44" s="24">
        <v>29</v>
      </c>
      <c r="B44" s="513" t="str">
        <f>'Schedule 2L Adjustments'!B43:D43</f>
        <v/>
      </c>
      <c r="C44" s="513"/>
      <c r="D44" s="513"/>
      <c r="F44" s="117">
        <f>'Schedule 2L Adjustments'!H43</f>
        <v>0</v>
      </c>
      <c r="G44" s="68">
        <f>'Schedule 2L Adjustments'!J43</f>
        <v>0</v>
      </c>
      <c r="H44" s="68">
        <f t="shared" si="0"/>
        <v>0</v>
      </c>
      <c r="J44" s="117">
        <f>'Schedule 2L Adjustments'!P43</f>
        <v>0</v>
      </c>
      <c r="K44" s="68">
        <f>'Schedule 2L Adjustments'!R43</f>
        <v>0</v>
      </c>
      <c r="L44" s="68">
        <f t="shared" si="1"/>
        <v>0</v>
      </c>
      <c r="N44" s="120">
        <f>'Schedule 2L Adjustments'!X43</f>
        <v>0</v>
      </c>
      <c r="O44" s="120">
        <f>'Schedule 2L Adjustments'!AA43</f>
        <v>0</v>
      </c>
    </row>
    <row r="45" spans="1:15" x14ac:dyDescent="0.35">
      <c r="A45" s="24">
        <v>30</v>
      </c>
      <c r="B45" s="513" t="str">
        <f>'Schedule 2L Adjustments'!B44:D44</f>
        <v/>
      </c>
      <c r="C45" s="513"/>
      <c r="D45" s="513"/>
      <c r="F45" s="117">
        <f>'Schedule 2L Adjustments'!H44</f>
        <v>0</v>
      </c>
      <c r="G45" s="68">
        <f>'Schedule 2L Adjustments'!J44</f>
        <v>0</v>
      </c>
      <c r="H45" s="68">
        <f t="shared" si="0"/>
        <v>0</v>
      </c>
      <c r="J45" s="117">
        <f>'Schedule 2L Adjustments'!P44</f>
        <v>0</v>
      </c>
      <c r="K45" s="68">
        <f>'Schedule 2L Adjustments'!R44</f>
        <v>0</v>
      </c>
      <c r="L45" s="68">
        <f t="shared" si="1"/>
        <v>0</v>
      </c>
      <c r="N45" s="120">
        <f>'Schedule 2L Adjustments'!X44</f>
        <v>0</v>
      </c>
      <c r="O45" s="120">
        <f>'Schedule 2L Adjustments'!AA44</f>
        <v>0</v>
      </c>
    </row>
    <row r="46" spans="1:15" x14ac:dyDescent="0.35">
      <c r="A46" s="24">
        <v>31</v>
      </c>
      <c r="B46" s="513" t="str">
        <f>'Schedule 2L Adjustments'!B45:D45</f>
        <v/>
      </c>
      <c r="C46" s="513"/>
      <c r="D46" s="513"/>
      <c r="F46" s="117">
        <f>'Schedule 2L Adjustments'!H45</f>
        <v>0</v>
      </c>
      <c r="G46" s="68">
        <f>'Schedule 2L Adjustments'!J45</f>
        <v>0</v>
      </c>
      <c r="H46" s="68">
        <f t="shared" si="0"/>
        <v>0</v>
      </c>
      <c r="J46" s="117">
        <f>'Schedule 2L Adjustments'!P45</f>
        <v>0</v>
      </c>
      <c r="K46" s="68">
        <f>'Schedule 2L Adjustments'!R45</f>
        <v>0</v>
      </c>
      <c r="L46" s="68">
        <f t="shared" si="1"/>
        <v>0</v>
      </c>
      <c r="N46" s="120">
        <f>'Schedule 2L Adjustments'!X45</f>
        <v>0</v>
      </c>
      <c r="O46" s="120">
        <f>'Schedule 2L Adjustments'!AA45</f>
        <v>0</v>
      </c>
    </row>
    <row r="47" spans="1:15" x14ac:dyDescent="0.35">
      <c r="A47" s="24">
        <v>32</v>
      </c>
      <c r="B47" s="513" t="str">
        <f>'Schedule 2L Adjustments'!B46:D46</f>
        <v/>
      </c>
      <c r="C47" s="513"/>
      <c r="D47" s="513"/>
      <c r="F47" s="117">
        <f>'Schedule 2L Adjustments'!H46</f>
        <v>0</v>
      </c>
      <c r="G47" s="68">
        <f>'Schedule 2L Adjustments'!J46</f>
        <v>0</v>
      </c>
      <c r="H47" s="68">
        <f t="shared" si="0"/>
        <v>0</v>
      </c>
      <c r="J47" s="117">
        <f>'Schedule 2L Adjustments'!P46</f>
        <v>0</v>
      </c>
      <c r="K47" s="68">
        <f>'Schedule 2L Adjustments'!R46</f>
        <v>0</v>
      </c>
      <c r="L47" s="68">
        <f t="shared" si="1"/>
        <v>0</v>
      </c>
      <c r="N47" s="120">
        <f>'Schedule 2L Adjustments'!X46</f>
        <v>0</v>
      </c>
      <c r="O47" s="120">
        <f>'Schedule 2L Adjustments'!AA46</f>
        <v>0</v>
      </c>
    </row>
    <row r="48" spans="1:15" x14ac:dyDescent="0.35">
      <c r="A48" s="24">
        <v>33</v>
      </c>
      <c r="B48" s="513" t="str">
        <f>'Schedule 2L Adjustments'!B47:D47</f>
        <v/>
      </c>
      <c r="C48" s="513"/>
      <c r="D48" s="513"/>
      <c r="F48" s="117">
        <f>'Schedule 2L Adjustments'!H47</f>
        <v>0</v>
      </c>
      <c r="G48" s="68">
        <f>'Schedule 2L Adjustments'!J47</f>
        <v>0</v>
      </c>
      <c r="H48" s="68">
        <f t="shared" si="0"/>
        <v>0</v>
      </c>
      <c r="J48" s="117">
        <f>'Schedule 2L Adjustments'!P47</f>
        <v>0</v>
      </c>
      <c r="K48" s="68">
        <f>'Schedule 2L Adjustments'!R47</f>
        <v>0</v>
      </c>
      <c r="L48" s="68">
        <f t="shared" si="1"/>
        <v>0</v>
      </c>
      <c r="N48" s="120">
        <f>'Schedule 2L Adjustments'!X47</f>
        <v>0</v>
      </c>
      <c r="O48" s="120">
        <f>'Schedule 2L Adjustments'!AA47</f>
        <v>0</v>
      </c>
    </row>
    <row r="49" spans="1:15" x14ac:dyDescent="0.35">
      <c r="A49" s="24">
        <v>34</v>
      </c>
      <c r="B49" s="513" t="str">
        <f>'Schedule 2L Adjustments'!B48:D48</f>
        <v/>
      </c>
      <c r="C49" s="513"/>
      <c r="D49" s="513"/>
      <c r="F49" s="117">
        <f>'Schedule 2L Adjustments'!H48</f>
        <v>0</v>
      </c>
      <c r="G49" s="68">
        <f>'Schedule 2L Adjustments'!J48</f>
        <v>0</v>
      </c>
      <c r="H49" s="68">
        <f t="shared" si="0"/>
        <v>0</v>
      </c>
      <c r="J49" s="117">
        <f>'Schedule 2L Adjustments'!P48</f>
        <v>0</v>
      </c>
      <c r="K49" s="68">
        <f>'Schedule 2L Adjustments'!R48</f>
        <v>0</v>
      </c>
      <c r="L49" s="68">
        <f t="shared" si="1"/>
        <v>0</v>
      </c>
      <c r="N49" s="120">
        <f>'Schedule 2L Adjustments'!X48</f>
        <v>0</v>
      </c>
      <c r="O49" s="120">
        <f>'Schedule 2L Adjustments'!AA48</f>
        <v>0</v>
      </c>
    </row>
    <row r="50" spans="1:15" x14ac:dyDescent="0.35">
      <c r="A50" s="24">
        <v>35</v>
      </c>
      <c r="B50" s="513" t="str">
        <f>'Schedule 2L Adjustments'!B49:D49</f>
        <v/>
      </c>
      <c r="C50" s="513"/>
      <c r="D50" s="513"/>
      <c r="F50" s="117">
        <f>'Schedule 2L Adjustments'!H49</f>
        <v>0</v>
      </c>
      <c r="G50" s="68">
        <f>'Schedule 2L Adjustments'!J49</f>
        <v>0</v>
      </c>
      <c r="H50" s="68">
        <f t="shared" si="0"/>
        <v>0</v>
      </c>
      <c r="J50" s="117">
        <f>'Schedule 2L Adjustments'!P49</f>
        <v>0</v>
      </c>
      <c r="K50" s="68">
        <f>'Schedule 2L Adjustments'!R49</f>
        <v>0</v>
      </c>
      <c r="L50" s="68">
        <f t="shared" si="1"/>
        <v>0</v>
      </c>
      <c r="N50" s="120">
        <f>'Schedule 2L Adjustments'!X49</f>
        <v>0</v>
      </c>
      <c r="O50" s="120">
        <f>'Schedule 2L Adjustments'!AA49</f>
        <v>0</v>
      </c>
    </row>
    <row r="51" spans="1:15" x14ac:dyDescent="0.35">
      <c r="A51" s="24">
        <v>36</v>
      </c>
      <c r="B51" s="513" t="str">
        <f>'Schedule 2L Adjustments'!B50:D50</f>
        <v/>
      </c>
      <c r="C51" s="513"/>
      <c r="D51" s="513"/>
      <c r="F51" s="117">
        <f>'Schedule 2L Adjustments'!H50</f>
        <v>0</v>
      </c>
      <c r="G51" s="68">
        <f>'Schedule 2L Adjustments'!J50</f>
        <v>0</v>
      </c>
      <c r="H51" s="68">
        <f t="shared" si="0"/>
        <v>0</v>
      </c>
      <c r="J51" s="117">
        <f>'Schedule 2L Adjustments'!P50</f>
        <v>0</v>
      </c>
      <c r="K51" s="68">
        <f>'Schedule 2L Adjustments'!R50</f>
        <v>0</v>
      </c>
      <c r="L51" s="68">
        <f t="shared" si="1"/>
        <v>0</v>
      </c>
      <c r="N51" s="120">
        <f>'Schedule 2L Adjustments'!X50</f>
        <v>0</v>
      </c>
      <c r="O51" s="120">
        <f>'Schedule 2L Adjustments'!AA50</f>
        <v>0</v>
      </c>
    </row>
    <row r="52" spans="1:15" x14ac:dyDescent="0.35">
      <c r="A52" s="24">
        <v>37</v>
      </c>
      <c r="B52" s="513" t="str">
        <f>'Schedule 2L Adjustments'!B51:D51</f>
        <v/>
      </c>
      <c r="C52" s="513"/>
      <c r="D52" s="513"/>
      <c r="F52" s="117">
        <f>'Schedule 2L Adjustments'!H51</f>
        <v>0</v>
      </c>
      <c r="G52" s="68">
        <f>'Schedule 2L Adjustments'!J51</f>
        <v>0</v>
      </c>
      <c r="H52" s="68">
        <f t="shared" si="0"/>
        <v>0</v>
      </c>
      <c r="J52" s="117">
        <f>'Schedule 2L Adjustments'!P51</f>
        <v>0</v>
      </c>
      <c r="K52" s="68">
        <f>'Schedule 2L Adjustments'!R51</f>
        <v>0</v>
      </c>
      <c r="L52" s="68">
        <f t="shared" si="1"/>
        <v>0</v>
      </c>
      <c r="N52" s="120">
        <f>'Schedule 2L Adjustments'!X51</f>
        <v>0</v>
      </c>
      <c r="O52" s="120">
        <f>'Schedule 2L Adjustments'!AA51</f>
        <v>0</v>
      </c>
    </row>
    <row r="53" spans="1:15" x14ac:dyDescent="0.35">
      <c r="A53" s="24">
        <v>38</v>
      </c>
      <c r="B53" s="513" t="str">
        <f>'Schedule 2L Adjustments'!B52:D52</f>
        <v/>
      </c>
      <c r="C53" s="513"/>
      <c r="D53" s="513"/>
      <c r="F53" s="117">
        <f>'Schedule 2L Adjustments'!H52</f>
        <v>0</v>
      </c>
      <c r="G53" s="68">
        <f>'Schedule 2L Adjustments'!J52</f>
        <v>0</v>
      </c>
      <c r="H53" s="68">
        <f t="shared" si="0"/>
        <v>0</v>
      </c>
      <c r="J53" s="117">
        <f>'Schedule 2L Adjustments'!P52</f>
        <v>0</v>
      </c>
      <c r="K53" s="68">
        <f>'Schedule 2L Adjustments'!R52</f>
        <v>0</v>
      </c>
      <c r="L53" s="68">
        <f t="shared" si="1"/>
        <v>0</v>
      </c>
      <c r="N53" s="120">
        <f>'Schedule 2L Adjustments'!X52</f>
        <v>0</v>
      </c>
      <c r="O53" s="120">
        <f>'Schedule 2L Adjustments'!AA52</f>
        <v>0</v>
      </c>
    </row>
    <row r="54" spans="1:15" x14ac:dyDescent="0.35">
      <c r="A54" s="24">
        <v>39</v>
      </c>
      <c r="B54" s="513" t="str">
        <f>'Schedule 2L Adjustments'!B53:D53</f>
        <v/>
      </c>
      <c r="C54" s="513"/>
      <c r="D54" s="513"/>
      <c r="F54" s="117">
        <f>'Schedule 2L Adjustments'!H53</f>
        <v>0</v>
      </c>
      <c r="G54" s="68">
        <f>'Schedule 2L Adjustments'!J53</f>
        <v>0</v>
      </c>
      <c r="H54" s="68">
        <f t="shared" si="0"/>
        <v>0</v>
      </c>
      <c r="J54" s="117">
        <f>'Schedule 2L Adjustments'!P53</f>
        <v>0</v>
      </c>
      <c r="K54" s="68">
        <f>'Schedule 2L Adjustments'!R53</f>
        <v>0</v>
      </c>
      <c r="L54" s="68">
        <f t="shared" si="1"/>
        <v>0</v>
      </c>
      <c r="N54" s="120">
        <f>'Schedule 2L Adjustments'!X53</f>
        <v>0</v>
      </c>
      <c r="O54" s="120">
        <f>'Schedule 2L Adjustments'!AA53</f>
        <v>0</v>
      </c>
    </row>
    <row r="55" spans="1:15" x14ac:dyDescent="0.35">
      <c r="A55" s="24">
        <v>40</v>
      </c>
      <c r="B55" s="513" t="str">
        <f>'Schedule 2L Adjustments'!B54:D54</f>
        <v/>
      </c>
      <c r="C55" s="513"/>
      <c r="D55" s="513"/>
      <c r="F55" s="117">
        <f>'Schedule 2L Adjustments'!H54</f>
        <v>0</v>
      </c>
      <c r="G55" s="68">
        <f>'Schedule 2L Adjustments'!J54</f>
        <v>0</v>
      </c>
      <c r="H55" s="68">
        <f t="shared" si="0"/>
        <v>0</v>
      </c>
      <c r="J55" s="117">
        <f>'Schedule 2L Adjustments'!P54</f>
        <v>0</v>
      </c>
      <c r="K55" s="68">
        <f>'Schedule 2L Adjustments'!R54</f>
        <v>0</v>
      </c>
      <c r="L55" s="68">
        <f t="shared" si="1"/>
        <v>0</v>
      </c>
      <c r="N55" s="120">
        <f>'Schedule 2L Adjustments'!X54</f>
        <v>0</v>
      </c>
      <c r="O55" s="120">
        <f>'Schedule 2L Adjustments'!AA54</f>
        <v>0</v>
      </c>
    </row>
    <row r="56" spans="1:15" x14ac:dyDescent="0.35">
      <c r="A56" s="24">
        <v>41</v>
      </c>
      <c r="B56" s="513" t="str">
        <f>'Schedule 2L Adjustments'!B55:D55</f>
        <v/>
      </c>
      <c r="C56" s="513"/>
      <c r="D56" s="513"/>
      <c r="F56" s="117">
        <f>'Schedule 2L Adjustments'!H55</f>
        <v>0</v>
      </c>
      <c r="G56" s="68">
        <f>'Schedule 2L Adjustments'!J55</f>
        <v>0</v>
      </c>
      <c r="H56" s="68">
        <f t="shared" si="0"/>
        <v>0</v>
      </c>
      <c r="J56" s="117">
        <f>'Schedule 2L Adjustments'!P55</f>
        <v>0</v>
      </c>
      <c r="K56" s="68">
        <f>'Schedule 2L Adjustments'!R55</f>
        <v>0</v>
      </c>
      <c r="L56" s="68">
        <f t="shared" si="1"/>
        <v>0</v>
      </c>
      <c r="N56" s="120">
        <f>'Schedule 2L Adjustments'!X55</f>
        <v>0</v>
      </c>
      <c r="O56" s="120">
        <f>'Schedule 2L Adjustments'!AA55</f>
        <v>0</v>
      </c>
    </row>
    <row r="57" spans="1:15" x14ac:dyDescent="0.35">
      <c r="A57" s="24">
        <v>42</v>
      </c>
      <c r="B57" s="513" t="str">
        <f>'Schedule 2L Adjustments'!B56:D56</f>
        <v/>
      </c>
      <c r="C57" s="513"/>
      <c r="D57" s="513"/>
      <c r="F57" s="117">
        <f>'Schedule 2L Adjustments'!H56</f>
        <v>0</v>
      </c>
      <c r="G57" s="68">
        <f>'Schedule 2L Adjustments'!J56</f>
        <v>0</v>
      </c>
      <c r="H57" s="68">
        <f t="shared" si="0"/>
        <v>0</v>
      </c>
      <c r="J57" s="117">
        <f>'Schedule 2L Adjustments'!P56</f>
        <v>0</v>
      </c>
      <c r="K57" s="68">
        <f>'Schedule 2L Adjustments'!R56</f>
        <v>0</v>
      </c>
      <c r="L57" s="68">
        <f t="shared" si="1"/>
        <v>0</v>
      </c>
      <c r="N57" s="120">
        <f>'Schedule 2L Adjustments'!X56</f>
        <v>0</v>
      </c>
      <c r="O57" s="120">
        <f>'Schedule 2L Adjustments'!AA56</f>
        <v>0</v>
      </c>
    </row>
    <row r="58" spans="1:15" x14ac:dyDescent="0.35">
      <c r="A58" s="24">
        <v>43</v>
      </c>
      <c r="B58" s="513" t="str">
        <f>'Schedule 2L Adjustments'!B57:D57</f>
        <v/>
      </c>
      <c r="C58" s="513"/>
      <c r="D58" s="513"/>
      <c r="F58" s="117">
        <f>'Schedule 2L Adjustments'!H57</f>
        <v>0</v>
      </c>
      <c r="G58" s="68">
        <f>'Schedule 2L Adjustments'!J57</f>
        <v>0</v>
      </c>
      <c r="H58" s="68">
        <f t="shared" si="0"/>
        <v>0</v>
      </c>
      <c r="J58" s="117">
        <f>'Schedule 2L Adjustments'!P57</f>
        <v>0</v>
      </c>
      <c r="K58" s="68">
        <f>'Schedule 2L Adjustments'!R57</f>
        <v>0</v>
      </c>
      <c r="L58" s="68">
        <f t="shared" si="1"/>
        <v>0</v>
      </c>
      <c r="N58" s="120">
        <f>'Schedule 2L Adjustments'!X57</f>
        <v>0</v>
      </c>
      <c r="O58" s="120">
        <f>'Schedule 2L Adjustments'!AA57</f>
        <v>0</v>
      </c>
    </row>
    <row r="59" spans="1:15" x14ac:dyDescent="0.35">
      <c r="A59" s="24">
        <v>44</v>
      </c>
      <c r="B59" s="513" t="str">
        <f>'Schedule 2L Adjustments'!B58:D58</f>
        <v/>
      </c>
      <c r="C59" s="513"/>
      <c r="D59" s="513"/>
      <c r="F59" s="117">
        <f>'Schedule 2L Adjustments'!H58</f>
        <v>0</v>
      </c>
      <c r="G59" s="68">
        <f>'Schedule 2L Adjustments'!J58</f>
        <v>0</v>
      </c>
      <c r="H59" s="68">
        <f t="shared" si="0"/>
        <v>0</v>
      </c>
      <c r="J59" s="117">
        <f>'Schedule 2L Adjustments'!P58</f>
        <v>0</v>
      </c>
      <c r="K59" s="68">
        <f>'Schedule 2L Adjustments'!R58</f>
        <v>0</v>
      </c>
      <c r="L59" s="68">
        <f t="shared" si="1"/>
        <v>0</v>
      </c>
      <c r="N59" s="120">
        <f>'Schedule 2L Adjustments'!X58</f>
        <v>0</v>
      </c>
      <c r="O59" s="120">
        <f>'Schedule 2L Adjustments'!AA58</f>
        <v>0</v>
      </c>
    </row>
    <row r="60" spans="1:15" x14ac:dyDescent="0.35">
      <c r="A60" s="24">
        <v>45</v>
      </c>
      <c r="B60" s="513" t="str">
        <f>'Schedule 2L Adjustments'!B59:D59</f>
        <v/>
      </c>
      <c r="C60" s="513"/>
      <c r="D60" s="513"/>
      <c r="F60" s="117">
        <f>'Schedule 2L Adjustments'!H59</f>
        <v>0</v>
      </c>
      <c r="G60" s="68">
        <f>'Schedule 2L Adjustments'!J59</f>
        <v>0</v>
      </c>
      <c r="H60" s="68">
        <f t="shared" si="0"/>
        <v>0</v>
      </c>
      <c r="J60" s="117">
        <f>'Schedule 2L Adjustments'!P59</f>
        <v>0</v>
      </c>
      <c r="K60" s="68">
        <f>'Schedule 2L Adjustments'!R59</f>
        <v>0</v>
      </c>
      <c r="L60" s="68">
        <f t="shared" si="1"/>
        <v>0</v>
      </c>
      <c r="N60" s="120">
        <f>'Schedule 2L Adjustments'!X59</f>
        <v>0</v>
      </c>
      <c r="O60" s="120">
        <f>'Schedule 2L Adjustments'!AA59</f>
        <v>0</v>
      </c>
    </row>
    <row r="61" spans="1:15" x14ac:dyDescent="0.35">
      <c r="A61" s="24">
        <v>46</v>
      </c>
      <c r="B61" s="513" t="str">
        <f>'Schedule 2L Adjustments'!B60:D60</f>
        <v/>
      </c>
      <c r="C61" s="513"/>
      <c r="D61" s="513"/>
      <c r="F61" s="117">
        <f>'Schedule 2L Adjustments'!H60</f>
        <v>0</v>
      </c>
      <c r="G61" s="68">
        <f>'Schedule 2L Adjustments'!J60</f>
        <v>0</v>
      </c>
      <c r="H61" s="68">
        <f t="shared" si="0"/>
        <v>0</v>
      </c>
      <c r="J61" s="117">
        <f>'Schedule 2L Adjustments'!P60</f>
        <v>0</v>
      </c>
      <c r="K61" s="68">
        <f>'Schedule 2L Adjustments'!R60</f>
        <v>0</v>
      </c>
      <c r="L61" s="68">
        <f t="shared" si="1"/>
        <v>0</v>
      </c>
      <c r="N61" s="120">
        <f>'Schedule 2L Adjustments'!X60</f>
        <v>0</v>
      </c>
      <c r="O61" s="120">
        <f>'Schedule 2L Adjustments'!AA60</f>
        <v>0</v>
      </c>
    </row>
    <row r="62" spans="1:15" x14ac:dyDescent="0.35">
      <c r="A62" s="24">
        <v>47</v>
      </c>
      <c r="B62" s="513" t="str">
        <f>'Schedule 2L Adjustments'!B61:D61</f>
        <v/>
      </c>
      <c r="C62" s="513"/>
      <c r="D62" s="513"/>
      <c r="F62" s="117">
        <f>'Schedule 2L Adjustments'!H61</f>
        <v>0</v>
      </c>
      <c r="G62" s="68">
        <f>'Schedule 2L Adjustments'!J61</f>
        <v>0</v>
      </c>
      <c r="H62" s="68">
        <f t="shared" si="0"/>
        <v>0</v>
      </c>
      <c r="J62" s="117">
        <f>'Schedule 2L Adjustments'!P61</f>
        <v>0</v>
      </c>
      <c r="K62" s="68">
        <f>'Schedule 2L Adjustments'!R61</f>
        <v>0</v>
      </c>
      <c r="L62" s="68">
        <f t="shared" si="1"/>
        <v>0</v>
      </c>
      <c r="N62" s="120">
        <f>'Schedule 2L Adjustments'!X61</f>
        <v>0</v>
      </c>
      <c r="O62" s="120">
        <f>'Schedule 2L Adjustments'!AA61</f>
        <v>0</v>
      </c>
    </row>
    <row r="63" spans="1:15" x14ac:dyDescent="0.35">
      <c r="A63" s="24">
        <v>48</v>
      </c>
      <c r="B63" s="513" t="str">
        <f>'Schedule 2L Adjustments'!B62:D62</f>
        <v/>
      </c>
      <c r="C63" s="513"/>
      <c r="D63" s="513"/>
      <c r="F63" s="117">
        <f>'Schedule 2L Adjustments'!H62</f>
        <v>0</v>
      </c>
      <c r="G63" s="68">
        <f>'Schedule 2L Adjustments'!J62</f>
        <v>0</v>
      </c>
      <c r="H63" s="68">
        <f t="shared" si="0"/>
        <v>0</v>
      </c>
      <c r="J63" s="117">
        <f>'Schedule 2L Adjustments'!P62</f>
        <v>0</v>
      </c>
      <c r="K63" s="68">
        <f>'Schedule 2L Adjustments'!R62</f>
        <v>0</v>
      </c>
      <c r="L63" s="68">
        <f t="shared" si="1"/>
        <v>0</v>
      </c>
      <c r="N63" s="120">
        <f>'Schedule 2L Adjustments'!X62</f>
        <v>0</v>
      </c>
      <c r="O63" s="120">
        <f>'Schedule 2L Adjustments'!AA62</f>
        <v>0</v>
      </c>
    </row>
    <row r="64" spans="1:15" x14ac:dyDescent="0.35">
      <c r="A64" s="24">
        <v>49</v>
      </c>
      <c r="B64" s="513" t="str">
        <f>'Schedule 2L Adjustments'!B63:D63</f>
        <v/>
      </c>
      <c r="C64" s="513"/>
      <c r="D64" s="513"/>
      <c r="F64" s="117">
        <f>'Schedule 2L Adjustments'!H63</f>
        <v>0</v>
      </c>
      <c r="G64" s="68">
        <f>'Schedule 2L Adjustments'!J63</f>
        <v>0</v>
      </c>
      <c r="H64" s="68">
        <f t="shared" si="0"/>
        <v>0</v>
      </c>
      <c r="J64" s="117">
        <f>'Schedule 2L Adjustments'!P63</f>
        <v>0</v>
      </c>
      <c r="K64" s="68">
        <f>'Schedule 2L Adjustments'!R63</f>
        <v>0</v>
      </c>
      <c r="L64" s="68">
        <f t="shared" si="1"/>
        <v>0</v>
      </c>
      <c r="N64" s="120">
        <f>'Schedule 2L Adjustments'!X63</f>
        <v>0</v>
      </c>
      <c r="O64" s="120">
        <f>'Schedule 2L Adjustments'!AA63</f>
        <v>0</v>
      </c>
    </row>
    <row r="65" spans="1:15" x14ac:dyDescent="0.35">
      <c r="A65" s="24">
        <v>50</v>
      </c>
      <c r="B65" s="513" t="str">
        <f>'Schedule 2L Adjustments'!B64:D64</f>
        <v/>
      </c>
      <c r="C65" s="513"/>
      <c r="D65" s="513"/>
      <c r="F65" s="117">
        <f>'Schedule 2L Adjustments'!H64</f>
        <v>0</v>
      </c>
      <c r="G65" s="68">
        <f>'Schedule 2L Adjustments'!J64</f>
        <v>0</v>
      </c>
      <c r="H65" s="68">
        <f t="shared" si="0"/>
        <v>0</v>
      </c>
      <c r="J65" s="117">
        <f>'Schedule 2L Adjustments'!P64</f>
        <v>0</v>
      </c>
      <c r="K65" s="68">
        <f>'Schedule 2L Adjustments'!R64</f>
        <v>0</v>
      </c>
      <c r="L65" s="68">
        <f t="shared" si="1"/>
        <v>0</v>
      </c>
      <c r="N65" s="120">
        <f>'Schedule 2L Adjustments'!X64</f>
        <v>0</v>
      </c>
      <c r="O65" s="120">
        <f>'Schedule 2L Adjustments'!AA64</f>
        <v>0</v>
      </c>
    </row>
    <row r="66" spans="1:15" x14ac:dyDescent="0.35">
      <c r="A66" s="24">
        <v>51</v>
      </c>
      <c r="B66" s="513" t="str">
        <f>'Schedule 2L Adjustments'!B65:D65</f>
        <v/>
      </c>
      <c r="C66" s="513"/>
      <c r="D66" s="513"/>
      <c r="F66" s="117">
        <f>'Schedule 2L Adjustments'!H65</f>
        <v>0</v>
      </c>
      <c r="G66" s="68">
        <f>'Schedule 2L Adjustments'!J65</f>
        <v>0</v>
      </c>
      <c r="H66" s="68">
        <f t="shared" si="0"/>
        <v>0</v>
      </c>
      <c r="J66" s="117">
        <f>'Schedule 2L Adjustments'!P65</f>
        <v>0</v>
      </c>
      <c r="K66" s="68">
        <f>'Schedule 2L Adjustments'!R65</f>
        <v>0</v>
      </c>
      <c r="L66" s="68">
        <f t="shared" si="1"/>
        <v>0</v>
      </c>
      <c r="N66" s="120">
        <f>'Schedule 2L Adjustments'!X65</f>
        <v>0</v>
      </c>
      <c r="O66" s="120">
        <f>'Schedule 2L Adjustments'!AA65</f>
        <v>0</v>
      </c>
    </row>
    <row r="67" spans="1:15" x14ac:dyDescent="0.35">
      <c r="A67" s="24">
        <v>52</v>
      </c>
      <c r="B67" s="513" t="str">
        <f>'Schedule 2L Adjustments'!B66:D66</f>
        <v/>
      </c>
      <c r="C67" s="513"/>
      <c r="D67" s="513"/>
      <c r="F67" s="117">
        <f>'Schedule 2L Adjustments'!H66</f>
        <v>0</v>
      </c>
      <c r="G67" s="68">
        <f>'Schedule 2L Adjustments'!J66</f>
        <v>0</v>
      </c>
      <c r="H67" s="68">
        <f t="shared" si="0"/>
        <v>0</v>
      </c>
      <c r="J67" s="117">
        <f>'Schedule 2L Adjustments'!P66</f>
        <v>0</v>
      </c>
      <c r="K67" s="68">
        <f>'Schedule 2L Adjustments'!R66</f>
        <v>0</v>
      </c>
      <c r="L67" s="68">
        <f t="shared" si="1"/>
        <v>0</v>
      </c>
      <c r="N67" s="120">
        <f>'Schedule 2L Adjustments'!X66</f>
        <v>0</v>
      </c>
      <c r="O67" s="120">
        <f>'Schedule 2L Adjustments'!AA66</f>
        <v>0</v>
      </c>
    </row>
    <row r="68" spans="1:15" x14ac:dyDescent="0.35">
      <c r="A68" s="24">
        <v>53</v>
      </c>
      <c r="B68" s="513" t="str">
        <f>'Schedule 2L Adjustments'!B67:D67</f>
        <v/>
      </c>
      <c r="C68" s="513"/>
      <c r="D68" s="513"/>
      <c r="F68" s="117">
        <f>'Schedule 2L Adjustments'!H67</f>
        <v>0</v>
      </c>
      <c r="G68" s="68">
        <f>'Schedule 2L Adjustments'!J67</f>
        <v>0</v>
      </c>
      <c r="H68" s="68">
        <f t="shared" si="0"/>
        <v>0</v>
      </c>
      <c r="J68" s="117">
        <f>'Schedule 2L Adjustments'!P67</f>
        <v>0</v>
      </c>
      <c r="K68" s="68">
        <f>'Schedule 2L Adjustments'!R67</f>
        <v>0</v>
      </c>
      <c r="L68" s="68">
        <f t="shared" si="1"/>
        <v>0</v>
      </c>
      <c r="N68" s="120">
        <f>'Schedule 2L Adjustments'!X67</f>
        <v>0</v>
      </c>
      <c r="O68" s="120">
        <f>'Schedule 2L Adjustments'!AA67</f>
        <v>0</v>
      </c>
    </row>
    <row r="69" spans="1:15" x14ac:dyDescent="0.35">
      <c r="A69" s="24">
        <v>54</v>
      </c>
      <c r="B69" s="513" t="str">
        <f>'Schedule 2L Adjustments'!B68:D68</f>
        <v/>
      </c>
      <c r="C69" s="513"/>
      <c r="D69" s="513"/>
      <c r="F69" s="117">
        <f>'Schedule 2L Adjustments'!H68</f>
        <v>0</v>
      </c>
      <c r="G69" s="68">
        <f>'Schedule 2L Adjustments'!J68</f>
        <v>0</v>
      </c>
      <c r="H69" s="68">
        <f t="shared" si="0"/>
        <v>0</v>
      </c>
      <c r="J69" s="117">
        <f>'Schedule 2L Adjustments'!P68</f>
        <v>0</v>
      </c>
      <c r="K69" s="68">
        <f>'Schedule 2L Adjustments'!R68</f>
        <v>0</v>
      </c>
      <c r="L69" s="68">
        <f t="shared" si="1"/>
        <v>0</v>
      </c>
      <c r="N69" s="120">
        <f>'Schedule 2L Adjustments'!X68</f>
        <v>0</v>
      </c>
      <c r="O69" s="120">
        <f>'Schedule 2L Adjustments'!AA68</f>
        <v>0</v>
      </c>
    </row>
    <row r="70" spans="1:15" x14ac:dyDescent="0.35">
      <c r="A70" s="24">
        <v>55</v>
      </c>
      <c r="B70" s="513" t="str">
        <f>'Schedule 2L Adjustments'!B69:D69</f>
        <v/>
      </c>
      <c r="C70" s="513"/>
      <c r="D70" s="513"/>
      <c r="F70" s="117">
        <f>'Schedule 2L Adjustments'!H69</f>
        <v>0</v>
      </c>
      <c r="G70" s="68">
        <f>'Schedule 2L Adjustments'!J69</f>
        <v>0</v>
      </c>
      <c r="H70" s="68">
        <f t="shared" si="0"/>
        <v>0</v>
      </c>
      <c r="J70" s="117">
        <f>'Schedule 2L Adjustments'!P69</f>
        <v>0</v>
      </c>
      <c r="K70" s="68">
        <f>'Schedule 2L Adjustments'!R69</f>
        <v>0</v>
      </c>
      <c r="L70" s="68">
        <f t="shared" si="1"/>
        <v>0</v>
      </c>
      <c r="N70" s="120">
        <f>'Schedule 2L Adjustments'!X69</f>
        <v>0</v>
      </c>
      <c r="O70" s="120">
        <f>'Schedule 2L Adjustments'!AA69</f>
        <v>0</v>
      </c>
    </row>
    <row r="71" spans="1:15" x14ac:dyDescent="0.35">
      <c r="A71" s="24">
        <v>56</v>
      </c>
      <c r="B71" s="513" t="str">
        <f>'Schedule 2L Adjustments'!B70:D70</f>
        <v/>
      </c>
      <c r="C71" s="513"/>
      <c r="D71" s="513"/>
      <c r="F71" s="117">
        <f>'Schedule 2L Adjustments'!H70</f>
        <v>0</v>
      </c>
      <c r="G71" s="68">
        <f>'Schedule 2L Adjustments'!J70</f>
        <v>0</v>
      </c>
      <c r="H71" s="68">
        <f t="shared" si="0"/>
        <v>0</v>
      </c>
      <c r="J71" s="117">
        <f>'Schedule 2L Adjustments'!P70</f>
        <v>0</v>
      </c>
      <c r="K71" s="68">
        <f>'Schedule 2L Adjustments'!R70</f>
        <v>0</v>
      </c>
      <c r="L71" s="68">
        <f t="shared" si="1"/>
        <v>0</v>
      </c>
      <c r="N71" s="120">
        <f>'Schedule 2L Adjustments'!X70</f>
        <v>0</v>
      </c>
      <c r="O71" s="120">
        <f>'Schedule 2L Adjustments'!AA70</f>
        <v>0</v>
      </c>
    </row>
    <row r="72" spans="1:15" x14ac:dyDescent="0.35">
      <c r="A72" s="24">
        <v>57</v>
      </c>
      <c r="B72" s="513" t="str">
        <f>'Schedule 2L Adjustments'!B71:D71</f>
        <v/>
      </c>
      <c r="C72" s="513"/>
      <c r="D72" s="513"/>
      <c r="F72" s="117">
        <f>'Schedule 2L Adjustments'!H71</f>
        <v>0</v>
      </c>
      <c r="G72" s="68">
        <f>'Schedule 2L Adjustments'!J71</f>
        <v>0</v>
      </c>
      <c r="H72" s="68">
        <f t="shared" si="0"/>
        <v>0</v>
      </c>
      <c r="J72" s="117">
        <f>'Schedule 2L Adjustments'!P71</f>
        <v>0</v>
      </c>
      <c r="K72" s="68">
        <f>'Schedule 2L Adjustments'!R71</f>
        <v>0</v>
      </c>
      <c r="L72" s="68">
        <f t="shared" si="1"/>
        <v>0</v>
      </c>
      <c r="N72" s="120">
        <f>'Schedule 2L Adjustments'!X71</f>
        <v>0</v>
      </c>
      <c r="O72" s="120">
        <f>'Schedule 2L Adjustments'!AA71</f>
        <v>0</v>
      </c>
    </row>
    <row r="73" spans="1:15" x14ac:dyDescent="0.35">
      <c r="A73" s="24">
        <v>58</v>
      </c>
      <c r="B73" s="513" t="str">
        <f>'Schedule 2L Adjustments'!B72:D72</f>
        <v/>
      </c>
      <c r="C73" s="513"/>
      <c r="D73" s="513"/>
      <c r="F73" s="117">
        <f>'Schedule 2L Adjustments'!H72</f>
        <v>0</v>
      </c>
      <c r="G73" s="68">
        <f>'Schedule 2L Adjustments'!J72</f>
        <v>0</v>
      </c>
      <c r="H73" s="68">
        <f t="shared" si="0"/>
        <v>0</v>
      </c>
      <c r="J73" s="117">
        <f>'Schedule 2L Adjustments'!P72</f>
        <v>0</v>
      </c>
      <c r="K73" s="68">
        <f>'Schedule 2L Adjustments'!R72</f>
        <v>0</v>
      </c>
      <c r="L73" s="68">
        <f t="shared" si="1"/>
        <v>0</v>
      </c>
      <c r="N73" s="120">
        <f>'Schedule 2L Adjustments'!X72</f>
        <v>0</v>
      </c>
      <c r="O73" s="120">
        <f>'Schedule 2L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3">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856</v>
      </c>
      <c r="B3" s="5"/>
      <c r="C3" s="5"/>
      <c r="D3" s="5"/>
      <c r="E3" s="5"/>
      <c r="F3" s="5"/>
      <c r="G3" s="5"/>
      <c r="H3" s="5"/>
    </row>
    <row r="4" spans="1:15" ht="25" customHeight="1" x14ac:dyDescent="0.5">
      <c r="A4" s="242" t="s">
        <v>834</v>
      </c>
      <c r="B4" s="361"/>
      <c r="C4" s="361"/>
      <c r="D4" s="361"/>
      <c r="E4" s="361"/>
      <c r="F4" s="361"/>
      <c r="G4" s="361"/>
      <c r="H4" s="361"/>
    </row>
    <row r="5" spans="1:15" ht="21" x14ac:dyDescent="0.5">
      <c r="A5" s="243" t="str">
        <f>Results!A4</f>
        <v>Final Adjustments</v>
      </c>
    </row>
    <row r="6" spans="1:15" x14ac:dyDescent="0.35">
      <c r="A6" s="1" t="s">
        <v>773</v>
      </c>
      <c r="C6" s="421" t="str">
        <f>Results!$C$6</f>
        <v>Health Solutions</v>
      </c>
    </row>
    <row r="7" spans="1:15" x14ac:dyDescent="0.35">
      <c r="A7" s="1" t="s">
        <v>0</v>
      </c>
      <c r="C7" s="35">
        <f>Results!$C$7</f>
        <v>45473</v>
      </c>
      <c r="F7" s="35"/>
    </row>
    <row r="9" spans="1:15" x14ac:dyDescent="0.35">
      <c r="A9" s="1" t="s">
        <v>253</v>
      </c>
      <c r="B9" s="1" t="s">
        <v>835</v>
      </c>
      <c r="C9" s="1"/>
      <c r="J9" s="119" t="str">
        <f>'Schedule 2M Adjustments'!I8</f>
        <v>Yes/No</v>
      </c>
      <c r="K9" s="41" t="s">
        <v>259</v>
      </c>
    </row>
    <row r="11" spans="1:15" x14ac:dyDescent="0.35">
      <c r="A11" s="1" t="s">
        <v>254</v>
      </c>
      <c r="B11" s="1" t="s">
        <v>256</v>
      </c>
      <c r="C11" s="1"/>
    </row>
    <row r="12" spans="1:15" x14ac:dyDescent="0.35">
      <c r="B12" s="318" t="s">
        <v>598</v>
      </c>
    </row>
    <row r="13" spans="1:15" x14ac:dyDescent="0.35">
      <c r="B13" s="508">
        <v>1</v>
      </c>
      <c r="C13" s="508"/>
      <c r="D13" s="508"/>
      <c r="F13" s="23">
        <v>2</v>
      </c>
      <c r="G13" s="23">
        <v>3</v>
      </c>
      <c r="H13" s="23">
        <v>4</v>
      </c>
      <c r="J13" s="23">
        <v>5</v>
      </c>
      <c r="K13" s="23">
        <v>6</v>
      </c>
      <c r="L13" s="23">
        <v>7</v>
      </c>
      <c r="N13" s="23">
        <v>8</v>
      </c>
      <c r="O13" s="23">
        <v>9</v>
      </c>
    </row>
    <row r="14" spans="1:15" ht="15" customHeight="1" x14ac:dyDescent="0.35">
      <c r="B14" s="517" t="s">
        <v>612</v>
      </c>
      <c r="C14" s="518"/>
      <c r="D14" s="519"/>
      <c r="F14" s="511" t="s">
        <v>261</v>
      </c>
      <c r="G14" s="516"/>
      <c r="H14" s="512"/>
      <c r="J14" s="511" t="s">
        <v>262</v>
      </c>
      <c r="K14" s="516"/>
      <c r="L14" s="512"/>
      <c r="N14" s="514" t="s">
        <v>692</v>
      </c>
      <c r="O14" s="514" t="s">
        <v>693</v>
      </c>
    </row>
    <row r="15" spans="1:15" ht="55.5" customHeight="1" x14ac:dyDescent="0.35">
      <c r="B15" s="520"/>
      <c r="C15" s="521"/>
      <c r="D15" s="522"/>
      <c r="E15" s="48"/>
      <c r="F15" s="10" t="s">
        <v>689</v>
      </c>
      <c r="G15" s="151" t="s">
        <v>690</v>
      </c>
      <c r="H15" s="151" t="s">
        <v>691</v>
      </c>
      <c r="I15" s="100"/>
      <c r="J15" s="10" t="s">
        <v>689</v>
      </c>
      <c r="K15" s="151" t="s">
        <v>690</v>
      </c>
      <c r="L15" s="151" t="s">
        <v>691</v>
      </c>
      <c r="M15" s="48"/>
      <c r="N15" s="515"/>
      <c r="O15" s="515"/>
    </row>
    <row r="16" spans="1:15" x14ac:dyDescent="0.35">
      <c r="A16" s="24">
        <v>1</v>
      </c>
      <c r="B16" s="513" t="str">
        <f>'Schedule 2M Adjustments'!B15:D15</f>
        <v/>
      </c>
      <c r="C16" s="513"/>
      <c r="D16" s="513"/>
      <c r="F16" s="117">
        <f>'Schedule 2M Adjustments'!H15</f>
        <v>0</v>
      </c>
      <c r="G16" s="68">
        <f>'Schedule 2M Adjustments'!J15</f>
        <v>0</v>
      </c>
      <c r="H16" s="68">
        <f>SUM(F16:G16)</f>
        <v>0</v>
      </c>
      <c r="J16" s="117">
        <f>'Schedule 2M Adjustments'!P15</f>
        <v>0</v>
      </c>
      <c r="K16" s="68">
        <f>'Schedule 2M Adjustments'!R15</f>
        <v>0</v>
      </c>
      <c r="L16" s="68">
        <f>SUM(J16:K16)</f>
        <v>0</v>
      </c>
      <c r="N16" s="120">
        <f>'Schedule 2M Adjustments'!X15</f>
        <v>0</v>
      </c>
      <c r="O16" s="120">
        <f>'Schedule 2M Adjustments'!AA15</f>
        <v>0</v>
      </c>
    </row>
    <row r="17" spans="1:15" x14ac:dyDescent="0.35">
      <c r="A17" s="24">
        <v>2</v>
      </c>
      <c r="B17" s="513" t="str">
        <f>'Schedule 2M Adjustments'!B16:D16</f>
        <v/>
      </c>
      <c r="C17" s="513"/>
      <c r="D17" s="513"/>
      <c r="F17" s="117">
        <f>'Schedule 2M Adjustments'!H16</f>
        <v>0</v>
      </c>
      <c r="G17" s="68">
        <f>'Schedule 2M Adjustments'!J16</f>
        <v>0</v>
      </c>
      <c r="H17" s="68">
        <f t="shared" ref="H17:H73" si="0">SUM(F17:G17)</f>
        <v>0</v>
      </c>
      <c r="J17" s="117">
        <f>'Schedule 2M Adjustments'!P16</f>
        <v>0</v>
      </c>
      <c r="K17" s="68">
        <f>'Schedule 2M Adjustments'!R16</f>
        <v>0</v>
      </c>
      <c r="L17" s="68">
        <f t="shared" ref="L17:L73" si="1">SUM(J17:K17)</f>
        <v>0</v>
      </c>
      <c r="N17" s="120">
        <f>'Schedule 2M Adjustments'!X16</f>
        <v>0</v>
      </c>
      <c r="O17" s="120">
        <f>'Schedule 2M Adjustments'!AA16</f>
        <v>0</v>
      </c>
    </row>
    <row r="18" spans="1:15" x14ac:dyDescent="0.35">
      <c r="A18" s="24">
        <v>3</v>
      </c>
      <c r="B18" s="513" t="str">
        <f>'Schedule 2M Adjustments'!B17:D17</f>
        <v/>
      </c>
      <c r="C18" s="513"/>
      <c r="D18" s="513"/>
      <c r="F18" s="117">
        <f>'Schedule 2M Adjustments'!H17</f>
        <v>0</v>
      </c>
      <c r="G18" s="68">
        <f>'Schedule 2M Adjustments'!J17</f>
        <v>0</v>
      </c>
      <c r="H18" s="68">
        <f t="shared" si="0"/>
        <v>0</v>
      </c>
      <c r="J18" s="117">
        <f>'Schedule 2M Adjustments'!P17</f>
        <v>0</v>
      </c>
      <c r="K18" s="68">
        <f>'Schedule 2M Adjustments'!R17</f>
        <v>0</v>
      </c>
      <c r="L18" s="68">
        <f t="shared" si="1"/>
        <v>0</v>
      </c>
      <c r="N18" s="120">
        <f>'Schedule 2M Adjustments'!X17</f>
        <v>0</v>
      </c>
      <c r="O18" s="120">
        <f>'Schedule 2M Adjustments'!AA17</f>
        <v>0</v>
      </c>
    </row>
    <row r="19" spans="1:15" x14ac:dyDescent="0.35">
      <c r="A19" s="24">
        <v>4</v>
      </c>
      <c r="B19" s="513" t="str">
        <f>'Schedule 2M Adjustments'!B18:D18</f>
        <v/>
      </c>
      <c r="C19" s="513"/>
      <c r="D19" s="513"/>
      <c r="F19" s="117">
        <f>'Schedule 2M Adjustments'!H18</f>
        <v>0</v>
      </c>
      <c r="G19" s="68">
        <f>'Schedule 2M Adjustments'!J18</f>
        <v>0</v>
      </c>
      <c r="H19" s="68">
        <f t="shared" si="0"/>
        <v>0</v>
      </c>
      <c r="J19" s="117">
        <f>'Schedule 2M Adjustments'!P18</f>
        <v>0</v>
      </c>
      <c r="K19" s="68">
        <f>'Schedule 2M Adjustments'!R18</f>
        <v>0</v>
      </c>
      <c r="L19" s="68">
        <f t="shared" si="1"/>
        <v>0</v>
      </c>
      <c r="N19" s="120">
        <f>'Schedule 2M Adjustments'!X18</f>
        <v>0</v>
      </c>
      <c r="O19" s="120">
        <f>'Schedule 2M Adjustments'!AA18</f>
        <v>0</v>
      </c>
    </row>
    <row r="20" spans="1:15" x14ac:dyDescent="0.35">
      <c r="A20" s="24">
        <v>5</v>
      </c>
      <c r="B20" s="513" t="str">
        <f>'Schedule 2M Adjustments'!B19:D19</f>
        <v/>
      </c>
      <c r="C20" s="513"/>
      <c r="D20" s="513"/>
      <c r="F20" s="117">
        <f>'Schedule 2M Adjustments'!H19</f>
        <v>0</v>
      </c>
      <c r="G20" s="68">
        <f>'Schedule 2M Adjustments'!J19</f>
        <v>0</v>
      </c>
      <c r="H20" s="68">
        <f t="shared" si="0"/>
        <v>0</v>
      </c>
      <c r="J20" s="117">
        <f>'Schedule 2M Adjustments'!P19</f>
        <v>0</v>
      </c>
      <c r="K20" s="68">
        <f>'Schedule 2M Adjustments'!R19</f>
        <v>0</v>
      </c>
      <c r="L20" s="68">
        <f t="shared" si="1"/>
        <v>0</v>
      </c>
      <c r="N20" s="120">
        <f>'Schedule 2M Adjustments'!X19</f>
        <v>0</v>
      </c>
      <c r="O20" s="120">
        <f>'Schedule 2M Adjustments'!AA19</f>
        <v>0</v>
      </c>
    </row>
    <row r="21" spans="1:15" x14ac:dyDescent="0.35">
      <c r="A21" s="24">
        <v>6</v>
      </c>
      <c r="B21" s="513" t="str">
        <f>'Schedule 2M Adjustments'!B20:D20</f>
        <v/>
      </c>
      <c r="C21" s="513"/>
      <c r="D21" s="513"/>
      <c r="F21" s="117">
        <f>'Schedule 2M Adjustments'!H20</f>
        <v>0</v>
      </c>
      <c r="G21" s="68">
        <f>'Schedule 2M Adjustments'!J20</f>
        <v>0</v>
      </c>
      <c r="H21" s="68">
        <f t="shared" si="0"/>
        <v>0</v>
      </c>
      <c r="J21" s="117">
        <f>'Schedule 2M Adjustments'!P20</f>
        <v>0</v>
      </c>
      <c r="K21" s="68">
        <f>'Schedule 2M Adjustments'!R20</f>
        <v>0</v>
      </c>
      <c r="L21" s="68">
        <f t="shared" si="1"/>
        <v>0</v>
      </c>
      <c r="N21" s="120">
        <f>'Schedule 2M Adjustments'!X20</f>
        <v>0</v>
      </c>
      <c r="O21" s="120">
        <f>'Schedule 2M Adjustments'!AA20</f>
        <v>0</v>
      </c>
    </row>
    <row r="22" spans="1:15" x14ac:dyDescent="0.35">
      <c r="A22" s="24">
        <v>7</v>
      </c>
      <c r="B22" s="513" t="str">
        <f>'Schedule 2M Adjustments'!B21:D21</f>
        <v/>
      </c>
      <c r="C22" s="513"/>
      <c r="D22" s="513"/>
      <c r="F22" s="117">
        <f>'Schedule 2M Adjustments'!H21</f>
        <v>0</v>
      </c>
      <c r="G22" s="68">
        <f>'Schedule 2M Adjustments'!J21</f>
        <v>0</v>
      </c>
      <c r="H22" s="68">
        <f t="shared" si="0"/>
        <v>0</v>
      </c>
      <c r="J22" s="117">
        <f>'Schedule 2M Adjustments'!P21</f>
        <v>0</v>
      </c>
      <c r="K22" s="68">
        <f>'Schedule 2M Adjustments'!R21</f>
        <v>0</v>
      </c>
      <c r="L22" s="68">
        <f t="shared" si="1"/>
        <v>0</v>
      </c>
      <c r="N22" s="120">
        <f>'Schedule 2M Adjustments'!X21</f>
        <v>0</v>
      </c>
      <c r="O22" s="120">
        <f>'Schedule 2M Adjustments'!AA21</f>
        <v>0</v>
      </c>
    </row>
    <row r="23" spans="1:15" x14ac:dyDescent="0.35">
      <c r="A23" s="24">
        <v>8</v>
      </c>
      <c r="B23" s="513" t="str">
        <f>'Schedule 2M Adjustments'!B22:D22</f>
        <v/>
      </c>
      <c r="C23" s="513"/>
      <c r="D23" s="513"/>
      <c r="F23" s="117">
        <f>'Schedule 2M Adjustments'!H22</f>
        <v>0</v>
      </c>
      <c r="G23" s="68">
        <f>'Schedule 2M Adjustments'!J22</f>
        <v>0</v>
      </c>
      <c r="H23" s="68">
        <f t="shared" si="0"/>
        <v>0</v>
      </c>
      <c r="J23" s="117">
        <f>'Schedule 2M Adjustments'!P22</f>
        <v>0</v>
      </c>
      <c r="K23" s="68">
        <f>'Schedule 2M Adjustments'!R22</f>
        <v>0</v>
      </c>
      <c r="L23" s="68">
        <f t="shared" si="1"/>
        <v>0</v>
      </c>
      <c r="N23" s="120">
        <f>'Schedule 2M Adjustments'!X22</f>
        <v>0</v>
      </c>
      <c r="O23" s="120">
        <f>'Schedule 2M Adjustments'!AA22</f>
        <v>0</v>
      </c>
    </row>
    <row r="24" spans="1:15" x14ac:dyDescent="0.35">
      <c r="A24" s="24">
        <v>9</v>
      </c>
      <c r="B24" s="513" t="str">
        <f>'Schedule 2M Adjustments'!B23:D23</f>
        <v/>
      </c>
      <c r="C24" s="513"/>
      <c r="D24" s="513"/>
      <c r="F24" s="117">
        <f>'Schedule 2M Adjustments'!H23</f>
        <v>0</v>
      </c>
      <c r="G24" s="68">
        <f>'Schedule 2M Adjustments'!J23</f>
        <v>0</v>
      </c>
      <c r="H24" s="68">
        <f t="shared" si="0"/>
        <v>0</v>
      </c>
      <c r="J24" s="117">
        <f>'Schedule 2M Adjustments'!P23</f>
        <v>0</v>
      </c>
      <c r="K24" s="68">
        <f>'Schedule 2M Adjustments'!R23</f>
        <v>0</v>
      </c>
      <c r="L24" s="68">
        <f t="shared" si="1"/>
        <v>0</v>
      </c>
      <c r="N24" s="120">
        <f>'Schedule 2M Adjustments'!X23</f>
        <v>0</v>
      </c>
      <c r="O24" s="120">
        <f>'Schedule 2M Adjustments'!AA23</f>
        <v>0</v>
      </c>
    </row>
    <row r="25" spans="1:15" x14ac:dyDescent="0.35">
      <c r="A25" s="24">
        <v>10</v>
      </c>
      <c r="B25" s="513" t="str">
        <f>'Schedule 2M Adjustments'!B24:D24</f>
        <v/>
      </c>
      <c r="C25" s="513"/>
      <c r="D25" s="513"/>
      <c r="F25" s="117">
        <f>'Schedule 2M Adjustments'!H24</f>
        <v>0</v>
      </c>
      <c r="G25" s="68">
        <f>'Schedule 2M Adjustments'!J24</f>
        <v>0</v>
      </c>
      <c r="H25" s="68">
        <f t="shared" si="0"/>
        <v>0</v>
      </c>
      <c r="J25" s="117">
        <f>'Schedule 2M Adjustments'!P24</f>
        <v>0</v>
      </c>
      <c r="K25" s="68">
        <f>'Schedule 2M Adjustments'!R24</f>
        <v>0</v>
      </c>
      <c r="L25" s="68">
        <f t="shared" si="1"/>
        <v>0</v>
      </c>
      <c r="N25" s="120">
        <f>'Schedule 2M Adjustments'!X24</f>
        <v>0</v>
      </c>
      <c r="O25" s="120">
        <f>'Schedule 2M Adjustments'!AA24</f>
        <v>0</v>
      </c>
    </row>
    <row r="26" spans="1:15" x14ac:dyDescent="0.35">
      <c r="A26" s="24">
        <v>11</v>
      </c>
      <c r="B26" s="513" t="str">
        <f>'Schedule 2M Adjustments'!B25:D25</f>
        <v/>
      </c>
      <c r="C26" s="513"/>
      <c r="D26" s="513"/>
      <c r="F26" s="117">
        <f>'Schedule 2M Adjustments'!H25</f>
        <v>0</v>
      </c>
      <c r="G26" s="68">
        <f>'Schedule 2M Adjustments'!J25</f>
        <v>0</v>
      </c>
      <c r="H26" s="68">
        <f t="shared" si="0"/>
        <v>0</v>
      </c>
      <c r="J26" s="117">
        <f>'Schedule 2M Adjustments'!P25</f>
        <v>0</v>
      </c>
      <c r="K26" s="68">
        <f>'Schedule 2M Adjustments'!R25</f>
        <v>0</v>
      </c>
      <c r="L26" s="68">
        <f t="shared" si="1"/>
        <v>0</v>
      </c>
      <c r="N26" s="120">
        <f>'Schedule 2M Adjustments'!X25</f>
        <v>0</v>
      </c>
      <c r="O26" s="120">
        <f>'Schedule 2M Adjustments'!AA25</f>
        <v>0</v>
      </c>
    </row>
    <row r="27" spans="1:15" x14ac:dyDescent="0.35">
      <c r="A27" s="24">
        <v>12</v>
      </c>
      <c r="B27" s="513" t="str">
        <f>'Schedule 2M Adjustments'!B26:D26</f>
        <v/>
      </c>
      <c r="C27" s="513"/>
      <c r="D27" s="513"/>
      <c r="F27" s="117">
        <f>'Schedule 2M Adjustments'!H26</f>
        <v>0</v>
      </c>
      <c r="G27" s="68">
        <f>'Schedule 2M Adjustments'!J26</f>
        <v>0</v>
      </c>
      <c r="H27" s="68">
        <f t="shared" si="0"/>
        <v>0</v>
      </c>
      <c r="J27" s="117">
        <f>'Schedule 2M Adjustments'!P26</f>
        <v>0</v>
      </c>
      <c r="K27" s="68">
        <f>'Schedule 2M Adjustments'!R26</f>
        <v>0</v>
      </c>
      <c r="L27" s="68">
        <f t="shared" si="1"/>
        <v>0</v>
      </c>
      <c r="N27" s="120">
        <f>'Schedule 2M Adjustments'!X26</f>
        <v>0</v>
      </c>
      <c r="O27" s="120">
        <f>'Schedule 2M Adjustments'!AA26</f>
        <v>0</v>
      </c>
    </row>
    <row r="28" spans="1:15" x14ac:dyDescent="0.35">
      <c r="A28" s="24">
        <v>13</v>
      </c>
      <c r="B28" s="513" t="str">
        <f>'Schedule 2M Adjustments'!B27:D27</f>
        <v/>
      </c>
      <c r="C28" s="513"/>
      <c r="D28" s="513"/>
      <c r="F28" s="117">
        <f>'Schedule 2M Adjustments'!H27</f>
        <v>0</v>
      </c>
      <c r="G28" s="68">
        <f>'Schedule 2M Adjustments'!J27</f>
        <v>0</v>
      </c>
      <c r="H28" s="68">
        <f t="shared" si="0"/>
        <v>0</v>
      </c>
      <c r="J28" s="117">
        <f>'Schedule 2M Adjustments'!P27</f>
        <v>0</v>
      </c>
      <c r="K28" s="68">
        <f>'Schedule 2M Adjustments'!R27</f>
        <v>0</v>
      </c>
      <c r="L28" s="68">
        <f t="shared" si="1"/>
        <v>0</v>
      </c>
      <c r="N28" s="120">
        <f>'Schedule 2M Adjustments'!X27</f>
        <v>0</v>
      </c>
      <c r="O28" s="120">
        <f>'Schedule 2M Adjustments'!AA27</f>
        <v>0</v>
      </c>
    </row>
    <row r="29" spans="1:15" x14ac:dyDescent="0.35">
      <c r="A29" s="24">
        <v>14</v>
      </c>
      <c r="B29" s="513" t="str">
        <f>'Schedule 2M Adjustments'!B28:D28</f>
        <v/>
      </c>
      <c r="C29" s="513"/>
      <c r="D29" s="513"/>
      <c r="F29" s="117">
        <f>'Schedule 2M Adjustments'!H28</f>
        <v>0</v>
      </c>
      <c r="G29" s="68">
        <f>'Schedule 2M Adjustments'!J28</f>
        <v>0</v>
      </c>
      <c r="H29" s="68">
        <f t="shared" si="0"/>
        <v>0</v>
      </c>
      <c r="J29" s="117">
        <f>'Schedule 2M Adjustments'!P28</f>
        <v>0</v>
      </c>
      <c r="K29" s="68">
        <f>'Schedule 2M Adjustments'!R28</f>
        <v>0</v>
      </c>
      <c r="L29" s="68">
        <f t="shared" si="1"/>
        <v>0</v>
      </c>
      <c r="N29" s="120">
        <f>'Schedule 2M Adjustments'!X28</f>
        <v>0</v>
      </c>
      <c r="O29" s="120">
        <f>'Schedule 2M Adjustments'!AA28</f>
        <v>0</v>
      </c>
    </row>
    <row r="30" spans="1:15" x14ac:dyDescent="0.35">
      <c r="A30" s="24">
        <v>15</v>
      </c>
      <c r="B30" s="513" t="str">
        <f>'Schedule 2M Adjustments'!B29:D29</f>
        <v/>
      </c>
      <c r="C30" s="513"/>
      <c r="D30" s="513"/>
      <c r="F30" s="117">
        <f>'Schedule 2M Adjustments'!H29</f>
        <v>0</v>
      </c>
      <c r="G30" s="68">
        <f>'Schedule 2M Adjustments'!J29</f>
        <v>0</v>
      </c>
      <c r="H30" s="68">
        <f t="shared" si="0"/>
        <v>0</v>
      </c>
      <c r="J30" s="117">
        <f>'Schedule 2M Adjustments'!P29</f>
        <v>0</v>
      </c>
      <c r="K30" s="68">
        <f>'Schedule 2M Adjustments'!R29</f>
        <v>0</v>
      </c>
      <c r="L30" s="68">
        <f t="shared" si="1"/>
        <v>0</v>
      </c>
      <c r="N30" s="120">
        <f>'Schedule 2M Adjustments'!X29</f>
        <v>0</v>
      </c>
      <c r="O30" s="120">
        <f>'Schedule 2M Adjustments'!AA29</f>
        <v>0</v>
      </c>
    </row>
    <row r="31" spans="1:15" x14ac:dyDescent="0.35">
      <c r="A31" s="24">
        <v>16</v>
      </c>
      <c r="B31" s="513" t="str">
        <f>'Schedule 2M Adjustments'!B30:D30</f>
        <v/>
      </c>
      <c r="C31" s="513"/>
      <c r="D31" s="513"/>
      <c r="F31" s="117">
        <f>'Schedule 2M Adjustments'!H30</f>
        <v>0</v>
      </c>
      <c r="G31" s="68">
        <f>'Schedule 2M Adjustments'!J30</f>
        <v>0</v>
      </c>
      <c r="H31" s="68">
        <f t="shared" si="0"/>
        <v>0</v>
      </c>
      <c r="J31" s="117">
        <f>'Schedule 2M Adjustments'!P30</f>
        <v>0</v>
      </c>
      <c r="K31" s="68">
        <f>'Schedule 2M Adjustments'!R30</f>
        <v>0</v>
      </c>
      <c r="L31" s="68">
        <f t="shared" si="1"/>
        <v>0</v>
      </c>
      <c r="N31" s="120">
        <f>'Schedule 2M Adjustments'!X30</f>
        <v>0</v>
      </c>
      <c r="O31" s="120">
        <f>'Schedule 2M Adjustments'!AA30</f>
        <v>0</v>
      </c>
    </row>
    <row r="32" spans="1:15" x14ac:dyDescent="0.35">
      <c r="A32" s="24">
        <v>17</v>
      </c>
      <c r="B32" s="513" t="str">
        <f>'Schedule 2M Adjustments'!B31:D31</f>
        <v/>
      </c>
      <c r="C32" s="513"/>
      <c r="D32" s="513"/>
      <c r="F32" s="117">
        <f>'Schedule 2M Adjustments'!H31</f>
        <v>0</v>
      </c>
      <c r="G32" s="68">
        <f>'Schedule 2M Adjustments'!J31</f>
        <v>0</v>
      </c>
      <c r="H32" s="68">
        <f t="shared" si="0"/>
        <v>0</v>
      </c>
      <c r="J32" s="117">
        <f>'Schedule 2M Adjustments'!P31</f>
        <v>0</v>
      </c>
      <c r="K32" s="68">
        <f>'Schedule 2M Adjustments'!R31</f>
        <v>0</v>
      </c>
      <c r="L32" s="68">
        <f t="shared" si="1"/>
        <v>0</v>
      </c>
      <c r="N32" s="120">
        <f>'Schedule 2M Adjustments'!X31</f>
        <v>0</v>
      </c>
      <c r="O32" s="120">
        <f>'Schedule 2M Adjustments'!AA31</f>
        <v>0</v>
      </c>
    </row>
    <row r="33" spans="1:15" x14ac:dyDescent="0.35">
      <c r="A33" s="24">
        <v>18</v>
      </c>
      <c r="B33" s="513" t="str">
        <f>'Schedule 2M Adjustments'!B32:D32</f>
        <v/>
      </c>
      <c r="C33" s="513"/>
      <c r="D33" s="513"/>
      <c r="F33" s="117">
        <f>'Schedule 2M Adjustments'!H32</f>
        <v>0</v>
      </c>
      <c r="G33" s="68">
        <f>'Schedule 2M Adjustments'!J32</f>
        <v>0</v>
      </c>
      <c r="H33" s="68">
        <f t="shared" si="0"/>
        <v>0</v>
      </c>
      <c r="J33" s="117">
        <f>'Schedule 2M Adjustments'!P32</f>
        <v>0</v>
      </c>
      <c r="K33" s="68">
        <f>'Schedule 2M Adjustments'!R32</f>
        <v>0</v>
      </c>
      <c r="L33" s="68">
        <f t="shared" si="1"/>
        <v>0</v>
      </c>
      <c r="N33" s="120">
        <f>'Schedule 2M Adjustments'!X32</f>
        <v>0</v>
      </c>
      <c r="O33" s="120">
        <f>'Schedule 2M Adjustments'!AA32</f>
        <v>0</v>
      </c>
    </row>
    <row r="34" spans="1:15" x14ac:dyDescent="0.35">
      <c r="A34" s="24">
        <v>19</v>
      </c>
      <c r="B34" s="513" t="str">
        <f>'Schedule 2M Adjustments'!B33:D33</f>
        <v/>
      </c>
      <c r="C34" s="513"/>
      <c r="D34" s="513"/>
      <c r="F34" s="117">
        <f>'Schedule 2M Adjustments'!H33</f>
        <v>0</v>
      </c>
      <c r="G34" s="68">
        <f>'Schedule 2M Adjustments'!J33</f>
        <v>0</v>
      </c>
      <c r="H34" s="68">
        <f t="shared" si="0"/>
        <v>0</v>
      </c>
      <c r="J34" s="117">
        <f>'Schedule 2M Adjustments'!P33</f>
        <v>0</v>
      </c>
      <c r="K34" s="68">
        <f>'Schedule 2M Adjustments'!R33</f>
        <v>0</v>
      </c>
      <c r="L34" s="68">
        <f t="shared" si="1"/>
        <v>0</v>
      </c>
      <c r="N34" s="120">
        <f>'Schedule 2M Adjustments'!X33</f>
        <v>0</v>
      </c>
      <c r="O34" s="120">
        <f>'Schedule 2M Adjustments'!AA33</f>
        <v>0</v>
      </c>
    </row>
    <row r="35" spans="1:15" x14ac:dyDescent="0.35">
      <c r="A35" s="24">
        <v>20</v>
      </c>
      <c r="B35" s="513" t="str">
        <f>'Schedule 2M Adjustments'!B34:D34</f>
        <v/>
      </c>
      <c r="C35" s="513"/>
      <c r="D35" s="513"/>
      <c r="F35" s="117">
        <f>'Schedule 2M Adjustments'!H34</f>
        <v>0</v>
      </c>
      <c r="G35" s="68">
        <f>'Schedule 2M Adjustments'!J34</f>
        <v>0</v>
      </c>
      <c r="H35" s="68">
        <f t="shared" si="0"/>
        <v>0</v>
      </c>
      <c r="J35" s="117">
        <f>'Schedule 2M Adjustments'!P34</f>
        <v>0</v>
      </c>
      <c r="K35" s="68">
        <f>'Schedule 2M Adjustments'!R34</f>
        <v>0</v>
      </c>
      <c r="L35" s="68">
        <f t="shared" si="1"/>
        <v>0</v>
      </c>
      <c r="N35" s="120">
        <f>'Schedule 2M Adjustments'!X34</f>
        <v>0</v>
      </c>
      <c r="O35" s="120">
        <f>'Schedule 2M Adjustments'!AA34</f>
        <v>0</v>
      </c>
    </row>
    <row r="36" spans="1:15" x14ac:dyDescent="0.35">
      <c r="A36" s="24">
        <v>21</v>
      </c>
      <c r="B36" s="513" t="str">
        <f>'Schedule 2M Adjustments'!B35:D35</f>
        <v/>
      </c>
      <c r="C36" s="513"/>
      <c r="D36" s="513"/>
      <c r="F36" s="117">
        <f>'Schedule 2M Adjustments'!H35</f>
        <v>0</v>
      </c>
      <c r="G36" s="68">
        <f>'Schedule 2M Adjustments'!J35</f>
        <v>0</v>
      </c>
      <c r="H36" s="68">
        <f t="shared" si="0"/>
        <v>0</v>
      </c>
      <c r="J36" s="117">
        <f>'Schedule 2M Adjustments'!P35</f>
        <v>0</v>
      </c>
      <c r="K36" s="68">
        <f>'Schedule 2M Adjustments'!R35</f>
        <v>0</v>
      </c>
      <c r="L36" s="68">
        <f t="shared" si="1"/>
        <v>0</v>
      </c>
      <c r="N36" s="120">
        <f>'Schedule 2M Adjustments'!X35</f>
        <v>0</v>
      </c>
      <c r="O36" s="120">
        <f>'Schedule 2M Adjustments'!AA35</f>
        <v>0</v>
      </c>
    </row>
    <row r="37" spans="1:15" x14ac:dyDescent="0.35">
      <c r="A37" s="24">
        <v>22</v>
      </c>
      <c r="B37" s="513" t="str">
        <f>'Schedule 2M Adjustments'!B36:D36</f>
        <v/>
      </c>
      <c r="C37" s="513"/>
      <c r="D37" s="513"/>
      <c r="F37" s="117">
        <f>'Schedule 2M Adjustments'!H36</f>
        <v>0</v>
      </c>
      <c r="G37" s="68">
        <f>'Schedule 2M Adjustments'!J36</f>
        <v>0</v>
      </c>
      <c r="H37" s="68">
        <f t="shared" si="0"/>
        <v>0</v>
      </c>
      <c r="J37" s="117">
        <f>'Schedule 2M Adjustments'!P36</f>
        <v>0</v>
      </c>
      <c r="K37" s="68">
        <f>'Schedule 2M Adjustments'!R36</f>
        <v>0</v>
      </c>
      <c r="L37" s="68">
        <f t="shared" si="1"/>
        <v>0</v>
      </c>
      <c r="N37" s="120">
        <f>'Schedule 2M Adjustments'!X36</f>
        <v>0</v>
      </c>
      <c r="O37" s="120">
        <f>'Schedule 2M Adjustments'!AA36</f>
        <v>0</v>
      </c>
    </row>
    <row r="38" spans="1:15" x14ac:dyDescent="0.35">
      <c r="A38" s="24">
        <v>23</v>
      </c>
      <c r="B38" s="513" t="str">
        <f>'Schedule 2M Adjustments'!B37:D37</f>
        <v/>
      </c>
      <c r="C38" s="513"/>
      <c r="D38" s="513"/>
      <c r="F38" s="117">
        <f>'Schedule 2M Adjustments'!H37</f>
        <v>0</v>
      </c>
      <c r="G38" s="68">
        <f>'Schedule 2M Adjustments'!J37</f>
        <v>0</v>
      </c>
      <c r="H38" s="68">
        <f t="shared" si="0"/>
        <v>0</v>
      </c>
      <c r="J38" s="117">
        <f>'Schedule 2M Adjustments'!P37</f>
        <v>0</v>
      </c>
      <c r="K38" s="68">
        <f>'Schedule 2M Adjustments'!R37</f>
        <v>0</v>
      </c>
      <c r="L38" s="68">
        <f t="shared" si="1"/>
        <v>0</v>
      </c>
      <c r="N38" s="120">
        <f>'Schedule 2M Adjustments'!X37</f>
        <v>0</v>
      </c>
      <c r="O38" s="120">
        <f>'Schedule 2M Adjustments'!AA37</f>
        <v>0</v>
      </c>
    </row>
    <row r="39" spans="1:15" x14ac:dyDescent="0.35">
      <c r="A39" s="24">
        <v>24</v>
      </c>
      <c r="B39" s="513" t="str">
        <f>'Schedule 2M Adjustments'!B38:D38</f>
        <v/>
      </c>
      <c r="C39" s="513"/>
      <c r="D39" s="513"/>
      <c r="F39" s="117">
        <f>'Schedule 2M Adjustments'!H38</f>
        <v>0</v>
      </c>
      <c r="G39" s="68">
        <f>'Schedule 2M Adjustments'!J38</f>
        <v>0</v>
      </c>
      <c r="H39" s="68">
        <f t="shared" si="0"/>
        <v>0</v>
      </c>
      <c r="J39" s="117">
        <f>'Schedule 2M Adjustments'!P38</f>
        <v>0</v>
      </c>
      <c r="K39" s="68">
        <f>'Schedule 2M Adjustments'!R38</f>
        <v>0</v>
      </c>
      <c r="L39" s="68">
        <f t="shared" si="1"/>
        <v>0</v>
      </c>
      <c r="N39" s="120">
        <f>'Schedule 2M Adjustments'!X38</f>
        <v>0</v>
      </c>
      <c r="O39" s="120">
        <f>'Schedule 2M Adjustments'!AA38</f>
        <v>0</v>
      </c>
    </row>
    <row r="40" spans="1:15" x14ac:dyDescent="0.35">
      <c r="A40" s="24">
        <v>25</v>
      </c>
      <c r="B40" s="513" t="str">
        <f>'Schedule 2M Adjustments'!B39:D39</f>
        <v/>
      </c>
      <c r="C40" s="513"/>
      <c r="D40" s="513"/>
      <c r="F40" s="117">
        <f>'Schedule 2M Adjustments'!H39</f>
        <v>0</v>
      </c>
      <c r="G40" s="68">
        <f>'Schedule 2M Adjustments'!J39</f>
        <v>0</v>
      </c>
      <c r="H40" s="68">
        <f t="shared" si="0"/>
        <v>0</v>
      </c>
      <c r="J40" s="117">
        <f>'Schedule 2M Adjustments'!P39</f>
        <v>0</v>
      </c>
      <c r="K40" s="68">
        <f>'Schedule 2M Adjustments'!R39</f>
        <v>0</v>
      </c>
      <c r="L40" s="68">
        <f t="shared" si="1"/>
        <v>0</v>
      </c>
      <c r="N40" s="120">
        <f>'Schedule 2M Adjustments'!X39</f>
        <v>0</v>
      </c>
      <c r="O40" s="120">
        <f>'Schedule 2M Adjustments'!AA39</f>
        <v>0</v>
      </c>
    </row>
    <row r="41" spans="1:15" x14ac:dyDescent="0.35">
      <c r="A41" s="24">
        <v>26</v>
      </c>
      <c r="B41" s="513" t="str">
        <f>'Schedule 2M Adjustments'!B40:D40</f>
        <v/>
      </c>
      <c r="C41" s="513"/>
      <c r="D41" s="513"/>
      <c r="F41" s="117">
        <f>'Schedule 2M Adjustments'!H40</f>
        <v>0</v>
      </c>
      <c r="G41" s="68">
        <f>'Schedule 2M Adjustments'!J40</f>
        <v>0</v>
      </c>
      <c r="H41" s="68">
        <f t="shared" si="0"/>
        <v>0</v>
      </c>
      <c r="J41" s="117">
        <f>'Schedule 2M Adjustments'!P40</f>
        <v>0</v>
      </c>
      <c r="K41" s="68">
        <f>'Schedule 2M Adjustments'!R40</f>
        <v>0</v>
      </c>
      <c r="L41" s="68">
        <f t="shared" si="1"/>
        <v>0</v>
      </c>
      <c r="N41" s="120">
        <f>'Schedule 2M Adjustments'!X40</f>
        <v>0</v>
      </c>
      <c r="O41" s="120">
        <f>'Schedule 2M Adjustments'!AA40</f>
        <v>0</v>
      </c>
    </row>
    <row r="42" spans="1:15" x14ac:dyDescent="0.35">
      <c r="A42" s="24">
        <v>27</v>
      </c>
      <c r="B42" s="513" t="str">
        <f>'Schedule 2M Adjustments'!B41:D41</f>
        <v/>
      </c>
      <c r="C42" s="513"/>
      <c r="D42" s="513"/>
      <c r="F42" s="117">
        <f>'Schedule 2M Adjustments'!H41</f>
        <v>0</v>
      </c>
      <c r="G42" s="68">
        <f>'Schedule 2M Adjustments'!J41</f>
        <v>0</v>
      </c>
      <c r="H42" s="68">
        <f t="shared" si="0"/>
        <v>0</v>
      </c>
      <c r="J42" s="117">
        <f>'Schedule 2M Adjustments'!P41</f>
        <v>0</v>
      </c>
      <c r="K42" s="68">
        <f>'Schedule 2M Adjustments'!R41</f>
        <v>0</v>
      </c>
      <c r="L42" s="68">
        <f t="shared" si="1"/>
        <v>0</v>
      </c>
      <c r="N42" s="120">
        <f>'Schedule 2M Adjustments'!X41</f>
        <v>0</v>
      </c>
      <c r="O42" s="120">
        <f>'Schedule 2M Adjustments'!AA41</f>
        <v>0</v>
      </c>
    </row>
    <row r="43" spans="1:15" x14ac:dyDescent="0.35">
      <c r="A43" s="24">
        <v>28</v>
      </c>
      <c r="B43" s="513" t="str">
        <f>'Schedule 2M Adjustments'!B42:D42</f>
        <v/>
      </c>
      <c r="C43" s="513"/>
      <c r="D43" s="513"/>
      <c r="F43" s="117">
        <f>'Schedule 2M Adjustments'!H42</f>
        <v>0</v>
      </c>
      <c r="G43" s="68">
        <f>'Schedule 2M Adjustments'!J42</f>
        <v>0</v>
      </c>
      <c r="H43" s="68">
        <f t="shared" si="0"/>
        <v>0</v>
      </c>
      <c r="J43" s="117">
        <f>'Schedule 2M Adjustments'!P42</f>
        <v>0</v>
      </c>
      <c r="K43" s="68">
        <f>'Schedule 2M Adjustments'!R42</f>
        <v>0</v>
      </c>
      <c r="L43" s="68">
        <f t="shared" si="1"/>
        <v>0</v>
      </c>
      <c r="N43" s="120">
        <f>'Schedule 2M Adjustments'!X42</f>
        <v>0</v>
      </c>
      <c r="O43" s="120">
        <f>'Schedule 2M Adjustments'!AA42</f>
        <v>0</v>
      </c>
    </row>
    <row r="44" spans="1:15" x14ac:dyDescent="0.35">
      <c r="A44" s="24">
        <v>29</v>
      </c>
      <c r="B44" s="513" t="str">
        <f>'Schedule 2M Adjustments'!B43:D43</f>
        <v/>
      </c>
      <c r="C44" s="513"/>
      <c r="D44" s="513"/>
      <c r="F44" s="117">
        <f>'Schedule 2M Adjustments'!H43</f>
        <v>0</v>
      </c>
      <c r="G44" s="68">
        <f>'Schedule 2M Adjustments'!J43</f>
        <v>0</v>
      </c>
      <c r="H44" s="68">
        <f t="shared" si="0"/>
        <v>0</v>
      </c>
      <c r="J44" s="117">
        <f>'Schedule 2M Adjustments'!P43</f>
        <v>0</v>
      </c>
      <c r="K44" s="68">
        <f>'Schedule 2M Adjustments'!R43</f>
        <v>0</v>
      </c>
      <c r="L44" s="68">
        <f t="shared" si="1"/>
        <v>0</v>
      </c>
      <c r="N44" s="120">
        <f>'Schedule 2M Adjustments'!X43</f>
        <v>0</v>
      </c>
      <c r="O44" s="120">
        <f>'Schedule 2M Adjustments'!AA43</f>
        <v>0</v>
      </c>
    </row>
    <row r="45" spans="1:15" x14ac:dyDescent="0.35">
      <c r="A45" s="24">
        <v>30</v>
      </c>
      <c r="B45" s="513" t="str">
        <f>'Schedule 2M Adjustments'!B44:D44</f>
        <v/>
      </c>
      <c r="C45" s="513"/>
      <c r="D45" s="513"/>
      <c r="F45" s="117">
        <f>'Schedule 2M Adjustments'!H44</f>
        <v>0</v>
      </c>
      <c r="G45" s="68">
        <f>'Schedule 2M Adjustments'!J44</f>
        <v>0</v>
      </c>
      <c r="H45" s="68">
        <f t="shared" si="0"/>
        <v>0</v>
      </c>
      <c r="J45" s="117">
        <f>'Schedule 2M Adjustments'!P44</f>
        <v>0</v>
      </c>
      <c r="K45" s="68">
        <f>'Schedule 2M Adjustments'!R44</f>
        <v>0</v>
      </c>
      <c r="L45" s="68">
        <f t="shared" si="1"/>
        <v>0</v>
      </c>
      <c r="N45" s="120">
        <f>'Schedule 2M Adjustments'!X44</f>
        <v>0</v>
      </c>
      <c r="O45" s="120">
        <f>'Schedule 2M Adjustments'!AA44</f>
        <v>0</v>
      </c>
    </row>
    <row r="46" spans="1:15" x14ac:dyDescent="0.35">
      <c r="A46" s="24">
        <v>31</v>
      </c>
      <c r="B46" s="513" t="str">
        <f>'Schedule 2M Adjustments'!B45:D45</f>
        <v/>
      </c>
      <c r="C46" s="513"/>
      <c r="D46" s="513"/>
      <c r="F46" s="117">
        <f>'Schedule 2M Adjustments'!H45</f>
        <v>0</v>
      </c>
      <c r="G46" s="68">
        <f>'Schedule 2M Adjustments'!J45</f>
        <v>0</v>
      </c>
      <c r="H46" s="68">
        <f t="shared" si="0"/>
        <v>0</v>
      </c>
      <c r="J46" s="117">
        <f>'Schedule 2M Adjustments'!P45</f>
        <v>0</v>
      </c>
      <c r="K46" s="68">
        <f>'Schedule 2M Adjustments'!R45</f>
        <v>0</v>
      </c>
      <c r="L46" s="68">
        <f t="shared" si="1"/>
        <v>0</v>
      </c>
      <c r="N46" s="120">
        <f>'Schedule 2M Adjustments'!X45</f>
        <v>0</v>
      </c>
      <c r="O46" s="120">
        <f>'Schedule 2M Adjustments'!AA45</f>
        <v>0</v>
      </c>
    </row>
    <row r="47" spans="1:15" x14ac:dyDescent="0.35">
      <c r="A47" s="24">
        <v>32</v>
      </c>
      <c r="B47" s="513" t="str">
        <f>'Schedule 2M Adjustments'!B46:D46</f>
        <v/>
      </c>
      <c r="C47" s="513"/>
      <c r="D47" s="513"/>
      <c r="F47" s="117">
        <f>'Schedule 2M Adjustments'!H46</f>
        <v>0</v>
      </c>
      <c r="G47" s="68">
        <f>'Schedule 2M Adjustments'!J46</f>
        <v>0</v>
      </c>
      <c r="H47" s="68">
        <f t="shared" si="0"/>
        <v>0</v>
      </c>
      <c r="J47" s="117">
        <f>'Schedule 2M Adjustments'!P46</f>
        <v>0</v>
      </c>
      <c r="K47" s="68">
        <f>'Schedule 2M Adjustments'!R46</f>
        <v>0</v>
      </c>
      <c r="L47" s="68">
        <f t="shared" si="1"/>
        <v>0</v>
      </c>
      <c r="N47" s="120">
        <f>'Schedule 2M Adjustments'!X46</f>
        <v>0</v>
      </c>
      <c r="O47" s="120">
        <f>'Schedule 2M Adjustments'!AA46</f>
        <v>0</v>
      </c>
    </row>
    <row r="48" spans="1:15" x14ac:dyDescent="0.35">
      <c r="A48" s="24">
        <v>33</v>
      </c>
      <c r="B48" s="513" t="str">
        <f>'Schedule 2M Adjustments'!B47:D47</f>
        <v/>
      </c>
      <c r="C48" s="513"/>
      <c r="D48" s="513"/>
      <c r="F48" s="117">
        <f>'Schedule 2M Adjustments'!H47</f>
        <v>0</v>
      </c>
      <c r="G48" s="68">
        <f>'Schedule 2M Adjustments'!J47</f>
        <v>0</v>
      </c>
      <c r="H48" s="68">
        <f t="shared" si="0"/>
        <v>0</v>
      </c>
      <c r="J48" s="117">
        <f>'Schedule 2M Adjustments'!P47</f>
        <v>0</v>
      </c>
      <c r="K48" s="68">
        <f>'Schedule 2M Adjustments'!R47</f>
        <v>0</v>
      </c>
      <c r="L48" s="68">
        <f t="shared" si="1"/>
        <v>0</v>
      </c>
      <c r="N48" s="120">
        <f>'Schedule 2M Adjustments'!X47</f>
        <v>0</v>
      </c>
      <c r="O48" s="120">
        <f>'Schedule 2M Adjustments'!AA47</f>
        <v>0</v>
      </c>
    </row>
    <row r="49" spans="1:15" x14ac:dyDescent="0.35">
      <c r="A49" s="24">
        <v>34</v>
      </c>
      <c r="B49" s="513" t="str">
        <f>'Schedule 2M Adjustments'!B48:D48</f>
        <v/>
      </c>
      <c r="C49" s="513"/>
      <c r="D49" s="513"/>
      <c r="F49" s="117">
        <f>'Schedule 2M Adjustments'!H48</f>
        <v>0</v>
      </c>
      <c r="G49" s="68">
        <f>'Schedule 2M Adjustments'!J48</f>
        <v>0</v>
      </c>
      <c r="H49" s="68">
        <f t="shared" si="0"/>
        <v>0</v>
      </c>
      <c r="J49" s="117">
        <f>'Schedule 2M Adjustments'!P48</f>
        <v>0</v>
      </c>
      <c r="K49" s="68">
        <f>'Schedule 2M Adjustments'!R48</f>
        <v>0</v>
      </c>
      <c r="L49" s="68">
        <f t="shared" si="1"/>
        <v>0</v>
      </c>
      <c r="N49" s="120">
        <f>'Schedule 2M Adjustments'!X48</f>
        <v>0</v>
      </c>
      <c r="O49" s="120">
        <f>'Schedule 2M Adjustments'!AA48</f>
        <v>0</v>
      </c>
    </row>
    <row r="50" spans="1:15" x14ac:dyDescent="0.35">
      <c r="A50" s="24">
        <v>35</v>
      </c>
      <c r="B50" s="513" t="str">
        <f>'Schedule 2M Adjustments'!B49:D49</f>
        <v/>
      </c>
      <c r="C50" s="513"/>
      <c r="D50" s="513"/>
      <c r="F50" s="117">
        <f>'Schedule 2M Adjustments'!H49</f>
        <v>0</v>
      </c>
      <c r="G50" s="68">
        <f>'Schedule 2M Adjustments'!J49</f>
        <v>0</v>
      </c>
      <c r="H50" s="68">
        <f t="shared" si="0"/>
        <v>0</v>
      </c>
      <c r="J50" s="117">
        <f>'Schedule 2M Adjustments'!P49</f>
        <v>0</v>
      </c>
      <c r="K50" s="68">
        <f>'Schedule 2M Adjustments'!R49</f>
        <v>0</v>
      </c>
      <c r="L50" s="68">
        <f t="shared" si="1"/>
        <v>0</v>
      </c>
      <c r="N50" s="120">
        <f>'Schedule 2M Adjustments'!X49</f>
        <v>0</v>
      </c>
      <c r="O50" s="120">
        <f>'Schedule 2M Adjustments'!AA49</f>
        <v>0</v>
      </c>
    </row>
    <row r="51" spans="1:15" x14ac:dyDescent="0.35">
      <c r="A51" s="24">
        <v>36</v>
      </c>
      <c r="B51" s="513" t="str">
        <f>'Schedule 2M Adjustments'!B50:D50</f>
        <v/>
      </c>
      <c r="C51" s="513"/>
      <c r="D51" s="513"/>
      <c r="F51" s="117">
        <f>'Schedule 2M Adjustments'!H50</f>
        <v>0</v>
      </c>
      <c r="G51" s="68">
        <f>'Schedule 2M Adjustments'!J50</f>
        <v>0</v>
      </c>
      <c r="H51" s="68">
        <f t="shared" si="0"/>
        <v>0</v>
      </c>
      <c r="J51" s="117">
        <f>'Schedule 2M Adjustments'!P50</f>
        <v>0</v>
      </c>
      <c r="K51" s="68">
        <f>'Schedule 2M Adjustments'!R50</f>
        <v>0</v>
      </c>
      <c r="L51" s="68">
        <f t="shared" si="1"/>
        <v>0</v>
      </c>
      <c r="N51" s="120">
        <f>'Schedule 2M Adjustments'!X50</f>
        <v>0</v>
      </c>
      <c r="O51" s="120">
        <f>'Schedule 2M Adjustments'!AA50</f>
        <v>0</v>
      </c>
    </row>
    <row r="52" spans="1:15" x14ac:dyDescent="0.35">
      <c r="A52" s="24">
        <v>37</v>
      </c>
      <c r="B52" s="513" t="str">
        <f>'Schedule 2M Adjustments'!B51:D51</f>
        <v/>
      </c>
      <c r="C52" s="513"/>
      <c r="D52" s="513"/>
      <c r="F52" s="117">
        <f>'Schedule 2M Adjustments'!H51</f>
        <v>0</v>
      </c>
      <c r="G52" s="68">
        <f>'Schedule 2M Adjustments'!J51</f>
        <v>0</v>
      </c>
      <c r="H52" s="68">
        <f t="shared" si="0"/>
        <v>0</v>
      </c>
      <c r="J52" s="117">
        <f>'Schedule 2M Adjustments'!P51</f>
        <v>0</v>
      </c>
      <c r="K52" s="68">
        <f>'Schedule 2M Adjustments'!R51</f>
        <v>0</v>
      </c>
      <c r="L52" s="68">
        <f t="shared" si="1"/>
        <v>0</v>
      </c>
      <c r="N52" s="120">
        <f>'Schedule 2M Adjustments'!X51</f>
        <v>0</v>
      </c>
      <c r="O52" s="120">
        <f>'Schedule 2M Adjustments'!AA51</f>
        <v>0</v>
      </c>
    </row>
    <row r="53" spans="1:15" x14ac:dyDescent="0.35">
      <c r="A53" s="24">
        <v>38</v>
      </c>
      <c r="B53" s="513" t="str">
        <f>'Schedule 2M Adjustments'!B52:D52</f>
        <v/>
      </c>
      <c r="C53" s="513"/>
      <c r="D53" s="513"/>
      <c r="F53" s="117">
        <f>'Schedule 2M Adjustments'!H52</f>
        <v>0</v>
      </c>
      <c r="G53" s="68">
        <f>'Schedule 2M Adjustments'!J52</f>
        <v>0</v>
      </c>
      <c r="H53" s="68">
        <f t="shared" si="0"/>
        <v>0</v>
      </c>
      <c r="J53" s="117">
        <f>'Schedule 2M Adjustments'!P52</f>
        <v>0</v>
      </c>
      <c r="K53" s="68">
        <f>'Schedule 2M Adjustments'!R52</f>
        <v>0</v>
      </c>
      <c r="L53" s="68">
        <f t="shared" si="1"/>
        <v>0</v>
      </c>
      <c r="N53" s="120">
        <f>'Schedule 2M Adjustments'!X52</f>
        <v>0</v>
      </c>
      <c r="O53" s="120">
        <f>'Schedule 2M Adjustments'!AA52</f>
        <v>0</v>
      </c>
    </row>
    <row r="54" spans="1:15" x14ac:dyDescent="0.35">
      <c r="A54" s="24">
        <v>39</v>
      </c>
      <c r="B54" s="513" t="str">
        <f>'Schedule 2M Adjustments'!B53:D53</f>
        <v/>
      </c>
      <c r="C54" s="513"/>
      <c r="D54" s="513"/>
      <c r="F54" s="117">
        <f>'Schedule 2M Adjustments'!H53</f>
        <v>0</v>
      </c>
      <c r="G54" s="68">
        <f>'Schedule 2M Adjustments'!J53</f>
        <v>0</v>
      </c>
      <c r="H54" s="68">
        <f t="shared" si="0"/>
        <v>0</v>
      </c>
      <c r="J54" s="117">
        <f>'Schedule 2M Adjustments'!P53</f>
        <v>0</v>
      </c>
      <c r="K54" s="68">
        <f>'Schedule 2M Adjustments'!R53</f>
        <v>0</v>
      </c>
      <c r="L54" s="68">
        <f t="shared" si="1"/>
        <v>0</v>
      </c>
      <c r="N54" s="120">
        <f>'Schedule 2M Adjustments'!X53</f>
        <v>0</v>
      </c>
      <c r="O54" s="120">
        <f>'Schedule 2M Adjustments'!AA53</f>
        <v>0</v>
      </c>
    </row>
    <row r="55" spans="1:15" x14ac:dyDescent="0.35">
      <c r="A55" s="24">
        <v>40</v>
      </c>
      <c r="B55" s="513" t="str">
        <f>'Schedule 2M Adjustments'!B54:D54</f>
        <v/>
      </c>
      <c r="C55" s="513"/>
      <c r="D55" s="513"/>
      <c r="F55" s="117">
        <f>'Schedule 2M Adjustments'!H54</f>
        <v>0</v>
      </c>
      <c r="G55" s="68">
        <f>'Schedule 2M Adjustments'!J54</f>
        <v>0</v>
      </c>
      <c r="H55" s="68">
        <f t="shared" si="0"/>
        <v>0</v>
      </c>
      <c r="J55" s="117">
        <f>'Schedule 2M Adjustments'!P54</f>
        <v>0</v>
      </c>
      <c r="K55" s="68">
        <f>'Schedule 2M Adjustments'!R54</f>
        <v>0</v>
      </c>
      <c r="L55" s="68">
        <f t="shared" si="1"/>
        <v>0</v>
      </c>
      <c r="N55" s="120">
        <f>'Schedule 2M Adjustments'!X54</f>
        <v>0</v>
      </c>
      <c r="O55" s="120">
        <f>'Schedule 2M Adjustments'!AA54</f>
        <v>0</v>
      </c>
    </row>
    <row r="56" spans="1:15" x14ac:dyDescent="0.35">
      <c r="A56" s="24">
        <v>41</v>
      </c>
      <c r="B56" s="513" t="str">
        <f>'Schedule 2M Adjustments'!B55:D55</f>
        <v/>
      </c>
      <c r="C56" s="513"/>
      <c r="D56" s="513"/>
      <c r="F56" s="117">
        <f>'Schedule 2M Adjustments'!H55</f>
        <v>0</v>
      </c>
      <c r="G56" s="68">
        <f>'Schedule 2M Adjustments'!J55</f>
        <v>0</v>
      </c>
      <c r="H56" s="68">
        <f t="shared" si="0"/>
        <v>0</v>
      </c>
      <c r="J56" s="117">
        <f>'Schedule 2M Adjustments'!P55</f>
        <v>0</v>
      </c>
      <c r="K56" s="68">
        <f>'Schedule 2M Adjustments'!R55</f>
        <v>0</v>
      </c>
      <c r="L56" s="68">
        <f t="shared" si="1"/>
        <v>0</v>
      </c>
      <c r="N56" s="120">
        <f>'Schedule 2M Adjustments'!X55</f>
        <v>0</v>
      </c>
      <c r="O56" s="120">
        <f>'Schedule 2M Adjustments'!AA55</f>
        <v>0</v>
      </c>
    </row>
    <row r="57" spans="1:15" x14ac:dyDescent="0.35">
      <c r="A57" s="24">
        <v>42</v>
      </c>
      <c r="B57" s="513" t="str">
        <f>'Schedule 2M Adjustments'!B56:D56</f>
        <v/>
      </c>
      <c r="C57" s="513"/>
      <c r="D57" s="513"/>
      <c r="F57" s="117">
        <f>'Schedule 2M Adjustments'!H56</f>
        <v>0</v>
      </c>
      <c r="G57" s="68">
        <f>'Schedule 2M Adjustments'!J56</f>
        <v>0</v>
      </c>
      <c r="H57" s="68">
        <f t="shared" si="0"/>
        <v>0</v>
      </c>
      <c r="J57" s="117">
        <f>'Schedule 2M Adjustments'!P56</f>
        <v>0</v>
      </c>
      <c r="K57" s="68">
        <f>'Schedule 2M Adjustments'!R56</f>
        <v>0</v>
      </c>
      <c r="L57" s="68">
        <f t="shared" si="1"/>
        <v>0</v>
      </c>
      <c r="N57" s="120">
        <f>'Schedule 2M Adjustments'!X56</f>
        <v>0</v>
      </c>
      <c r="O57" s="120">
        <f>'Schedule 2M Adjustments'!AA56</f>
        <v>0</v>
      </c>
    </row>
    <row r="58" spans="1:15" x14ac:dyDescent="0.35">
      <c r="A58" s="24">
        <v>43</v>
      </c>
      <c r="B58" s="513" t="str">
        <f>'Schedule 2M Adjustments'!B57:D57</f>
        <v/>
      </c>
      <c r="C58" s="513"/>
      <c r="D58" s="513"/>
      <c r="F58" s="117">
        <f>'Schedule 2M Adjustments'!H57</f>
        <v>0</v>
      </c>
      <c r="G58" s="68">
        <f>'Schedule 2M Adjustments'!J57</f>
        <v>0</v>
      </c>
      <c r="H58" s="68">
        <f t="shared" si="0"/>
        <v>0</v>
      </c>
      <c r="J58" s="117">
        <f>'Schedule 2M Adjustments'!P57</f>
        <v>0</v>
      </c>
      <c r="K58" s="68">
        <f>'Schedule 2M Adjustments'!R57</f>
        <v>0</v>
      </c>
      <c r="L58" s="68">
        <f t="shared" si="1"/>
        <v>0</v>
      </c>
      <c r="N58" s="120">
        <f>'Schedule 2M Adjustments'!X57</f>
        <v>0</v>
      </c>
      <c r="O58" s="120">
        <f>'Schedule 2M Adjustments'!AA57</f>
        <v>0</v>
      </c>
    </row>
    <row r="59" spans="1:15" x14ac:dyDescent="0.35">
      <c r="A59" s="24">
        <v>44</v>
      </c>
      <c r="B59" s="513" t="str">
        <f>'Schedule 2M Adjustments'!B58:D58</f>
        <v/>
      </c>
      <c r="C59" s="513"/>
      <c r="D59" s="513"/>
      <c r="F59" s="117">
        <f>'Schedule 2M Adjustments'!H58</f>
        <v>0</v>
      </c>
      <c r="G59" s="68">
        <f>'Schedule 2M Adjustments'!J58</f>
        <v>0</v>
      </c>
      <c r="H59" s="68">
        <f t="shared" si="0"/>
        <v>0</v>
      </c>
      <c r="J59" s="117">
        <f>'Schedule 2M Adjustments'!P58</f>
        <v>0</v>
      </c>
      <c r="K59" s="68">
        <f>'Schedule 2M Adjustments'!R58</f>
        <v>0</v>
      </c>
      <c r="L59" s="68">
        <f t="shared" si="1"/>
        <v>0</v>
      </c>
      <c r="N59" s="120">
        <f>'Schedule 2M Adjustments'!X58</f>
        <v>0</v>
      </c>
      <c r="O59" s="120">
        <f>'Schedule 2M Adjustments'!AA58</f>
        <v>0</v>
      </c>
    </row>
    <row r="60" spans="1:15" x14ac:dyDescent="0.35">
      <c r="A60" s="24">
        <v>45</v>
      </c>
      <c r="B60" s="513" t="str">
        <f>'Schedule 2M Adjustments'!B59:D59</f>
        <v/>
      </c>
      <c r="C60" s="513"/>
      <c r="D60" s="513"/>
      <c r="F60" s="117">
        <f>'Schedule 2M Adjustments'!H59</f>
        <v>0</v>
      </c>
      <c r="G60" s="68">
        <f>'Schedule 2M Adjustments'!J59</f>
        <v>0</v>
      </c>
      <c r="H60" s="68">
        <f t="shared" si="0"/>
        <v>0</v>
      </c>
      <c r="J60" s="117">
        <f>'Schedule 2M Adjustments'!P59</f>
        <v>0</v>
      </c>
      <c r="K60" s="68">
        <f>'Schedule 2M Adjustments'!R59</f>
        <v>0</v>
      </c>
      <c r="L60" s="68">
        <f t="shared" si="1"/>
        <v>0</v>
      </c>
      <c r="N60" s="120">
        <f>'Schedule 2M Adjustments'!X59</f>
        <v>0</v>
      </c>
      <c r="O60" s="120">
        <f>'Schedule 2M Adjustments'!AA59</f>
        <v>0</v>
      </c>
    </row>
    <row r="61" spans="1:15" x14ac:dyDescent="0.35">
      <c r="A61" s="24">
        <v>46</v>
      </c>
      <c r="B61" s="513" t="str">
        <f>'Schedule 2M Adjustments'!B60:D60</f>
        <v/>
      </c>
      <c r="C61" s="513"/>
      <c r="D61" s="513"/>
      <c r="F61" s="117">
        <f>'Schedule 2M Adjustments'!H60</f>
        <v>0</v>
      </c>
      <c r="G61" s="68">
        <f>'Schedule 2M Adjustments'!J60</f>
        <v>0</v>
      </c>
      <c r="H61" s="68">
        <f t="shared" si="0"/>
        <v>0</v>
      </c>
      <c r="J61" s="117">
        <f>'Schedule 2M Adjustments'!P60</f>
        <v>0</v>
      </c>
      <c r="K61" s="68">
        <f>'Schedule 2M Adjustments'!R60</f>
        <v>0</v>
      </c>
      <c r="L61" s="68">
        <f t="shared" si="1"/>
        <v>0</v>
      </c>
      <c r="N61" s="120">
        <f>'Schedule 2M Adjustments'!X60</f>
        <v>0</v>
      </c>
      <c r="O61" s="120">
        <f>'Schedule 2M Adjustments'!AA60</f>
        <v>0</v>
      </c>
    </row>
    <row r="62" spans="1:15" x14ac:dyDescent="0.35">
      <c r="A62" s="24">
        <v>47</v>
      </c>
      <c r="B62" s="513" t="str">
        <f>'Schedule 2M Adjustments'!B61:D61</f>
        <v/>
      </c>
      <c r="C62" s="513"/>
      <c r="D62" s="513"/>
      <c r="F62" s="117">
        <f>'Schedule 2M Adjustments'!H61</f>
        <v>0</v>
      </c>
      <c r="G62" s="68">
        <f>'Schedule 2M Adjustments'!J61</f>
        <v>0</v>
      </c>
      <c r="H62" s="68">
        <f t="shared" si="0"/>
        <v>0</v>
      </c>
      <c r="J62" s="117">
        <f>'Schedule 2M Adjustments'!P61</f>
        <v>0</v>
      </c>
      <c r="K62" s="68">
        <f>'Schedule 2M Adjustments'!R61</f>
        <v>0</v>
      </c>
      <c r="L62" s="68">
        <f t="shared" si="1"/>
        <v>0</v>
      </c>
      <c r="N62" s="120">
        <f>'Schedule 2M Adjustments'!X61</f>
        <v>0</v>
      </c>
      <c r="O62" s="120">
        <f>'Schedule 2M Adjustments'!AA61</f>
        <v>0</v>
      </c>
    </row>
    <row r="63" spans="1:15" x14ac:dyDescent="0.35">
      <c r="A63" s="24">
        <v>48</v>
      </c>
      <c r="B63" s="513" t="str">
        <f>'Schedule 2M Adjustments'!B62:D62</f>
        <v/>
      </c>
      <c r="C63" s="513"/>
      <c r="D63" s="513"/>
      <c r="F63" s="117">
        <f>'Schedule 2M Adjustments'!H62</f>
        <v>0</v>
      </c>
      <c r="G63" s="68">
        <f>'Schedule 2M Adjustments'!J62</f>
        <v>0</v>
      </c>
      <c r="H63" s="68">
        <f t="shared" si="0"/>
        <v>0</v>
      </c>
      <c r="J63" s="117">
        <f>'Schedule 2M Adjustments'!P62</f>
        <v>0</v>
      </c>
      <c r="K63" s="68">
        <f>'Schedule 2M Adjustments'!R62</f>
        <v>0</v>
      </c>
      <c r="L63" s="68">
        <f t="shared" si="1"/>
        <v>0</v>
      </c>
      <c r="N63" s="120">
        <f>'Schedule 2M Adjustments'!X62</f>
        <v>0</v>
      </c>
      <c r="O63" s="120">
        <f>'Schedule 2M Adjustments'!AA62</f>
        <v>0</v>
      </c>
    </row>
    <row r="64" spans="1:15" x14ac:dyDescent="0.35">
      <c r="A64" s="24">
        <v>49</v>
      </c>
      <c r="B64" s="513" t="str">
        <f>'Schedule 2M Adjustments'!B63:D63</f>
        <v/>
      </c>
      <c r="C64" s="513"/>
      <c r="D64" s="513"/>
      <c r="F64" s="117">
        <f>'Schedule 2M Adjustments'!H63</f>
        <v>0</v>
      </c>
      <c r="G64" s="68">
        <f>'Schedule 2M Adjustments'!J63</f>
        <v>0</v>
      </c>
      <c r="H64" s="68">
        <f t="shared" si="0"/>
        <v>0</v>
      </c>
      <c r="J64" s="117">
        <f>'Schedule 2M Adjustments'!P63</f>
        <v>0</v>
      </c>
      <c r="K64" s="68">
        <f>'Schedule 2M Adjustments'!R63</f>
        <v>0</v>
      </c>
      <c r="L64" s="68">
        <f t="shared" si="1"/>
        <v>0</v>
      </c>
      <c r="N64" s="120">
        <f>'Schedule 2M Adjustments'!X63</f>
        <v>0</v>
      </c>
      <c r="O64" s="120">
        <f>'Schedule 2M Adjustments'!AA63</f>
        <v>0</v>
      </c>
    </row>
    <row r="65" spans="1:15" x14ac:dyDescent="0.35">
      <c r="A65" s="24">
        <v>50</v>
      </c>
      <c r="B65" s="513" t="str">
        <f>'Schedule 2M Adjustments'!B64:D64</f>
        <v/>
      </c>
      <c r="C65" s="513"/>
      <c r="D65" s="513"/>
      <c r="F65" s="117">
        <f>'Schedule 2M Adjustments'!H64</f>
        <v>0</v>
      </c>
      <c r="G65" s="68">
        <f>'Schedule 2M Adjustments'!J64</f>
        <v>0</v>
      </c>
      <c r="H65" s="68">
        <f t="shared" si="0"/>
        <v>0</v>
      </c>
      <c r="J65" s="117">
        <f>'Schedule 2M Adjustments'!P64</f>
        <v>0</v>
      </c>
      <c r="K65" s="68">
        <f>'Schedule 2M Adjustments'!R64</f>
        <v>0</v>
      </c>
      <c r="L65" s="68">
        <f t="shared" si="1"/>
        <v>0</v>
      </c>
      <c r="N65" s="120">
        <f>'Schedule 2M Adjustments'!X64</f>
        <v>0</v>
      </c>
      <c r="O65" s="120">
        <f>'Schedule 2M Adjustments'!AA64</f>
        <v>0</v>
      </c>
    </row>
    <row r="66" spans="1:15" x14ac:dyDescent="0.35">
      <c r="A66" s="24">
        <v>51</v>
      </c>
      <c r="B66" s="513" t="str">
        <f>'Schedule 2M Adjustments'!B65:D65</f>
        <v/>
      </c>
      <c r="C66" s="513"/>
      <c r="D66" s="513"/>
      <c r="F66" s="117">
        <f>'Schedule 2M Adjustments'!H65</f>
        <v>0</v>
      </c>
      <c r="G66" s="68">
        <f>'Schedule 2M Adjustments'!J65</f>
        <v>0</v>
      </c>
      <c r="H66" s="68">
        <f t="shared" si="0"/>
        <v>0</v>
      </c>
      <c r="J66" s="117">
        <f>'Schedule 2M Adjustments'!P65</f>
        <v>0</v>
      </c>
      <c r="K66" s="68">
        <f>'Schedule 2M Adjustments'!R65</f>
        <v>0</v>
      </c>
      <c r="L66" s="68">
        <f t="shared" si="1"/>
        <v>0</v>
      </c>
      <c r="N66" s="120">
        <f>'Schedule 2M Adjustments'!X65</f>
        <v>0</v>
      </c>
      <c r="O66" s="120">
        <f>'Schedule 2M Adjustments'!AA65</f>
        <v>0</v>
      </c>
    </row>
    <row r="67" spans="1:15" x14ac:dyDescent="0.35">
      <c r="A67" s="24">
        <v>52</v>
      </c>
      <c r="B67" s="513" t="str">
        <f>'Schedule 2M Adjustments'!B66:D66</f>
        <v/>
      </c>
      <c r="C67" s="513"/>
      <c r="D67" s="513"/>
      <c r="F67" s="117">
        <f>'Schedule 2M Adjustments'!H66</f>
        <v>0</v>
      </c>
      <c r="G67" s="68">
        <f>'Schedule 2M Adjustments'!J66</f>
        <v>0</v>
      </c>
      <c r="H67" s="68">
        <f t="shared" si="0"/>
        <v>0</v>
      </c>
      <c r="J67" s="117">
        <f>'Schedule 2M Adjustments'!P66</f>
        <v>0</v>
      </c>
      <c r="K67" s="68">
        <f>'Schedule 2M Adjustments'!R66</f>
        <v>0</v>
      </c>
      <c r="L67" s="68">
        <f t="shared" si="1"/>
        <v>0</v>
      </c>
      <c r="N67" s="120">
        <f>'Schedule 2M Adjustments'!X66</f>
        <v>0</v>
      </c>
      <c r="O67" s="120">
        <f>'Schedule 2M Adjustments'!AA66</f>
        <v>0</v>
      </c>
    </row>
    <row r="68" spans="1:15" x14ac:dyDescent="0.35">
      <c r="A68" s="24">
        <v>53</v>
      </c>
      <c r="B68" s="513" t="str">
        <f>'Schedule 2M Adjustments'!B67:D67</f>
        <v/>
      </c>
      <c r="C68" s="513"/>
      <c r="D68" s="513"/>
      <c r="F68" s="117">
        <f>'Schedule 2M Adjustments'!H67</f>
        <v>0</v>
      </c>
      <c r="G68" s="68">
        <f>'Schedule 2M Adjustments'!J67</f>
        <v>0</v>
      </c>
      <c r="H68" s="68">
        <f t="shared" si="0"/>
        <v>0</v>
      </c>
      <c r="J68" s="117">
        <f>'Schedule 2M Adjustments'!P67</f>
        <v>0</v>
      </c>
      <c r="K68" s="68">
        <f>'Schedule 2M Adjustments'!R67</f>
        <v>0</v>
      </c>
      <c r="L68" s="68">
        <f t="shared" si="1"/>
        <v>0</v>
      </c>
      <c r="N68" s="120">
        <f>'Schedule 2M Adjustments'!X67</f>
        <v>0</v>
      </c>
      <c r="O68" s="120">
        <f>'Schedule 2M Adjustments'!AA67</f>
        <v>0</v>
      </c>
    </row>
    <row r="69" spans="1:15" x14ac:dyDescent="0.35">
      <c r="A69" s="24">
        <v>54</v>
      </c>
      <c r="B69" s="513" t="str">
        <f>'Schedule 2M Adjustments'!B68:D68</f>
        <v/>
      </c>
      <c r="C69" s="513"/>
      <c r="D69" s="513"/>
      <c r="F69" s="117">
        <f>'Schedule 2M Adjustments'!H68</f>
        <v>0</v>
      </c>
      <c r="G69" s="68">
        <f>'Schedule 2M Adjustments'!J68</f>
        <v>0</v>
      </c>
      <c r="H69" s="68">
        <f t="shared" si="0"/>
        <v>0</v>
      </c>
      <c r="J69" s="117">
        <f>'Schedule 2M Adjustments'!P68</f>
        <v>0</v>
      </c>
      <c r="K69" s="68">
        <f>'Schedule 2M Adjustments'!R68</f>
        <v>0</v>
      </c>
      <c r="L69" s="68">
        <f t="shared" si="1"/>
        <v>0</v>
      </c>
      <c r="N69" s="120">
        <f>'Schedule 2M Adjustments'!X68</f>
        <v>0</v>
      </c>
      <c r="O69" s="120">
        <f>'Schedule 2M Adjustments'!AA68</f>
        <v>0</v>
      </c>
    </row>
    <row r="70" spans="1:15" x14ac:dyDescent="0.35">
      <c r="A70" s="24">
        <v>55</v>
      </c>
      <c r="B70" s="513" t="str">
        <f>'Schedule 2M Adjustments'!B69:D69</f>
        <v/>
      </c>
      <c r="C70" s="513"/>
      <c r="D70" s="513"/>
      <c r="F70" s="117">
        <f>'Schedule 2M Adjustments'!H69</f>
        <v>0</v>
      </c>
      <c r="G70" s="68">
        <f>'Schedule 2M Adjustments'!J69</f>
        <v>0</v>
      </c>
      <c r="H70" s="68">
        <f t="shared" si="0"/>
        <v>0</v>
      </c>
      <c r="J70" s="117">
        <f>'Schedule 2M Adjustments'!P69</f>
        <v>0</v>
      </c>
      <c r="K70" s="68">
        <f>'Schedule 2M Adjustments'!R69</f>
        <v>0</v>
      </c>
      <c r="L70" s="68">
        <f t="shared" si="1"/>
        <v>0</v>
      </c>
      <c r="N70" s="120">
        <f>'Schedule 2M Adjustments'!X69</f>
        <v>0</v>
      </c>
      <c r="O70" s="120">
        <f>'Schedule 2M Adjustments'!AA69</f>
        <v>0</v>
      </c>
    </row>
    <row r="71" spans="1:15" x14ac:dyDescent="0.35">
      <c r="A71" s="24">
        <v>56</v>
      </c>
      <c r="B71" s="513" t="str">
        <f>'Schedule 2M Adjustments'!B70:D70</f>
        <v/>
      </c>
      <c r="C71" s="513"/>
      <c r="D71" s="513"/>
      <c r="F71" s="117">
        <f>'Schedule 2M Adjustments'!H70</f>
        <v>0</v>
      </c>
      <c r="G71" s="68">
        <f>'Schedule 2M Adjustments'!J70</f>
        <v>0</v>
      </c>
      <c r="H71" s="68">
        <f t="shared" si="0"/>
        <v>0</v>
      </c>
      <c r="J71" s="117">
        <f>'Schedule 2M Adjustments'!P70</f>
        <v>0</v>
      </c>
      <c r="K71" s="68">
        <f>'Schedule 2M Adjustments'!R70</f>
        <v>0</v>
      </c>
      <c r="L71" s="68">
        <f t="shared" si="1"/>
        <v>0</v>
      </c>
      <c r="N71" s="120">
        <f>'Schedule 2M Adjustments'!X70</f>
        <v>0</v>
      </c>
      <c r="O71" s="120">
        <f>'Schedule 2M Adjustments'!AA70</f>
        <v>0</v>
      </c>
    </row>
    <row r="72" spans="1:15" x14ac:dyDescent="0.35">
      <c r="A72" s="24">
        <v>57</v>
      </c>
      <c r="B72" s="513" t="str">
        <f>'Schedule 2M Adjustments'!B71:D71</f>
        <v/>
      </c>
      <c r="C72" s="513"/>
      <c r="D72" s="513"/>
      <c r="F72" s="117">
        <f>'Schedule 2M Adjustments'!H71</f>
        <v>0</v>
      </c>
      <c r="G72" s="68">
        <f>'Schedule 2M Adjustments'!J71</f>
        <v>0</v>
      </c>
      <c r="H72" s="68">
        <f t="shared" si="0"/>
        <v>0</v>
      </c>
      <c r="J72" s="117">
        <f>'Schedule 2M Adjustments'!P71</f>
        <v>0</v>
      </c>
      <c r="K72" s="68">
        <f>'Schedule 2M Adjustments'!R71</f>
        <v>0</v>
      </c>
      <c r="L72" s="68">
        <f t="shared" si="1"/>
        <v>0</v>
      </c>
      <c r="N72" s="120">
        <f>'Schedule 2M Adjustments'!X71</f>
        <v>0</v>
      </c>
      <c r="O72" s="120">
        <f>'Schedule 2M Adjustments'!AA71</f>
        <v>0</v>
      </c>
    </row>
    <row r="73" spans="1:15" x14ac:dyDescent="0.35">
      <c r="A73" s="24">
        <v>58</v>
      </c>
      <c r="B73" s="513" t="str">
        <f>'Schedule 2M Adjustments'!B72:D72</f>
        <v/>
      </c>
      <c r="C73" s="513"/>
      <c r="D73" s="513"/>
      <c r="F73" s="117">
        <f>'Schedule 2M Adjustments'!H72</f>
        <v>0</v>
      </c>
      <c r="G73" s="68">
        <f>'Schedule 2M Adjustments'!J72</f>
        <v>0</v>
      </c>
      <c r="H73" s="68">
        <f t="shared" si="0"/>
        <v>0</v>
      </c>
      <c r="J73" s="117">
        <f>'Schedule 2M Adjustments'!P72</f>
        <v>0</v>
      </c>
      <c r="K73" s="68">
        <f>'Schedule 2M Adjustments'!R72</f>
        <v>0</v>
      </c>
      <c r="L73" s="68">
        <f t="shared" si="1"/>
        <v>0</v>
      </c>
      <c r="N73" s="120">
        <f>'Schedule 2M Adjustments'!X72</f>
        <v>0</v>
      </c>
      <c r="O73" s="120">
        <f>'Schedule 2M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F8971D"/>
  </sheetPr>
  <dimension ref="A1:V262"/>
  <sheetViews>
    <sheetView workbookViewId="0"/>
  </sheetViews>
  <sheetFormatPr defaultColWidth="9.1796875"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81640625" customWidth="1"/>
  </cols>
  <sheetData>
    <row r="1" spans="1:22" ht="26" x14ac:dyDescent="0.6">
      <c r="A1" s="3" t="s">
        <v>774</v>
      </c>
      <c r="C1" s="11"/>
      <c r="D1" s="4"/>
      <c r="E1" s="13"/>
      <c r="F1" s="13"/>
      <c r="G1" s="137"/>
      <c r="H1" s="137"/>
      <c r="I1" s="13"/>
      <c r="J1" s="13"/>
    </row>
    <row r="2" spans="1:22" ht="21" x14ac:dyDescent="0.5">
      <c r="A2" s="2" t="s">
        <v>772</v>
      </c>
      <c r="C2" s="11"/>
      <c r="D2" s="4"/>
      <c r="E2" s="13"/>
      <c r="F2" s="13"/>
      <c r="G2" s="137"/>
      <c r="H2" s="137"/>
      <c r="I2" s="13"/>
      <c r="J2" s="13"/>
    </row>
    <row r="3" spans="1:22" ht="25" customHeight="1" x14ac:dyDescent="0.5">
      <c r="A3" s="5" t="s">
        <v>924</v>
      </c>
      <c r="B3" s="5"/>
      <c r="C3" s="12"/>
      <c r="D3" s="7"/>
      <c r="E3" s="14"/>
      <c r="F3" s="13"/>
      <c r="G3" s="137"/>
      <c r="H3" s="14"/>
      <c r="I3" s="13"/>
    </row>
    <row r="4" spans="1:22" ht="25" customHeight="1" x14ac:dyDescent="0.5">
      <c r="A4" s="243" t="str">
        <f>Results!A4</f>
        <v>Final Adjustments</v>
      </c>
      <c r="B4" s="5"/>
      <c r="C4" s="12"/>
      <c r="D4" s="7"/>
      <c r="E4" s="14"/>
      <c r="F4" s="13"/>
      <c r="G4" s="137"/>
      <c r="H4" s="14"/>
      <c r="I4" s="13"/>
    </row>
    <row r="5" spans="1:22" x14ac:dyDescent="0.35">
      <c r="C5" s="11"/>
      <c r="D5" s="4"/>
      <c r="E5" s="13"/>
      <c r="F5" s="13"/>
      <c r="G5" s="137"/>
      <c r="H5" s="137"/>
      <c r="I5" s="13"/>
      <c r="J5" s="50"/>
      <c r="T5" s="130"/>
      <c r="U5" s="130"/>
      <c r="V5" s="130"/>
    </row>
    <row r="6" spans="1:22" x14ac:dyDescent="0.35">
      <c r="A6" s="1" t="s">
        <v>773</v>
      </c>
      <c r="C6" s="421" t="str">
        <f>Results!$C$6</f>
        <v>Health Solutions</v>
      </c>
      <c r="D6" s="241"/>
      <c r="E6" s="13"/>
      <c r="F6" s="13"/>
      <c r="G6" s="137"/>
      <c r="H6" s="137"/>
      <c r="I6" s="13"/>
      <c r="J6" s="50"/>
      <c r="T6" s="40"/>
      <c r="U6" s="40"/>
      <c r="V6" s="40"/>
    </row>
    <row r="7" spans="1:22" x14ac:dyDescent="0.35">
      <c r="A7" s="1" t="s">
        <v>0</v>
      </c>
      <c r="C7" s="35">
        <f>Results!$C$7</f>
        <v>45473</v>
      </c>
      <c r="D7" s="35"/>
      <c r="E7" s="50"/>
      <c r="F7" s="13"/>
      <c r="G7" s="137"/>
      <c r="H7" s="137"/>
      <c r="I7" s="13"/>
      <c r="J7" s="50"/>
      <c r="T7" s="40"/>
      <c r="U7" s="40"/>
    </row>
    <row r="8" spans="1:22" x14ac:dyDescent="0.35">
      <c r="A8" s="204"/>
      <c r="B8" s="100"/>
      <c r="C8" s="205"/>
      <c r="D8" s="205"/>
      <c r="E8" s="206"/>
      <c r="F8" s="206"/>
      <c r="G8" s="207"/>
      <c r="H8" s="207"/>
      <c r="I8" s="206"/>
      <c r="J8" s="206"/>
      <c r="K8" s="100"/>
      <c r="L8" s="100"/>
      <c r="T8" s="40"/>
      <c r="U8" s="40"/>
      <c r="V8" s="40"/>
    </row>
    <row r="9" spans="1:22" x14ac:dyDescent="0.35">
      <c r="A9" s="204" t="s">
        <v>479</v>
      </c>
      <c r="B9" s="100"/>
      <c r="C9" s="100"/>
      <c r="D9" s="100"/>
      <c r="E9" s="100"/>
      <c r="F9" s="100"/>
      <c r="G9" s="204"/>
      <c r="H9" s="113"/>
      <c r="I9" s="100"/>
      <c r="J9" s="206"/>
      <c r="K9" s="100"/>
      <c r="L9" s="100"/>
      <c r="T9" s="40"/>
      <c r="U9" s="40"/>
      <c r="V9" s="40"/>
    </row>
    <row r="10" spans="1:22" ht="15" customHeight="1" x14ac:dyDescent="0.35">
      <c r="A10" s="502" t="s">
        <v>480</v>
      </c>
      <c r="B10" s="502"/>
      <c r="C10" s="502"/>
      <c r="D10" s="502"/>
      <c r="E10" s="502"/>
      <c r="F10" s="502"/>
      <c r="G10" s="502"/>
      <c r="H10" s="502"/>
      <c r="I10" s="502"/>
      <c r="J10" s="502"/>
      <c r="K10" s="502"/>
      <c r="L10" s="100"/>
      <c r="T10" s="40"/>
      <c r="U10" s="40"/>
      <c r="V10" s="40"/>
    </row>
    <row r="11" spans="1:22" x14ac:dyDescent="0.35">
      <c r="A11" s="502"/>
      <c r="B11" s="502"/>
      <c r="C11" s="502"/>
      <c r="D11" s="502"/>
      <c r="E11" s="502"/>
      <c r="F11" s="502"/>
      <c r="G11" s="502"/>
      <c r="H11" s="502"/>
      <c r="I11" s="502"/>
      <c r="J11" s="502"/>
      <c r="K11" s="502"/>
      <c r="L11" s="100"/>
      <c r="T11" s="40"/>
      <c r="U11" s="40"/>
      <c r="V11" s="40"/>
    </row>
    <row r="12" spans="1:22" x14ac:dyDescent="0.35">
      <c r="A12" s="502"/>
      <c r="B12" s="502"/>
      <c r="C12" s="502"/>
      <c r="D12" s="502"/>
      <c r="E12" s="502"/>
      <c r="F12" s="502"/>
      <c r="G12" s="502"/>
      <c r="H12" s="502"/>
      <c r="I12" s="502"/>
      <c r="J12" s="502"/>
      <c r="K12" s="502"/>
      <c r="L12" s="100"/>
      <c r="T12" s="40"/>
      <c r="U12" s="40"/>
      <c r="V12" s="40"/>
    </row>
    <row r="13" spans="1:22" x14ac:dyDescent="0.35">
      <c r="A13" s="204"/>
      <c r="B13" s="318"/>
      <c r="C13" s="205"/>
      <c r="D13" s="205"/>
      <c r="E13" s="206"/>
      <c r="F13" s="206"/>
      <c r="G13" s="207"/>
      <c r="H13" s="207"/>
      <c r="I13" s="206"/>
      <c r="J13" s="206"/>
      <c r="K13" s="100"/>
      <c r="L13" s="100"/>
      <c r="T13" s="40"/>
      <c r="U13" s="40"/>
      <c r="V13" s="40"/>
    </row>
    <row r="14" spans="1:22" x14ac:dyDescent="0.35">
      <c r="A14" s="100"/>
      <c r="B14" s="496">
        <v>1</v>
      </c>
      <c r="C14" s="497"/>
      <c r="D14" s="175">
        <v>2</v>
      </c>
      <c r="E14" s="175">
        <v>3</v>
      </c>
      <c r="F14" s="175">
        <v>4</v>
      </c>
      <c r="G14" s="175">
        <v>5</v>
      </c>
      <c r="H14" s="175">
        <v>6</v>
      </c>
      <c r="I14" s="175">
        <v>7</v>
      </c>
      <c r="J14" s="175">
        <v>8</v>
      </c>
      <c r="K14" s="175">
        <v>9</v>
      </c>
      <c r="L14" s="175">
        <v>10</v>
      </c>
      <c r="M14" s="23">
        <v>11</v>
      </c>
      <c r="N14" s="23">
        <v>12</v>
      </c>
      <c r="O14" s="23">
        <v>13</v>
      </c>
      <c r="P14" s="23">
        <v>14</v>
      </c>
      <c r="Q14" s="23">
        <v>15</v>
      </c>
      <c r="R14" s="23">
        <v>16</v>
      </c>
    </row>
    <row r="15" spans="1:22" x14ac:dyDescent="0.35">
      <c r="A15" s="100"/>
      <c r="B15" s="529" t="s">
        <v>632</v>
      </c>
      <c r="C15" s="530"/>
      <c r="D15" s="526" t="s">
        <v>633</v>
      </c>
      <c r="E15" s="526" t="s">
        <v>634</v>
      </c>
      <c r="F15" s="526" t="s">
        <v>635</v>
      </c>
      <c r="G15" s="533" t="s">
        <v>758</v>
      </c>
      <c r="H15" s="533" t="s">
        <v>759</v>
      </c>
      <c r="I15" s="208"/>
      <c r="J15" s="208"/>
      <c r="K15" s="526" t="s">
        <v>697</v>
      </c>
      <c r="L15" s="526" t="s">
        <v>698</v>
      </c>
      <c r="M15" s="528" t="s">
        <v>168</v>
      </c>
      <c r="N15" s="528"/>
      <c r="O15" s="528" t="s">
        <v>34</v>
      </c>
      <c r="P15" s="528"/>
      <c r="Q15" s="528" t="s">
        <v>169</v>
      </c>
      <c r="R15" s="528"/>
    </row>
    <row r="16" spans="1:22" ht="60" customHeight="1" x14ac:dyDescent="0.35">
      <c r="A16" s="100"/>
      <c r="B16" s="531"/>
      <c r="C16" s="532"/>
      <c r="D16" s="527"/>
      <c r="E16" s="527"/>
      <c r="F16" s="527"/>
      <c r="G16" s="534"/>
      <c r="H16" s="534"/>
      <c r="I16" s="209" t="s">
        <v>454</v>
      </c>
      <c r="J16" s="209" t="s">
        <v>494</v>
      </c>
      <c r="K16" s="527"/>
      <c r="L16" s="527"/>
      <c r="M16" s="10" t="s">
        <v>699</v>
      </c>
      <c r="N16" s="10" t="s">
        <v>700</v>
      </c>
      <c r="O16" s="10" t="s">
        <v>701</v>
      </c>
      <c r="P16" s="10" t="s">
        <v>702</v>
      </c>
      <c r="Q16" s="10" t="s">
        <v>703</v>
      </c>
      <c r="R16" s="10" t="s">
        <v>704</v>
      </c>
    </row>
    <row r="17" spans="1:18" x14ac:dyDescent="0.35">
      <c r="A17" s="100"/>
      <c r="B17" s="318" t="s">
        <v>598</v>
      </c>
      <c r="C17" s="210"/>
      <c r="D17" s="97"/>
      <c r="E17" s="97"/>
      <c r="F17" s="97"/>
      <c r="G17" s="211"/>
      <c r="H17" s="211"/>
      <c r="I17" s="97"/>
      <c r="J17" s="97"/>
      <c r="K17" s="97"/>
      <c r="L17" s="97"/>
      <c r="M17" s="6"/>
      <c r="N17" s="6"/>
      <c r="O17" s="6"/>
      <c r="P17" s="6"/>
      <c r="Q17" s="6"/>
      <c r="R17" s="6"/>
    </row>
    <row r="18" spans="1:18" s="34" customFormat="1" x14ac:dyDescent="0.35">
      <c r="A18" s="212">
        <v>1</v>
      </c>
      <c r="B18" s="524" t="str">
        <f>'Schedule 3 Adjustments'!B17:C17</f>
        <v>Acute Treatment Unit (ATU)</v>
      </c>
      <c r="C18" s="525"/>
      <c r="D18" s="365" t="str">
        <f>'Schedule 3 Adjustments'!D17</f>
        <v>ATU</v>
      </c>
      <c r="E18" s="365" t="str">
        <f>'Schedule 3 Adjustments'!E17</f>
        <v>ATU</v>
      </c>
      <c r="F18" s="370">
        <f>'Schedule 3 Adjustments'!F17</f>
        <v>16</v>
      </c>
      <c r="G18" s="373">
        <f>'Schedule 3 Adjustments'!G17</f>
        <v>0</v>
      </c>
      <c r="H18" s="373">
        <f>'Schedule 3 Adjustments'!H17</f>
        <v>0</v>
      </c>
      <c r="I18" s="213">
        <f>IF(B18=0,"",IF(AND(G18=0,H18=0),365,IF(AND(G18&gt;0,H18=0),$C$7-G18+1,IF(AND(G18=0,H18&gt;0),H18-($C$7-365),H18-G18+1))))</f>
        <v>365</v>
      </c>
      <c r="J18" s="98"/>
      <c r="K18" s="214">
        <f>SUM(K19:K21)</f>
        <v>1986</v>
      </c>
      <c r="L18" s="215">
        <f>IF(K18&gt;0,K18/(F18*I18),"")</f>
        <v>0.34006849315068494</v>
      </c>
      <c r="M18" s="126">
        <f>'Schedule 3 Adjustments'!R17</f>
        <v>3659366.5359400609</v>
      </c>
      <c r="N18" s="85">
        <f>IFERROR(M18/K18,"")</f>
        <v>1842.5813373313499</v>
      </c>
      <c r="O18" s="126">
        <f>'Schedule 3 Adjustments'!W17</f>
        <v>134370.53375429299</v>
      </c>
      <c r="P18" s="85">
        <f>IFERROR(O18/K18,"")</f>
        <v>67.658879030359003</v>
      </c>
      <c r="Q18" s="86">
        <f>IF(M18=0,"",M18-O18)</f>
        <v>3524996.002185768</v>
      </c>
      <c r="R18" s="85">
        <f>IFERROR(Q18/K18,"")</f>
        <v>1774.9224583009909</v>
      </c>
    </row>
    <row r="19" spans="1:18" x14ac:dyDescent="0.35">
      <c r="A19" s="216" t="s">
        <v>447</v>
      </c>
      <c r="B19" s="217"/>
      <c r="C19" s="217"/>
      <c r="D19" s="217"/>
      <c r="E19" s="217"/>
      <c r="F19" s="218"/>
      <c r="G19" s="219"/>
      <c r="H19" s="219"/>
      <c r="I19" s="220"/>
      <c r="J19" s="369" t="str">
        <f>'Schedule 3 Adjustments'!J18</f>
        <v>H0017</v>
      </c>
      <c r="K19" s="221">
        <f>'Schedule 3 Adjustments'!M18</f>
        <v>1986</v>
      </c>
      <c r="L19" s="222"/>
      <c r="M19" s="87"/>
      <c r="N19" s="87"/>
      <c r="O19" s="87"/>
      <c r="P19" s="87"/>
      <c r="Q19" s="87"/>
      <c r="R19" s="87"/>
    </row>
    <row r="20" spans="1:18" x14ac:dyDescent="0.35">
      <c r="A20" s="223" t="s">
        <v>448</v>
      </c>
      <c r="B20" s="224"/>
      <c r="C20" s="224"/>
      <c r="D20" s="224"/>
      <c r="E20" s="224"/>
      <c r="F20" s="225"/>
      <c r="G20" s="226"/>
      <c r="H20" s="226"/>
      <c r="I20" s="227"/>
      <c r="J20" s="371">
        <f>'Schedule 3 Adjustments'!J19</f>
        <v>0</v>
      </c>
      <c r="K20" s="228">
        <f>'Schedule 3 Adjustments'!M19</f>
        <v>0</v>
      </c>
      <c r="L20" s="229"/>
      <c r="M20" s="88"/>
      <c r="N20" s="88"/>
      <c r="O20" s="88"/>
      <c r="P20" s="88"/>
      <c r="Q20" s="88"/>
      <c r="R20" s="88"/>
    </row>
    <row r="21" spans="1:18" x14ac:dyDescent="0.35">
      <c r="A21" s="230" t="s">
        <v>449</v>
      </c>
      <c r="B21" s="224"/>
      <c r="C21" s="224"/>
      <c r="D21" s="224"/>
      <c r="E21" s="224"/>
      <c r="F21" s="225"/>
      <c r="G21" s="226"/>
      <c r="H21" s="226"/>
      <c r="I21" s="227"/>
      <c r="J21" s="372">
        <f>'Schedule 3 Adjustments'!J20</f>
        <v>0</v>
      </c>
      <c r="K21" s="231">
        <f>'Schedule 3 Adjustments'!M20</f>
        <v>0</v>
      </c>
      <c r="L21" s="229"/>
      <c r="M21" s="88"/>
      <c r="N21" s="88"/>
      <c r="O21" s="88"/>
      <c r="P21" s="88"/>
      <c r="Q21" s="88"/>
      <c r="R21" s="88"/>
    </row>
    <row r="22" spans="1:18" x14ac:dyDescent="0.35">
      <c r="J22" s="100"/>
      <c r="L22" s="28"/>
    </row>
    <row r="23" spans="1:18" s="34" customFormat="1" x14ac:dyDescent="0.35">
      <c r="A23" s="84">
        <v>2</v>
      </c>
      <c r="B23" s="524">
        <f>'Schedule 3 Adjustments'!B22:C22</f>
        <v>0</v>
      </c>
      <c r="C23" s="525"/>
      <c r="D23" s="365">
        <f>'Schedule 3 Adjustments'!D22</f>
        <v>0</v>
      </c>
      <c r="E23" s="365">
        <f>'Schedule 3 Adjustments'!E22</f>
        <v>0</v>
      </c>
      <c r="F23" s="370">
        <f>'Schedule 3 Adjustments'!F22</f>
        <v>0</v>
      </c>
      <c r="G23" s="373">
        <f>'Schedule 3 Adjustments'!G22</f>
        <v>0</v>
      </c>
      <c r="H23" s="373">
        <f>'Schedule 3 Adjustments'!H22</f>
        <v>0</v>
      </c>
      <c r="I23" s="139" t="str">
        <f>IF(B23=0,"",IF(AND(G23=0,H23=0),365,IF(AND(G23&gt;0,H23=0),$C$7-G23+1,IF(AND(G23=0,H23&gt;0),H23-($C$7-365),H23-G23+1))))</f>
        <v/>
      </c>
      <c r="J23" s="98"/>
      <c r="K23" s="8">
        <f>SUM(K24:K26)</f>
        <v>0</v>
      </c>
      <c r="L23" s="91" t="str">
        <f>IF(K23&gt;0,K23/(F23*I23),"")</f>
        <v/>
      </c>
      <c r="M23" s="126">
        <f>'Schedule 3 Adjustments'!R22</f>
        <v>0</v>
      </c>
      <c r="N23" s="85" t="str">
        <f>IFERROR(M23/K23,"")</f>
        <v/>
      </c>
      <c r="O23" s="126">
        <f>'Schedule 3 Adjustments'!W22</f>
        <v>0</v>
      </c>
      <c r="P23" s="85" t="str">
        <f>IFERROR(O23/K23,"")</f>
        <v/>
      </c>
      <c r="Q23" s="86" t="str">
        <f>IF(M23=0,"",M23-O23)</f>
        <v/>
      </c>
      <c r="R23" s="85" t="str">
        <f>IFERROR(Q23/K23,"")</f>
        <v/>
      </c>
    </row>
    <row r="24" spans="1:18" x14ac:dyDescent="0.35">
      <c r="A24" s="101" t="s">
        <v>447</v>
      </c>
      <c r="B24" s="87"/>
      <c r="C24" s="87"/>
      <c r="D24" s="87"/>
      <c r="E24" s="87"/>
      <c r="F24" s="132"/>
      <c r="G24" s="135"/>
      <c r="H24" s="135"/>
      <c r="I24" s="104"/>
      <c r="J24" s="369">
        <f>'Schedule 3 Adjustments'!J23</f>
        <v>0</v>
      </c>
      <c r="K24" s="221">
        <f>'Schedule 3 Adjustments'!M23</f>
        <v>0</v>
      </c>
      <c r="L24" s="89"/>
      <c r="M24" s="87"/>
      <c r="N24" s="87"/>
      <c r="O24" s="87"/>
      <c r="P24" s="87"/>
      <c r="Q24" s="87"/>
      <c r="R24" s="87"/>
    </row>
    <row r="25" spans="1:18" x14ac:dyDescent="0.35">
      <c r="A25" s="102" t="s">
        <v>448</v>
      </c>
      <c r="B25" s="88"/>
      <c r="C25" s="88"/>
      <c r="D25" s="88"/>
      <c r="E25" s="88"/>
      <c r="F25" s="133"/>
      <c r="G25" s="136"/>
      <c r="H25" s="136"/>
      <c r="I25" s="105"/>
      <c r="J25" s="371">
        <f>'Schedule 3 Adjustments'!J24</f>
        <v>0</v>
      </c>
      <c r="K25" s="228">
        <f>'Schedule 3 Adjustments'!M24</f>
        <v>0</v>
      </c>
      <c r="L25" s="90"/>
      <c r="M25" s="88"/>
      <c r="N25" s="88"/>
      <c r="O25" s="88"/>
      <c r="P25" s="88"/>
      <c r="Q25" s="88"/>
      <c r="R25" s="88"/>
    </row>
    <row r="26" spans="1:18" x14ac:dyDescent="0.35">
      <c r="A26" s="103" t="s">
        <v>449</v>
      </c>
      <c r="B26" s="88"/>
      <c r="C26" s="88"/>
      <c r="D26" s="88"/>
      <c r="E26" s="88"/>
      <c r="F26" s="133"/>
      <c r="G26" s="136"/>
      <c r="H26" s="136"/>
      <c r="I26" s="105"/>
      <c r="J26" s="372">
        <f>'Schedule 3 Adjustments'!J25</f>
        <v>0</v>
      </c>
      <c r="K26" s="231">
        <f>'Schedule 3 Adjustments'!M25</f>
        <v>0</v>
      </c>
      <c r="L26" s="90"/>
      <c r="M26" s="88"/>
      <c r="N26" s="88"/>
      <c r="O26" s="88"/>
      <c r="P26" s="88"/>
      <c r="Q26" s="88"/>
      <c r="R26" s="88"/>
    </row>
    <row r="27" spans="1:18" x14ac:dyDescent="0.35">
      <c r="J27" s="100"/>
      <c r="L27" s="28"/>
    </row>
    <row r="28" spans="1:18" s="34" customFormat="1" x14ac:dyDescent="0.35">
      <c r="A28" s="84">
        <v>3</v>
      </c>
      <c r="B28" s="524">
        <f>'Schedule 3 Adjustments'!B27:C27</f>
        <v>0</v>
      </c>
      <c r="C28" s="525"/>
      <c r="D28" s="365">
        <f>'Schedule 3 Adjustments'!D27</f>
        <v>0</v>
      </c>
      <c r="E28" s="365">
        <f>'Schedule 3 Adjustments'!E27</f>
        <v>0</v>
      </c>
      <c r="F28" s="370">
        <f>'Schedule 3 Adjustments'!F27</f>
        <v>0</v>
      </c>
      <c r="G28" s="373">
        <f>'Schedule 3 Adjustments'!G27</f>
        <v>0</v>
      </c>
      <c r="H28" s="373">
        <f>'Schedule 3 Adjustments'!H27</f>
        <v>0</v>
      </c>
      <c r="I28" s="139" t="str">
        <f>IF(B28=0,"",IF(AND(G28=0,H28=0),365,IF(AND(G28&gt;0,H28=0),$C$7-G28+1,IF(AND(G28=0,H28&gt;0),H28-($C$7-365),H28-G28+1))))</f>
        <v/>
      </c>
      <c r="J28" s="98"/>
      <c r="K28" s="8">
        <f>SUM(K29:K31)</f>
        <v>0</v>
      </c>
      <c r="L28" s="91" t="str">
        <f>IF(K28&gt;0,K28/(F28*I28),"")</f>
        <v/>
      </c>
      <c r="M28" s="126">
        <f>'Schedule 3 Adjustments'!R27</f>
        <v>0</v>
      </c>
      <c r="N28" s="85" t="str">
        <f>IFERROR(M28/K28,"")</f>
        <v/>
      </c>
      <c r="O28" s="126">
        <f>'Schedule 3 Adjustments'!W27</f>
        <v>0</v>
      </c>
      <c r="P28" s="85" t="str">
        <f>IFERROR(O28/K28,"")</f>
        <v/>
      </c>
      <c r="Q28" s="86" t="str">
        <f>IF(M28=0,"",M28-O28)</f>
        <v/>
      </c>
      <c r="R28" s="85" t="str">
        <f>IFERROR(Q28/K28,"")</f>
        <v/>
      </c>
    </row>
    <row r="29" spans="1:18" x14ac:dyDescent="0.35">
      <c r="A29" s="101" t="s">
        <v>447</v>
      </c>
      <c r="B29" s="87"/>
      <c r="C29" s="87"/>
      <c r="D29" s="87"/>
      <c r="E29" s="87"/>
      <c r="F29" s="132"/>
      <c r="G29" s="135"/>
      <c r="H29" s="135"/>
      <c r="I29" s="104"/>
      <c r="J29" s="369">
        <f>'Schedule 3 Adjustments'!J28</f>
        <v>0</v>
      </c>
      <c r="K29" s="221">
        <f>'Schedule 3 Adjustments'!M28</f>
        <v>0</v>
      </c>
      <c r="L29" s="89"/>
      <c r="M29" s="87"/>
      <c r="N29" s="87"/>
      <c r="O29" s="87"/>
      <c r="P29" s="87"/>
      <c r="Q29" s="87"/>
      <c r="R29" s="87"/>
    </row>
    <row r="30" spans="1:18" x14ac:dyDescent="0.35">
      <c r="A30" s="102" t="s">
        <v>448</v>
      </c>
      <c r="B30" s="88"/>
      <c r="C30" s="88"/>
      <c r="D30" s="88"/>
      <c r="E30" s="88"/>
      <c r="F30" s="133"/>
      <c r="G30" s="136"/>
      <c r="H30" s="136"/>
      <c r="I30" s="105"/>
      <c r="J30" s="371">
        <f>'Schedule 3 Adjustments'!J29</f>
        <v>0</v>
      </c>
      <c r="K30" s="228">
        <f>'Schedule 3 Adjustments'!M29</f>
        <v>0</v>
      </c>
      <c r="L30" s="90"/>
      <c r="M30" s="88"/>
      <c r="N30" s="88"/>
      <c r="O30" s="88"/>
      <c r="P30" s="88"/>
      <c r="Q30" s="88"/>
      <c r="R30" s="88"/>
    </row>
    <row r="31" spans="1:18" x14ac:dyDescent="0.35">
      <c r="A31" s="103" t="s">
        <v>449</v>
      </c>
      <c r="B31" s="88"/>
      <c r="C31" s="88"/>
      <c r="D31" s="88"/>
      <c r="E31" s="88"/>
      <c r="F31" s="133"/>
      <c r="G31" s="136"/>
      <c r="H31" s="136"/>
      <c r="I31" s="105"/>
      <c r="J31" s="372">
        <f>'Schedule 3 Adjustments'!J30</f>
        <v>0</v>
      </c>
      <c r="K31" s="231">
        <f>'Schedule 3 Adjustments'!M30</f>
        <v>0</v>
      </c>
      <c r="L31" s="90"/>
      <c r="M31" s="88"/>
      <c r="N31" s="88"/>
      <c r="O31" s="88"/>
      <c r="P31" s="88"/>
      <c r="Q31" s="88"/>
      <c r="R31" s="88"/>
    </row>
    <row r="32" spans="1:18" x14ac:dyDescent="0.35">
      <c r="J32" s="100"/>
      <c r="L32" s="28"/>
    </row>
    <row r="33" spans="1:18" s="34" customFormat="1" x14ac:dyDescent="0.35">
      <c r="A33" s="84">
        <v>4</v>
      </c>
      <c r="B33" s="524">
        <f>'Schedule 3 Adjustments'!B32:C32</f>
        <v>0</v>
      </c>
      <c r="C33" s="525"/>
      <c r="D33" s="365">
        <f>'Schedule 3 Adjustments'!D32</f>
        <v>0</v>
      </c>
      <c r="E33" s="365">
        <f>'Schedule 3 Adjustments'!E32</f>
        <v>0</v>
      </c>
      <c r="F33" s="370">
        <f>'Schedule 3 Adjustments'!F32</f>
        <v>0</v>
      </c>
      <c r="G33" s="373">
        <f>'Schedule 3 Adjustments'!G32</f>
        <v>0</v>
      </c>
      <c r="H33" s="373">
        <f>'Schedule 3 Adjustments'!H32</f>
        <v>0</v>
      </c>
      <c r="I33" s="139" t="str">
        <f>IF(B33=0,"",IF(AND(G33=0,H33=0),365,IF(AND(G33&gt;0,H33=0),$C$7-G33+1,IF(AND(G33=0,H33&gt;0),H33-($C$7-365),H33-G33+1))))</f>
        <v/>
      </c>
      <c r="J33" s="98"/>
      <c r="K33" s="8">
        <f>SUM(K34:K36)</f>
        <v>0</v>
      </c>
      <c r="L33" s="91" t="str">
        <f>IF(K33&gt;0,K33/(F33*I33),"")</f>
        <v/>
      </c>
      <c r="M33" s="126">
        <f>'Schedule 3 Adjustments'!R32</f>
        <v>0</v>
      </c>
      <c r="N33" s="85" t="str">
        <f>IFERROR(M33/K33,"")</f>
        <v/>
      </c>
      <c r="O33" s="126">
        <f>'Schedule 3 Adjustments'!W32</f>
        <v>0</v>
      </c>
      <c r="P33" s="85" t="str">
        <f>IFERROR(O33/K33,"")</f>
        <v/>
      </c>
      <c r="Q33" s="86" t="str">
        <f>IF(M33=0,"",M33-O33)</f>
        <v/>
      </c>
      <c r="R33" s="85" t="str">
        <f>IFERROR(Q33/K33,"")</f>
        <v/>
      </c>
    </row>
    <row r="34" spans="1:18" x14ac:dyDescent="0.35">
      <c r="A34" s="101" t="s">
        <v>447</v>
      </c>
      <c r="B34" s="87"/>
      <c r="C34" s="87"/>
      <c r="D34" s="87"/>
      <c r="E34" s="87"/>
      <c r="F34" s="132"/>
      <c r="G34" s="135"/>
      <c r="H34" s="135"/>
      <c r="I34" s="104"/>
      <c r="J34" s="369">
        <f>'Schedule 3 Adjustments'!J33</f>
        <v>0</v>
      </c>
      <c r="K34" s="221">
        <f>'Schedule 3 Adjustments'!M33</f>
        <v>0</v>
      </c>
      <c r="L34" s="89"/>
      <c r="M34" s="87"/>
      <c r="N34" s="87"/>
      <c r="O34" s="87"/>
      <c r="P34" s="87"/>
      <c r="Q34" s="87"/>
      <c r="R34" s="87"/>
    </row>
    <row r="35" spans="1:18" x14ac:dyDescent="0.35">
      <c r="A35" s="102" t="s">
        <v>448</v>
      </c>
      <c r="B35" s="88"/>
      <c r="C35" s="88"/>
      <c r="D35" s="88"/>
      <c r="E35" s="88"/>
      <c r="F35" s="133"/>
      <c r="G35" s="136"/>
      <c r="H35" s="136"/>
      <c r="I35" s="105"/>
      <c r="J35" s="371">
        <f>'Schedule 3 Adjustments'!J34</f>
        <v>0</v>
      </c>
      <c r="K35" s="228">
        <f>'Schedule 3 Adjustments'!M34</f>
        <v>0</v>
      </c>
      <c r="L35" s="90"/>
      <c r="M35" s="88"/>
      <c r="N35" s="88"/>
      <c r="O35" s="88"/>
      <c r="P35" s="88"/>
      <c r="Q35" s="88"/>
      <c r="R35" s="88"/>
    </row>
    <row r="36" spans="1:18" x14ac:dyDescent="0.35">
      <c r="A36" s="103" t="s">
        <v>449</v>
      </c>
      <c r="B36" s="88"/>
      <c r="C36" s="88"/>
      <c r="D36" s="88"/>
      <c r="E36" s="88"/>
      <c r="F36" s="133"/>
      <c r="G36" s="136"/>
      <c r="H36" s="136"/>
      <c r="I36" s="105"/>
      <c r="J36" s="372">
        <f>'Schedule 3 Adjustments'!J35</f>
        <v>0</v>
      </c>
      <c r="K36" s="231">
        <f>'Schedule 3 Adjustments'!M35</f>
        <v>0</v>
      </c>
      <c r="L36" s="90"/>
      <c r="M36" s="88"/>
      <c r="N36" s="88"/>
      <c r="O36" s="88"/>
      <c r="P36" s="88"/>
      <c r="Q36" s="88"/>
      <c r="R36" s="88"/>
    </row>
    <row r="37" spans="1:18" x14ac:dyDescent="0.35">
      <c r="J37" s="100"/>
      <c r="L37" s="28"/>
    </row>
    <row r="38" spans="1:18" s="34" customFormat="1" x14ac:dyDescent="0.35">
      <c r="A38" s="84">
        <v>5</v>
      </c>
      <c r="B38" s="524">
        <f>'Schedule 3 Adjustments'!B37:C37</f>
        <v>0</v>
      </c>
      <c r="C38" s="525"/>
      <c r="D38" s="365">
        <f>'Schedule 3 Adjustments'!D37</f>
        <v>0</v>
      </c>
      <c r="E38" s="365">
        <f>'Schedule 3 Adjustments'!E37</f>
        <v>0</v>
      </c>
      <c r="F38" s="370">
        <f>'Schedule 3 Adjustments'!F37</f>
        <v>0</v>
      </c>
      <c r="G38" s="373">
        <f>'Schedule 3 Adjustments'!G37</f>
        <v>0</v>
      </c>
      <c r="H38" s="373">
        <f>'Schedule 3 Adjustments'!H37</f>
        <v>0</v>
      </c>
      <c r="I38" s="139" t="str">
        <f>IF(B38=0,"",IF(AND(G38=0,H38=0),365,IF(AND(G38&gt;0,H38=0),$C$7-G38+1,IF(AND(G38=0,H38&gt;0),H38-($C$7-365),H38-G38+1))))</f>
        <v/>
      </c>
      <c r="J38" s="98"/>
      <c r="K38" s="8">
        <f>SUM(K39:K41)</f>
        <v>0</v>
      </c>
      <c r="L38" s="91" t="str">
        <f>IF(K38&gt;0,K38/(F38*I38),"")</f>
        <v/>
      </c>
      <c r="M38" s="126">
        <f>'Schedule 3 Adjustments'!R37</f>
        <v>0</v>
      </c>
      <c r="N38" s="85" t="str">
        <f>IFERROR(M38/K38,"")</f>
        <v/>
      </c>
      <c r="O38" s="126">
        <f>'Schedule 3 Adjustments'!W37</f>
        <v>0</v>
      </c>
      <c r="P38" s="85" t="str">
        <f>IFERROR(O38/K38,"")</f>
        <v/>
      </c>
      <c r="Q38" s="86" t="str">
        <f>IF(M38=0,"",M38-O38)</f>
        <v/>
      </c>
      <c r="R38" s="85" t="str">
        <f>IFERROR(Q38/K38,"")</f>
        <v/>
      </c>
    </row>
    <row r="39" spans="1:18" x14ac:dyDescent="0.35">
      <c r="A39" s="101" t="s">
        <v>447</v>
      </c>
      <c r="B39" s="87"/>
      <c r="C39" s="87"/>
      <c r="D39" s="87"/>
      <c r="E39" s="87"/>
      <c r="F39" s="132"/>
      <c r="G39" s="135"/>
      <c r="H39" s="135"/>
      <c r="I39" s="104"/>
      <c r="J39" s="369">
        <f>'Schedule 3 Adjustments'!J38</f>
        <v>0</v>
      </c>
      <c r="K39" s="221">
        <f>'Schedule 3 Adjustments'!M38</f>
        <v>0</v>
      </c>
      <c r="L39" s="89"/>
      <c r="M39" s="87"/>
      <c r="N39" s="87"/>
      <c r="O39" s="87"/>
      <c r="P39" s="87"/>
      <c r="Q39" s="87"/>
      <c r="R39" s="87"/>
    </row>
    <row r="40" spans="1:18" x14ac:dyDescent="0.35">
      <c r="A40" s="102" t="s">
        <v>448</v>
      </c>
      <c r="B40" s="88"/>
      <c r="C40" s="88"/>
      <c r="D40" s="88"/>
      <c r="E40" s="88"/>
      <c r="F40" s="133"/>
      <c r="G40" s="136"/>
      <c r="H40" s="136"/>
      <c r="I40" s="105"/>
      <c r="J40" s="371">
        <f>'Schedule 3 Adjustments'!J39</f>
        <v>0</v>
      </c>
      <c r="K40" s="228">
        <f>'Schedule 3 Adjustments'!M39</f>
        <v>0</v>
      </c>
      <c r="L40" s="90"/>
      <c r="M40" s="88"/>
      <c r="N40" s="88"/>
      <c r="O40" s="88"/>
      <c r="P40" s="88"/>
      <c r="Q40" s="88"/>
      <c r="R40" s="88"/>
    </row>
    <row r="41" spans="1:18" x14ac:dyDescent="0.35">
      <c r="A41" s="103" t="s">
        <v>449</v>
      </c>
      <c r="B41" s="88"/>
      <c r="C41" s="88"/>
      <c r="D41" s="88"/>
      <c r="E41" s="88"/>
      <c r="F41" s="133"/>
      <c r="G41" s="136"/>
      <c r="H41" s="136"/>
      <c r="I41" s="105"/>
      <c r="J41" s="372">
        <f>'Schedule 3 Adjustments'!J40</f>
        <v>0</v>
      </c>
      <c r="K41" s="231">
        <f>'Schedule 3 Adjustments'!M40</f>
        <v>0</v>
      </c>
      <c r="L41" s="90"/>
      <c r="M41" s="88"/>
      <c r="N41" s="88"/>
      <c r="O41" s="88"/>
      <c r="P41" s="88"/>
      <c r="Q41" s="88"/>
      <c r="R41" s="88"/>
    </row>
    <row r="42" spans="1:18" x14ac:dyDescent="0.35">
      <c r="J42" s="100"/>
      <c r="L42" s="28"/>
    </row>
    <row r="43" spans="1:18" s="34" customFormat="1" x14ac:dyDescent="0.35">
      <c r="A43" s="84">
        <v>6</v>
      </c>
      <c r="B43" s="524">
        <f>'Schedule 3 Adjustments'!B42:C42</f>
        <v>0</v>
      </c>
      <c r="C43" s="525"/>
      <c r="D43" s="365">
        <f>'Schedule 3 Adjustments'!D42</f>
        <v>0</v>
      </c>
      <c r="E43" s="365">
        <f>'Schedule 3 Adjustments'!E42</f>
        <v>0</v>
      </c>
      <c r="F43" s="370">
        <f>'Schedule 3 Adjustments'!F42</f>
        <v>0</v>
      </c>
      <c r="G43" s="373">
        <f>'Schedule 3 Adjustments'!G42</f>
        <v>0</v>
      </c>
      <c r="H43" s="373">
        <f>'Schedule 3 Adjustments'!H42</f>
        <v>0</v>
      </c>
      <c r="I43" s="139" t="str">
        <f>IF(B43=0,"",IF(AND(G43=0,H43=0),365,IF(AND(G43&gt;0,H43=0),$C$7-G43+1,IF(AND(G43=0,H43&gt;0),H43-($C$7-365),H43-G43+1))))</f>
        <v/>
      </c>
      <c r="J43" s="98"/>
      <c r="K43" s="8">
        <f>SUM(K44:K46)</f>
        <v>0</v>
      </c>
      <c r="L43" s="91" t="str">
        <f>IF(K43&gt;0,K43/(F43*I43),"")</f>
        <v/>
      </c>
      <c r="M43" s="126">
        <f>'Schedule 3 Adjustments'!R42</f>
        <v>0</v>
      </c>
      <c r="N43" s="85" t="str">
        <f>IFERROR(M43/K43,"")</f>
        <v/>
      </c>
      <c r="O43" s="126">
        <f>'Schedule 3 Adjustments'!W42</f>
        <v>0</v>
      </c>
      <c r="P43" s="85" t="str">
        <f>IFERROR(O43/K43,"")</f>
        <v/>
      </c>
      <c r="Q43" s="86" t="str">
        <f>IF(M43=0,"",M43-O43)</f>
        <v/>
      </c>
      <c r="R43" s="85" t="str">
        <f>IFERROR(Q43/K43,"")</f>
        <v/>
      </c>
    </row>
    <row r="44" spans="1:18" x14ac:dyDescent="0.35">
      <c r="A44" s="101" t="s">
        <v>447</v>
      </c>
      <c r="B44" s="87"/>
      <c r="C44" s="87"/>
      <c r="D44" s="87"/>
      <c r="E44" s="87"/>
      <c r="F44" s="132"/>
      <c r="G44" s="135"/>
      <c r="H44" s="135"/>
      <c r="I44" s="104"/>
      <c r="J44" s="369">
        <f>'Schedule 3 Adjustments'!J43</f>
        <v>0</v>
      </c>
      <c r="K44" s="221">
        <f>'Schedule 3 Adjustments'!M43</f>
        <v>0</v>
      </c>
      <c r="L44" s="89"/>
      <c r="M44" s="87"/>
      <c r="N44" s="87"/>
      <c r="O44" s="87"/>
      <c r="P44" s="87"/>
      <c r="Q44" s="87"/>
      <c r="R44" s="87"/>
    </row>
    <row r="45" spans="1:18" x14ac:dyDescent="0.35">
      <c r="A45" s="102" t="s">
        <v>448</v>
      </c>
      <c r="B45" s="88"/>
      <c r="C45" s="88"/>
      <c r="D45" s="88"/>
      <c r="E45" s="88"/>
      <c r="F45" s="133"/>
      <c r="G45" s="136"/>
      <c r="H45" s="136"/>
      <c r="I45" s="105"/>
      <c r="J45" s="371">
        <f>'Schedule 3 Adjustments'!J44</f>
        <v>0</v>
      </c>
      <c r="K45" s="228">
        <f>'Schedule 3 Adjustments'!M44</f>
        <v>0</v>
      </c>
      <c r="L45" s="90"/>
      <c r="M45" s="88"/>
      <c r="N45" s="88"/>
      <c r="O45" s="88"/>
      <c r="P45" s="88"/>
      <c r="Q45" s="88"/>
      <c r="R45" s="88"/>
    </row>
    <row r="46" spans="1:18" x14ac:dyDescent="0.35">
      <c r="A46" s="103" t="s">
        <v>449</v>
      </c>
      <c r="B46" s="88"/>
      <c r="C46" s="88"/>
      <c r="D46" s="88"/>
      <c r="E46" s="88"/>
      <c r="F46" s="133"/>
      <c r="G46" s="136"/>
      <c r="H46" s="136"/>
      <c r="I46" s="105"/>
      <c r="J46" s="372">
        <f>'Schedule 3 Adjustments'!J45</f>
        <v>0</v>
      </c>
      <c r="K46" s="231">
        <f>'Schedule 3 Adjustments'!M45</f>
        <v>0</v>
      </c>
      <c r="L46" s="90"/>
      <c r="M46" s="88"/>
      <c r="N46" s="88"/>
      <c r="O46" s="88"/>
      <c r="P46" s="88"/>
      <c r="Q46" s="88"/>
      <c r="R46" s="88"/>
    </row>
    <row r="47" spans="1:18" x14ac:dyDescent="0.35">
      <c r="J47" s="100"/>
      <c r="L47" s="28"/>
    </row>
    <row r="48" spans="1:18" s="34" customFormat="1" x14ac:dyDescent="0.35">
      <c r="A48" s="84">
        <v>7</v>
      </c>
      <c r="B48" s="524">
        <f>'Schedule 3 Adjustments'!B47:C47</f>
        <v>0</v>
      </c>
      <c r="C48" s="525"/>
      <c r="D48" s="365">
        <f>'Schedule 3 Adjustments'!D47</f>
        <v>0</v>
      </c>
      <c r="E48" s="365">
        <f>'Schedule 3 Adjustments'!E47</f>
        <v>0</v>
      </c>
      <c r="F48" s="370">
        <f>'Schedule 3 Adjustments'!F47</f>
        <v>0</v>
      </c>
      <c r="G48" s="373">
        <f>'Schedule 3 Adjustments'!G47</f>
        <v>0</v>
      </c>
      <c r="H48" s="373">
        <f>'Schedule 3 Adjustments'!H47</f>
        <v>0</v>
      </c>
      <c r="I48" s="139" t="str">
        <f>IF(B48=0,"",IF(AND(G48=0,H48=0),365,IF(AND(G48&gt;0,H48=0),$C$7-G48+1,IF(AND(G48=0,H48&gt;0),H48-($C$7-365),H48-G48+1))))</f>
        <v/>
      </c>
      <c r="J48" s="98"/>
      <c r="K48" s="8">
        <f>SUM(K49:K51)</f>
        <v>0</v>
      </c>
      <c r="L48" s="91" t="str">
        <f>IF(K48&gt;0,K48/(F48*I48),"")</f>
        <v/>
      </c>
      <c r="M48" s="126">
        <f>'Schedule 3 Adjustments'!R47</f>
        <v>0</v>
      </c>
      <c r="N48" s="85" t="str">
        <f>IFERROR(M48/K48,"")</f>
        <v/>
      </c>
      <c r="O48" s="126">
        <f>'Schedule 3 Adjustments'!W47</f>
        <v>0</v>
      </c>
      <c r="P48" s="85" t="str">
        <f>IFERROR(O48/K48,"")</f>
        <v/>
      </c>
      <c r="Q48" s="86" t="str">
        <f>IF(M48=0,"",M48-O48)</f>
        <v/>
      </c>
      <c r="R48" s="85" t="str">
        <f>IFERROR(Q48/K48,"")</f>
        <v/>
      </c>
    </row>
    <row r="49" spans="1:18" x14ac:dyDescent="0.35">
      <c r="A49" s="101" t="s">
        <v>447</v>
      </c>
      <c r="B49" s="87"/>
      <c r="C49" s="87"/>
      <c r="D49" s="87"/>
      <c r="E49" s="87"/>
      <c r="F49" s="132"/>
      <c r="G49" s="135"/>
      <c r="H49" s="135"/>
      <c r="I49" s="104"/>
      <c r="J49" s="369">
        <f>'Schedule 3 Adjustments'!J48</f>
        <v>0</v>
      </c>
      <c r="K49" s="221">
        <f>'Schedule 3 Adjustments'!M48</f>
        <v>0</v>
      </c>
      <c r="L49" s="89"/>
      <c r="M49" s="87"/>
      <c r="N49" s="87"/>
      <c r="O49" s="87"/>
      <c r="P49" s="87"/>
      <c r="Q49" s="87"/>
      <c r="R49" s="87"/>
    </row>
    <row r="50" spans="1:18" x14ac:dyDescent="0.35">
      <c r="A50" s="102" t="s">
        <v>448</v>
      </c>
      <c r="B50" s="88"/>
      <c r="C50" s="88"/>
      <c r="D50" s="88"/>
      <c r="E50" s="88"/>
      <c r="F50" s="133"/>
      <c r="G50" s="136"/>
      <c r="H50" s="136"/>
      <c r="I50" s="105"/>
      <c r="J50" s="371">
        <f>'Schedule 3 Adjustments'!J49</f>
        <v>0</v>
      </c>
      <c r="K50" s="228">
        <f>'Schedule 3 Adjustments'!M49</f>
        <v>0</v>
      </c>
      <c r="L50" s="90"/>
      <c r="M50" s="88"/>
      <c r="N50" s="88"/>
      <c r="O50" s="88"/>
      <c r="P50" s="88"/>
      <c r="Q50" s="88"/>
      <c r="R50" s="88"/>
    </row>
    <row r="51" spans="1:18" x14ac:dyDescent="0.35">
      <c r="A51" s="103" t="s">
        <v>449</v>
      </c>
      <c r="B51" s="88"/>
      <c r="C51" s="88"/>
      <c r="D51" s="88"/>
      <c r="E51" s="88"/>
      <c r="F51" s="133"/>
      <c r="G51" s="136"/>
      <c r="H51" s="136"/>
      <c r="I51" s="105"/>
      <c r="J51" s="372">
        <f>'Schedule 3 Adjustments'!J50</f>
        <v>0</v>
      </c>
      <c r="K51" s="231">
        <f>'Schedule 3 Adjustments'!M50</f>
        <v>0</v>
      </c>
      <c r="L51" s="90"/>
      <c r="M51" s="88"/>
      <c r="N51" s="88"/>
      <c r="O51" s="88"/>
      <c r="P51" s="88"/>
      <c r="Q51" s="88"/>
      <c r="R51" s="88"/>
    </row>
    <row r="52" spans="1:18" x14ac:dyDescent="0.35">
      <c r="J52" s="100"/>
      <c r="L52" s="28"/>
    </row>
    <row r="53" spans="1:18" s="34" customFormat="1" x14ac:dyDescent="0.35">
      <c r="A53" s="84">
        <v>8</v>
      </c>
      <c r="B53" s="524">
        <f>'Schedule 3 Adjustments'!B52:C52</f>
        <v>0</v>
      </c>
      <c r="C53" s="525"/>
      <c r="D53" s="365">
        <f>'Schedule 3 Adjustments'!D52</f>
        <v>0</v>
      </c>
      <c r="E53" s="365">
        <f>'Schedule 3 Adjustments'!E52</f>
        <v>0</v>
      </c>
      <c r="F53" s="370">
        <f>'Schedule 3 Adjustments'!F52</f>
        <v>0</v>
      </c>
      <c r="G53" s="373">
        <f>'Schedule 3 Adjustments'!G52</f>
        <v>0</v>
      </c>
      <c r="H53" s="373">
        <f>'Schedule 3 Adjustments'!H52</f>
        <v>0</v>
      </c>
      <c r="I53" s="139" t="str">
        <f>IF(B53=0,"",IF(AND(G53=0,H53=0),365,IF(AND(G53&gt;0,H53=0),$C$7-G53+1,IF(AND(G53=0,H53&gt;0),H53-($C$7-365),H53-G53+1))))</f>
        <v/>
      </c>
      <c r="J53" s="98"/>
      <c r="K53" s="8">
        <f>SUM(K54:K56)</f>
        <v>0</v>
      </c>
      <c r="L53" s="91" t="str">
        <f>IF(K53&gt;0,K53/(F53*I53),"")</f>
        <v/>
      </c>
      <c r="M53" s="126">
        <f>'Schedule 3 Adjustments'!R52</f>
        <v>0</v>
      </c>
      <c r="N53" s="85" t="str">
        <f>IFERROR(M53/K53,"")</f>
        <v/>
      </c>
      <c r="O53" s="126">
        <f>'Schedule 3 Adjustments'!W52</f>
        <v>0</v>
      </c>
      <c r="P53" s="85" t="str">
        <f>IFERROR(O53/K53,"")</f>
        <v/>
      </c>
      <c r="Q53" s="86" t="str">
        <f>IF(M53=0,"",M53-O53)</f>
        <v/>
      </c>
      <c r="R53" s="85" t="str">
        <f>IFERROR(Q53/K53,"")</f>
        <v/>
      </c>
    </row>
    <row r="54" spans="1:18" x14ac:dyDescent="0.35">
      <c r="A54" s="101" t="s">
        <v>447</v>
      </c>
      <c r="B54" s="87"/>
      <c r="C54" s="87"/>
      <c r="D54" s="87"/>
      <c r="E54" s="87"/>
      <c r="F54" s="132"/>
      <c r="G54" s="135"/>
      <c r="H54" s="135"/>
      <c r="I54" s="104"/>
      <c r="J54" s="369">
        <f>'Schedule 3 Adjustments'!J53</f>
        <v>0</v>
      </c>
      <c r="K54" s="221">
        <f>'Schedule 3 Adjustments'!M53</f>
        <v>0</v>
      </c>
      <c r="L54" s="89"/>
      <c r="M54" s="87"/>
      <c r="N54" s="87"/>
      <c r="O54" s="87"/>
      <c r="P54" s="87"/>
      <c r="Q54" s="87"/>
      <c r="R54" s="87"/>
    </row>
    <row r="55" spans="1:18" x14ac:dyDescent="0.35">
      <c r="A55" s="102" t="s">
        <v>448</v>
      </c>
      <c r="B55" s="88"/>
      <c r="C55" s="88"/>
      <c r="D55" s="88"/>
      <c r="E55" s="88"/>
      <c r="F55" s="133"/>
      <c r="G55" s="136"/>
      <c r="H55" s="136"/>
      <c r="I55" s="105"/>
      <c r="J55" s="371">
        <f>'Schedule 3 Adjustments'!J54</f>
        <v>0</v>
      </c>
      <c r="K55" s="228">
        <f>'Schedule 3 Adjustments'!M54</f>
        <v>0</v>
      </c>
      <c r="L55" s="90"/>
      <c r="M55" s="88"/>
      <c r="N55" s="88"/>
      <c r="O55" s="88"/>
      <c r="P55" s="88"/>
      <c r="Q55" s="88"/>
      <c r="R55" s="88"/>
    </row>
    <row r="56" spans="1:18" x14ac:dyDescent="0.35">
      <c r="A56" s="103" t="s">
        <v>449</v>
      </c>
      <c r="B56" s="88"/>
      <c r="C56" s="88"/>
      <c r="D56" s="88"/>
      <c r="E56" s="88"/>
      <c r="F56" s="133"/>
      <c r="G56" s="136"/>
      <c r="H56" s="136"/>
      <c r="I56" s="105"/>
      <c r="J56" s="372">
        <f>'Schedule 3 Adjustments'!J55</f>
        <v>0</v>
      </c>
      <c r="K56" s="231">
        <f>'Schedule 3 Adjustments'!M55</f>
        <v>0</v>
      </c>
      <c r="L56" s="90"/>
      <c r="M56" s="88"/>
      <c r="N56" s="88"/>
      <c r="O56" s="88"/>
      <c r="P56" s="88"/>
      <c r="Q56" s="88"/>
      <c r="R56" s="88"/>
    </row>
    <row r="57" spans="1:18" x14ac:dyDescent="0.35">
      <c r="J57" s="100"/>
      <c r="L57" s="28"/>
    </row>
    <row r="58" spans="1:18" s="34" customFormat="1" x14ac:dyDescent="0.35">
      <c r="A58" s="84">
        <v>9</v>
      </c>
      <c r="B58" s="524">
        <f>'Schedule 3 Adjustments'!B57:C57</f>
        <v>0</v>
      </c>
      <c r="C58" s="525"/>
      <c r="D58" s="365">
        <f>'Schedule 3 Adjustments'!D57</f>
        <v>0</v>
      </c>
      <c r="E58" s="365">
        <f>'Schedule 3 Adjustments'!E57</f>
        <v>0</v>
      </c>
      <c r="F58" s="370">
        <f>'Schedule 3 Adjustments'!F57</f>
        <v>0</v>
      </c>
      <c r="G58" s="373">
        <f>'Schedule 3 Adjustments'!G57</f>
        <v>0</v>
      </c>
      <c r="H58" s="373">
        <f>'Schedule 3 Adjustments'!H57</f>
        <v>0</v>
      </c>
      <c r="I58" s="139" t="str">
        <f>IF(B58=0,"",IF(AND(G58=0,H58=0),365,IF(AND(G58&gt;0,H58=0),$C$7-G58+1,IF(AND(G58=0,H58&gt;0),H58-($C$7-365),H58-G58+1))))</f>
        <v/>
      </c>
      <c r="J58" s="98"/>
      <c r="K58" s="8">
        <f>SUM(K59:K61)</f>
        <v>0</v>
      </c>
      <c r="L58" s="91" t="str">
        <f>IF(K58&gt;0,K58/(F58*I58),"")</f>
        <v/>
      </c>
      <c r="M58" s="126">
        <f>'Schedule 3 Adjustments'!R57</f>
        <v>0</v>
      </c>
      <c r="N58" s="85" t="str">
        <f>IFERROR(M58/K58,"")</f>
        <v/>
      </c>
      <c r="O58" s="126">
        <f>'Schedule 3 Adjustments'!W57</f>
        <v>0</v>
      </c>
      <c r="P58" s="85" t="str">
        <f>IFERROR(O58/K58,"")</f>
        <v/>
      </c>
      <c r="Q58" s="86" t="str">
        <f>IF(M58=0,"",M58-O58)</f>
        <v/>
      </c>
      <c r="R58" s="85" t="str">
        <f>IFERROR(Q58/K58,"")</f>
        <v/>
      </c>
    </row>
    <row r="59" spans="1:18" x14ac:dyDescent="0.35">
      <c r="A59" s="101" t="s">
        <v>447</v>
      </c>
      <c r="B59" s="87"/>
      <c r="C59" s="87"/>
      <c r="D59" s="87"/>
      <c r="E59" s="87"/>
      <c r="F59" s="132"/>
      <c r="G59" s="135"/>
      <c r="H59" s="135"/>
      <c r="I59" s="104"/>
      <c r="J59" s="369">
        <f>'Schedule 3 Adjustments'!J58</f>
        <v>0</v>
      </c>
      <c r="K59" s="221">
        <f>'Schedule 3 Adjustments'!M58</f>
        <v>0</v>
      </c>
      <c r="L59" s="89"/>
      <c r="M59" s="87"/>
      <c r="N59" s="87"/>
      <c r="O59" s="87"/>
      <c r="P59" s="87"/>
      <c r="Q59" s="87"/>
      <c r="R59" s="87"/>
    </row>
    <row r="60" spans="1:18" x14ac:dyDescent="0.35">
      <c r="A60" s="102" t="s">
        <v>448</v>
      </c>
      <c r="B60" s="88"/>
      <c r="C60" s="88"/>
      <c r="D60" s="88"/>
      <c r="E60" s="88"/>
      <c r="F60" s="133"/>
      <c r="G60" s="136"/>
      <c r="H60" s="136"/>
      <c r="I60" s="105"/>
      <c r="J60" s="371">
        <f>'Schedule 3 Adjustments'!J59</f>
        <v>0</v>
      </c>
      <c r="K60" s="228">
        <f>'Schedule 3 Adjustments'!M59</f>
        <v>0</v>
      </c>
      <c r="L60" s="90"/>
      <c r="M60" s="88"/>
      <c r="N60" s="88"/>
      <c r="O60" s="88"/>
      <c r="P60" s="88"/>
      <c r="Q60" s="88"/>
      <c r="R60" s="88"/>
    </row>
    <row r="61" spans="1:18" x14ac:dyDescent="0.35">
      <c r="A61" s="103" t="s">
        <v>449</v>
      </c>
      <c r="B61" s="88"/>
      <c r="C61" s="88"/>
      <c r="D61" s="88"/>
      <c r="E61" s="88"/>
      <c r="F61" s="133"/>
      <c r="G61" s="136"/>
      <c r="H61" s="136"/>
      <c r="I61" s="105"/>
      <c r="J61" s="372">
        <f>'Schedule 3 Adjustments'!J60</f>
        <v>0</v>
      </c>
      <c r="K61" s="231">
        <f>'Schedule 3 Adjustments'!M60</f>
        <v>0</v>
      </c>
      <c r="L61" s="90"/>
      <c r="M61" s="88"/>
      <c r="N61" s="88"/>
      <c r="O61" s="88"/>
      <c r="P61" s="88"/>
      <c r="Q61" s="88"/>
      <c r="R61" s="88"/>
    </row>
    <row r="62" spans="1:18" x14ac:dyDescent="0.35">
      <c r="J62" s="100"/>
      <c r="L62" s="28"/>
    </row>
    <row r="63" spans="1:18" s="34" customFormat="1" x14ac:dyDescent="0.35">
      <c r="A63" s="84">
        <v>10</v>
      </c>
      <c r="B63" s="524">
        <f>'Schedule 3 Adjustments'!B62:C62</f>
        <v>0</v>
      </c>
      <c r="C63" s="525"/>
      <c r="D63" s="365">
        <f>'Schedule 3 Adjustments'!D62</f>
        <v>0</v>
      </c>
      <c r="E63" s="365">
        <f>'Schedule 3 Adjustments'!E62</f>
        <v>0</v>
      </c>
      <c r="F63" s="370">
        <f>'Schedule 3 Adjustments'!F62</f>
        <v>0</v>
      </c>
      <c r="G63" s="373">
        <f>'Schedule 3 Adjustments'!G62</f>
        <v>0</v>
      </c>
      <c r="H63" s="373">
        <f>'Schedule 3 Adjustments'!H62</f>
        <v>0</v>
      </c>
      <c r="I63" s="139" t="str">
        <f>IF(B63=0,"",IF(AND(G63=0,H63=0),365,IF(AND(G63&gt;0,H63=0),$C$7-G63+1,IF(AND(G63=0,H63&gt;0),H63-($C$7-365),H63-G63+1))))</f>
        <v/>
      </c>
      <c r="J63" s="98"/>
      <c r="K63" s="8">
        <f>SUM(K64:K66)</f>
        <v>0</v>
      </c>
      <c r="L63" s="91" t="str">
        <f>IF(K63&gt;0,K63/(F63*I63),"")</f>
        <v/>
      </c>
      <c r="M63" s="126">
        <f>'Schedule 3 Adjustments'!R62</f>
        <v>0</v>
      </c>
      <c r="N63" s="85" t="str">
        <f>IFERROR(M63/K63,"")</f>
        <v/>
      </c>
      <c r="O63" s="126">
        <f>'Schedule 3 Adjustments'!W62</f>
        <v>0</v>
      </c>
      <c r="P63" s="85" t="str">
        <f>IFERROR(O63/K63,"")</f>
        <v/>
      </c>
      <c r="Q63" s="86" t="str">
        <f>IF(M63=0,"",M63-O63)</f>
        <v/>
      </c>
      <c r="R63" s="85" t="str">
        <f>IFERROR(Q63/K63,"")</f>
        <v/>
      </c>
    </row>
    <row r="64" spans="1:18" x14ac:dyDescent="0.35">
      <c r="A64" s="101" t="s">
        <v>447</v>
      </c>
      <c r="B64" s="87"/>
      <c r="C64" s="87"/>
      <c r="D64" s="87"/>
      <c r="E64" s="87"/>
      <c r="F64" s="132"/>
      <c r="G64" s="135"/>
      <c r="H64" s="135"/>
      <c r="I64" s="104"/>
      <c r="J64" s="369">
        <f>'Schedule 3 Adjustments'!J63</f>
        <v>0</v>
      </c>
      <c r="K64" s="221">
        <f>'Schedule 3 Adjustments'!M63</f>
        <v>0</v>
      </c>
      <c r="L64" s="89"/>
      <c r="M64" s="87"/>
      <c r="N64" s="87"/>
      <c r="O64" s="87"/>
      <c r="P64" s="87"/>
      <c r="Q64" s="87"/>
      <c r="R64" s="87"/>
    </row>
    <row r="65" spans="1:18" x14ac:dyDescent="0.35">
      <c r="A65" s="102" t="s">
        <v>448</v>
      </c>
      <c r="B65" s="88"/>
      <c r="C65" s="88"/>
      <c r="D65" s="88"/>
      <c r="E65" s="88"/>
      <c r="F65" s="133"/>
      <c r="G65" s="136"/>
      <c r="H65" s="136"/>
      <c r="I65" s="105"/>
      <c r="J65" s="371">
        <f>'Schedule 3 Adjustments'!J64</f>
        <v>0</v>
      </c>
      <c r="K65" s="228">
        <f>'Schedule 3 Adjustments'!M64</f>
        <v>0</v>
      </c>
      <c r="L65" s="90"/>
      <c r="M65" s="88"/>
      <c r="N65" s="88"/>
      <c r="O65" s="88"/>
      <c r="P65" s="88"/>
      <c r="Q65" s="88"/>
      <c r="R65" s="88"/>
    </row>
    <row r="66" spans="1:18" x14ac:dyDescent="0.35">
      <c r="A66" s="103" t="s">
        <v>449</v>
      </c>
      <c r="B66" s="88"/>
      <c r="C66" s="88"/>
      <c r="D66" s="88"/>
      <c r="E66" s="88"/>
      <c r="F66" s="133"/>
      <c r="G66" s="136"/>
      <c r="H66" s="136"/>
      <c r="I66" s="105"/>
      <c r="J66" s="372">
        <f>'Schedule 3 Adjustments'!J65</f>
        <v>0</v>
      </c>
      <c r="K66" s="231">
        <f>'Schedule 3 Adjustments'!M65</f>
        <v>0</v>
      </c>
      <c r="L66" s="90"/>
      <c r="M66" s="88"/>
      <c r="N66" s="88"/>
      <c r="O66" s="88"/>
      <c r="P66" s="88"/>
      <c r="Q66" s="88"/>
      <c r="R66" s="88"/>
    </row>
    <row r="67" spans="1:18" x14ac:dyDescent="0.35">
      <c r="J67" s="100"/>
      <c r="L67" s="28"/>
    </row>
    <row r="68" spans="1:18" s="34" customFormat="1" x14ac:dyDescent="0.35">
      <c r="A68" s="84">
        <v>11</v>
      </c>
      <c r="B68" s="524">
        <f>'Schedule 3 Adjustments'!B67:C67</f>
        <v>0</v>
      </c>
      <c r="C68" s="525"/>
      <c r="D68" s="365">
        <f>'Schedule 3 Adjustments'!D67</f>
        <v>0</v>
      </c>
      <c r="E68" s="365">
        <f>'Schedule 3 Adjustments'!E67</f>
        <v>0</v>
      </c>
      <c r="F68" s="370">
        <f>'Schedule 3 Adjustments'!F67</f>
        <v>0</v>
      </c>
      <c r="G68" s="373">
        <f>'Schedule 3 Adjustments'!G67</f>
        <v>0</v>
      </c>
      <c r="H68" s="373">
        <f>'Schedule 3 Adjustments'!H67</f>
        <v>0</v>
      </c>
      <c r="I68" s="139" t="str">
        <f>IF(B68=0,"",IF(AND(G68=0,H68=0),365,IF(AND(G68&gt;0,H68=0),$C$7-G68+1,IF(AND(G68=0,H68&gt;0),H68-($C$7-365),H68-G68+1))))</f>
        <v/>
      </c>
      <c r="J68" s="98"/>
      <c r="K68" s="8">
        <f>SUM(K69:K71)</f>
        <v>0</v>
      </c>
      <c r="L68" s="91" t="str">
        <f>IF(K68&gt;0,K68/(F68*I68),"")</f>
        <v/>
      </c>
      <c r="M68" s="126">
        <f>'Schedule 3 Adjustments'!R67</f>
        <v>0</v>
      </c>
      <c r="N68" s="85" t="str">
        <f>IFERROR(M68/K68,"")</f>
        <v/>
      </c>
      <c r="O68" s="126">
        <f>'Schedule 3 Adjustments'!W67</f>
        <v>0</v>
      </c>
      <c r="P68" s="85" t="str">
        <f>IFERROR(O68/K68,"")</f>
        <v/>
      </c>
      <c r="Q68" s="86" t="str">
        <f>IF(M68=0,"",M68-O68)</f>
        <v/>
      </c>
      <c r="R68" s="85" t="str">
        <f>IFERROR(Q68/K68,"")</f>
        <v/>
      </c>
    </row>
    <row r="69" spans="1:18" x14ac:dyDescent="0.35">
      <c r="A69" s="101" t="s">
        <v>447</v>
      </c>
      <c r="B69" s="87"/>
      <c r="C69" s="87"/>
      <c r="D69" s="87"/>
      <c r="E69" s="87"/>
      <c r="F69" s="132"/>
      <c r="G69" s="135"/>
      <c r="H69" s="135"/>
      <c r="I69" s="104"/>
      <c r="J69" s="369">
        <f>'Schedule 3 Adjustments'!J68</f>
        <v>0</v>
      </c>
      <c r="K69" s="221">
        <f>'Schedule 3 Adjustments'!M68</f>
        <v>0</v>
      </c>
      <c r="L69" s="89"/>
      <c r="M69" s="87"/>
      <c r="N69" s="87"/>
      <c r="O69" s="87"/>
      <c r="P69" s="87"/>
      <c r="Q69" s="87"/>
      <c r="R69" s="87"/>
    </row>
    <row r="70" spans="1:18" x14ac:dyDescent="0.35">
      <c r="A70" s="102" t="s">
        <v>448</v>
      </c>
      <c r="B70" s="88"/>
      <c r="C70" s="88"/>
      <c r="D70" s="88"/>
      <c r="E70" s="88"/>
      <c r="F70" s="133"/>
      <c r="G70" s="136"/>
      <c r="H70" s="136"/>
      <c r="I70" s="105"/>
      <c r="J70" s="371">
        <f>'Schedule 3 Adjustments'!J69</f>
        <v>0</v>
      </c>
      <c r="K70" s="228">
        <f>'Schedule 3 Adjustments'!M69</f>
        <v>0</v>
      </c>
      <c r="L70" s="90"/>
      <c r="M70" s="88"/>
      <c r="N70" s="88"/>
      <c r="O70" s="88"/>
      <c r="P70" s="88"/>
      <c r="Q70" s="88"/>
      <c r="R70" s="88"/>
    </row>
    <row r="71" spans="1:18" x14ac:dyDescent="0.35">
      <c r="A71" s="103" t="s">
        <v>449</v>
      </c>
      <c r="B71" s="88"/>
      <c r="C71" s="88"/>
      <c r="D71" s="88"/>
      <c r="E71" s="88"/>
      <c r="F71" s="133"/>
      <c r="G71" s="136"/>
      <c r="H71" s="136"/>
      <c r="I71" s="105"/>
      <c r="J71" s="372">
        <f>'Schedule 3 Adjustments'!J70</f>
        <v>0</v>
      </c>
      <c r="K71" s="231">
        <f>'Schedule 3 Adjustments'!M70</f>
        <v>0</v>
      </c>
      <c r="L71" s="90"/>
      <c r="M71" s="88"/>
      <c r="N71" s="88"/>
      <c r="O71" s="88"/>
      <c r="P71" s="88"/>
      <c r="Q71" s="88"/>
      <c r="R71" s="88"/>
    </row>
    <row r="72" spans="1:18" x14ac:dyDescent="0.35">
      <c r="J72" s="100"/>
      <c r="L72" s="28"/>
    </row>
    <row r="73" spans="1:18" s="34" customFormat="1" x14ac:dyDescent="0.35">
      <c r="A73" s="84">
        <v>12</v>
      </c>
      <c r="B73" s="524">
        <f>'Schedule 3 Adjustments'!B72:C72</f>
        <v>0</v>
      </c>
      <c r="C73" s="525"/>
      <c r="D73" s="365">
        <f>'Schedule 3 Adjustments'!D72</f>
        <v>0</v>
      </c>
      <c r="E73" s="365">
        <f>'Schedule 3 Adjustments'!E72</f>
        <v>0</v>
      </c>
      <c r="F73" s="370">
        <f>'Schedule 3 Adjustments'!F72</f>
        <v>0</v>
      </c>
      <c r="G73" s="373">
        <f>'Schedule 3 Adjustments'!G72</f>
        <v>0</v>
      </c>
      <c r="H73" s="373">
        <f>'Schedule 3 Adjustments'!H72</f>
        <v>0</v>
      </c>
      <c r="I73" s="139" t="str">
        <f>IF(B73=0,"",IF(AND(G73=0,H73=0),365,IF(AND(G73&gt;0,H73=0),$C$7-G73+1,IF(AND(G73=0,H73&gt;0),H73-($C$7-365),H73-G73+1))))</f>
        <v/>
      </c>
      <c r="J73" s="98"/>
      <c r="K73" s="8">
        <f>SUM(K74:K76)</f>
        <v>0</v>
      </c>
      <c r="L73" s="91" t="str">
        <f>IF(K73&gt;0,K73/(F73*I73),"")</f>
        <v/>
      </c>
      <c r="M73" s="126">
        <f>'Schedule 3 Adjustments'!R72</f>
        <v>0</v>
      </c>
      <c r="N73" s="85" t="str">
        <f>IFERROR(M73/K73,"")</f>
        <v/>
      </c>
      <c r="O73" s="126">
        <f>'Schedule 3 Adjustments'!W72</f>
        <v>0</v>
      </c>
      <c r="P73" s="85" t="str">
        <f>IFERROR(O73/K73,"")</f>
        <v/>
      </c>
      <c r="Q73" s="86" t="str">
        <f>IF(M73=0,"",M73-O73)</f>
        <v/>
      </c>
      <c r="R73" s="85" t="str">
        <f>IFERROR(Q73/K73,"")</f>
        <v/>
      </c>
    </row>
    <row r="74" spans="1:18" x14ac:dyDescent="0.35">
      <c r="A74" s="101" t="s">
        <v>447</v>
      </c>
      <c r="B74" s="87"/>
      <c r="C74" s="87"/>
      <c r="D74" s="87"/>
      <c r="E74" s="87"/>
      <c r="F74" s="132"/>
      <c r="G74" s="135"/>
      <c r="H74" s="135"/>
      <c r="I74" s="104"/>
      <c r="J74" s="369">
        <f>'Schedule 3 Adjustments'!J73</f>
        <v>0</v>
      </c>
      <c r="K74" s="221">
        <f>'Schedule 3 Adjustments'!M73</f>
        <v>0</v>
      </c>
      <c r="L74" s="89"/>
      <c r="M74" s="87"/>
      <c r="N74" s="87"/>
      <c r="O74" s="87"/>
      <c r="P74" s="87"/>
      <c r="Q74" s="87"/>
      <c r="R74" s="87"/>
    </row>
    <row r="75" spans="1:18" x14ac:dyDescent="0.35">
      <c r="A75" s="102" t="s">
        <v>448</v>
      </c>
      <c r="B75" s="88"/>
      <c r="C75" s="88"/>
      <c r="D75" s="88"/>
      <c r="E75" s="88"/>
      <c r="F75" s="133"/>
      <c r="G75" s="136"/>
      <c r="H75" s="136"/>
      <c r="I75" s="105"/>
      <c r="J75" s="371">
        <f>'Schedule 3 Adjustments'!J74</f>
        <v>0</v>
      </c>
      <c r="K75" s="228">
        <f>'Schedule 3 Adjustments'!M74</f>
        <v>0</v>
      </c>
      <c r="L75" s="90"/>
      <c r="M75" s="88"/>
      <c r="N75" s="88"/>
      <c r="O75" s="88"/>
      <c r="P75" s="88"/>
      <c r="Q75" s="88"/>
      <c r="R75" s="88"/>
    </row>
    <row r="76" spans="1:18" x14ac:dyDescent="0.35">
      <c r="A76" s="103" t="s">
        <v>449</v>
      </c>
      <c r="B76" s="88"/>
      <c r="C76" s="88"/>
      <c r="D76" s="88"/>
      <c r="E76" s="88"/>
      <c r="F76" s="133"/>
      <c r="G76" s="136"/>
      <c r="H76" s="136"/>
      <c r="I76" s="105"/>
      <c r="J76" s="372">
        <f>'Schedule 3 Adjustments'!J75</f>
        <v>0</v>
      </c>
      <c r="K76" s="231">
        <f>'Schedule 3 Adjustments'!M75</f>
        <v>0</v>
      </c>
      <c r="L76" s="90"/>
      <c r="M76" s="88"/>
      <c r="N76" s="88"/>
      <c r="O76" s="88"/>
      <c r="P76" s="88"/>
      <c r="Q76" s="88"/>
      <c r="R76" s="88"/>
    </row>
    <row r="77" spans="1:18" x14ac:dyDescent="0.35">
      <c r="J77" s="100"/>
      <c r="L77" s="28"/>
    </row>
    <row r="78" spans="1:18" s="34" customFormat="1" x14ac:dyDescent="0.35">
      <c r="A78" s="84">
        <v>13</v>
      </c>
      <c r="B78" s="524">
        <f>'Schedule 3 Adjustments'!B77:C77</f>
        <v>0</v>
      </c>
      <c r="C78" s="525"/>
      <c r="D78" s="365">
        <f>'Schedule 3 Adjustments'!D77</f>
        <v>0</v>
      </c>
      <c r="E78" s="365">
        <f>'Schedule 3 Adjustments'!E77</f>
        <v>0</v>
      </c>
      <c r="F78" s="370">
        <f>'Schedule 3 Adjustments'!F77</f>
        <v>0</v>
      </c>
      <c r="G78" s="373">
        <f>'Schedule 3 Adjustments'!G77</f>
        <v>0</v>
      </c>
      <c r="H78" s="373">
        <f>'Schedule 3 Adjustments'!H77</f>
        <v>0</v>
      </c>
      <c r="I78" s="139" t="str">
        <f>IF(B78=0,"",IF(AND(G78=0,H78=0),365,IF(AND(G78&gt;0,H78=0),$C$7-G78+1,IF(AND(G78=0,H78&gt;0),H78-($C$7-365),H78-G78+1))))</f>
        <v/>
      </c>
      <c r="J78" s="98"/>
      <c r="K78" s="8">
        <f>SUM(K79:K81)</f>
        <v>0</v>
      </c>
      <c r="L78" s="91" t="str">
        <f>IF(K78&gt;0,K78/(F78*I78),"")</f>
        <v/>
      </c>
      <c r="M78" s="126">
        <f>'Schedule 3 Adjustments'!R77</f>
        <v>0</v>
      </c>
      <c r="N78" s="85" t="str">
        <f>IFERROR(M78/K78,"")</f>
        <v/>
      </c>
      <c r="O78" s="126">
        <f>'Schedule 3 Adjustments'!W77</f>
        <v>0</v>
      </c>
      <c r="P78" s="85" t="str">
        <f>IFERROR(O78/K78,"")</f>
        <v/>
      </c>
      <c r="Q78" s="86" t="str">
        <f>IF(M78=0,"",M78-O78)</f>
        <v/>
      </c>
      <c r="R78" s="85" t="str">
        <f>IFERROR(Q78/K78,"")</f>
        <v/>
      </c>
    </row>
    <row r="79" spans="1:18" x14ac:dyDescent="0.35">
      <c r="A79" s="101" t="s">
        <v>447</v>
      </c>
      <c r="B79" s="87"/>
      <c r="C79" s="87"/>
      <c r="D79" s="87"/>
      <c r="E79" s="87"/>
      <c r="F79" s="132"/>
      <c r="G79" s="135"/>
      <c r="H79" s="135"/>
      <c r="I79" s="104"/>
      <c r="J79" s="369">
        <f>'Schedule 3 Adjustments'!J78</f>
        <v>0</v>
      </c>
      <c r="K79" s="221">
        <f>'Schedule 3 Adjustments'!M78</f>
        <v>0</v>
      </c>
      <c r="L79" s="89"/>
      <c r="M79" s="87"/>
      <c r="N79" s="87"/>
      <c r="O79" s="87"/>
      <c r="P79" s="87"/>
      <c r="Q79" s="87"/>
      <c r="R79" s="87"/>
    </row>
    <row r="80" spans="1:18" x14ac:dyDescent="0.35">
      <c r="A80" s="102" t="s">
        <v>448</v>
      </c>
      <c r="B80" s="88"/>
      <c r="C80" s="88"/>
      <c r="D80" s="88"/>
      <c r="E80" s="88"/>
      <c r="F80" s="133"/>
      <c r="G80" s="136"/>
      <c r="H80" s="136"/>
      <c r="I80" s="105"/>
      <c r="J80" s="371">
        <f>'Schedule 3 Adjustments'!J79</f>
        <v>0</v>
      </c>
      <c r="K80" s="228">
        <f>'Schedule 3 Adjustments'!M79</f>
        <v>0</v>
      </c>
      <c r="L80" s="90"/>
      <c r="M80" s="88"/>
      <c r="N80" s="88"/>
      <c r="O80" s="88"/>
      <c r="P80" s="88"/>
      <c r="Q80" s="88"/>
      <c r="R80" s="88"/>
    </row>
    <row r="81" spans="1:18" x14ac:dyDescent="0.35">
      <c r="A81" s="103" t="s">
        <v>449</v>
      </c>
      <c r="B81" s="88"/>
      <c r="C81" s="88"/>
      <c r="D81" s="88"/>
      <c r="E81" s="88"/>
      <c r="F81" s="133"/>
      <c r="G81" s="136"/>
      <c r="H81" s="136"/>
      <c r="I81" s="105"/>
      <c r="J81" s="372">
        <f>'Schedule 3 Adjustments'!J80</f>
        <v>0</v>
      </c>
      <c r="K81" s="231">
        <f>'Schedule 3 Adjustments'!M80</f>
        <v>0</v>
      </c>
      <c r="L81" s="90"/>
      <c r="M81" s="88"/>
      <c r="N81" s="88"/>
      <c r="O81" s="88"/>
      <c r="P81" s="88"/>
      <c r="Q81" s="88"/>
      <c r="R81" s="88"/>
    </row>
    <row r="82" spans="1:18" x14ac:dyDescent="0.35">
      <c r="J82" s="100"/>
      <c r="L82" s="28"/>
    </row>
    <row r="83" spans="1:18" s="34" customFormat="1" x14ac:dyDescent="0.35">
      <c r="A83" s="84">
        <v>14</v>
      </c>
      <c r="B83" s="524">
        <f>'Schedule 3 Adjustments'!B82:C82</f>
        <v>0</v>
      </c>
      <c r="C83" s="525"/>
      <c r="D83" s="365">
        <f>'Schedule 3 Adjustments'!D82</f>
        <v>0</v>
      </c>
      <c r="E83" s="365">
        <f>'Schedule 3 Adjustments'!E82</f>
        <v>0</v>
      </c>
      <c r="F83" s="370">
        <f>'Schedule 3 Adjustments'!F82</f>
        <v>0</v>
      </c>
      <c r="G83" s="373">
        <f>'Schedule 3 Adjustments'!G82</f>
        <v>0</v>
      </c>
      <c r="H83" s="373">
        <f>'Schedule 3 Adjustments'!H82</f>
        <v>0</v>
      </c>
      <c r="I83" s="139" t="str">
        <f>IF(B83=0,"",IF(AND(G83=0,H83=0),365,IF(AND(G83&gt;0,H83=0),$C$7-G83+1,IF(AND(G83=0,H83&gt;0),H83-($C$7-365),H83-G83+1))))</f>
        <v/>
      </c>
      <c r="J83" s="98"/>
      <c r="K83" s="8">
        <f>SUM(K84:K86)</f>
        <v>0</v>
      </c>
      <c r="L83" s="91" t="str">
        <f>IF(K83&gt;0,K83/(F83*I83),"")</f>
        <v/>
      </c>
      <c r="M83" s="126">
        <f>'Schedule 3 Adjustments'!R82</f>
        <v>0</v>
      </c>
      <c r="N83" s="85" t="str">
        <f>IFERROR(M83/K83,"")</f>
        <v/>
      </c>
      <c r="O83" s="126">
        <f>'Schedule 3 Adjustments'!W82</f>
        <v>0</v>
      </c>
      <c r="P83" s="85" t="str">
        <f>IFERROR(O83/K83,"")</f>
        <v/>
      </c>
      <c r="Q83" s="86" t="str">
        <f>IF(M83=0,"",M83-O83)</f>
        <v/>
      </c>
      <c r="R83" s="85" t="str">
        <f>IFERROR(Q83/K83,"")</f>
        <v/>
      </c>
    </row>
    <row r="84" spans="1:18" x14ac:dyDescent="0.35">
      <c r="A84" s="101" t="s">
        <v>447</v>
      </c>
      <c r="B84" s="87"/>
      <c r="C84" s="87"/>
      <c r="D84" s="87"/>
      <c r="E84" s="87"/>
      <c r="F84" s="132"/>
      <c r="G84" s="135"/>
      <c r="H84" s="135"/>
      <c r="I84" s="104"/>
      <c r="J84" s="369">
        <f>'Schedule 3 Adjustments'!J83</f>
        <v>0</v>
      </c>
      <c r="K84" s="221">
        <f>'Schedule 3 Adjustments'!M83</f>
        <v>0</v>
      </c>
      <c r="L84" s="89"/>
      <c r="M84" s="87"/>
      <c r="N84" s="87"/>
      <c r="O84" s="87"/>
      <c r="P84" s="87"/>
      <c r="Q84" s="87"/>
      <c r="R84" s="87"/>
    </row>
    <row r="85" spans="1:18" x14ac:dyDescent="0.35">
      <c r="A85" s="102" t="s">
        <v>448</v>
      </c>
      <c r="B85" s="88"/>
      <c r="C85" s="88"/>
      <c r="D85" s="88"/>
      <c r="E85" s="88"/>
      <c r="F85" s="133"/>
      <c r="G85" s="136"/>
      <c r="H85" s="136"/>
      <c r="I85" s="105"/>
      <c r="J85" s="371">
        <f>'Schedule 3 Adjustments'!J84</f>
        <v>0</v>
      </c>
      <c r="K85" s="228">
        <f>'Schedule 3 Adjustments'!M84</f>
        <v>0</v>
      </c>
      <c r="L85" s="90"/>
      <c r="M85" s="88"/>
      <c r="N85" s="88"/>
      <c r="O85" s="88"/>
      <c r="P85" s="88"/>
      <c r="Q85" s="88"/>
      <c r="R85" s="88"/>
    </row>
    <row r="86" spans="1:18" x14ac:dyDescent="0.35">
      <c r="A86" s="103" t="s">
        <v>449</v>
      </c>
      <c r="B86" s="88"/>
      <c r="C86" s="88"/>
      <c r="D86" s="88"/>
      <c r="E86" s="88"/>
      <c r="F86" s="133"/>
      <c r="G86" s="136"/>
      <c r="H86" s="136"/>
      <c r="I86" s="105"/>
      <c r="J86" s="372">
        <f>'Schedule 3 Adjustments'!J85</f>
        <v>0</v>
      </c>
      <c r="K86" s="231">
        <f>'Schedule 3 Adjustments'!M85</f>
        <v>0</v>
      </c>
      <c r="L86" s="90"/>
      <c r="M86" s="88"/>
      <c r="N86" s="88"/>
      <c r="O86" s="88"/>
      <c r="P86" s="88"/>
      <c r="Q86" s="88"/>
      <c r="R86" s="88"/>
    </row>
    <row r="87" spans="1:18" x14ac:dyDescent="0.35">
      <c r="J87" s="100"/>
      <c r="L87" s="28"/>
    </row>
    <row r="88" spans="1:18" s="34" customFormat="1" x14ac:dyDescent="0.35">
      <c r="A88" s="84">
        <v>15</v>
      </c>
      <c r="B88" s="524">
        <f>'Schedule 3 Adjustments'!B87:C87</f>
        <v>0</v>
      </c>
      <c r="C88" s="525"/>
      <c r="D88" s="365">
        <f>'Schedule 3 Adjustments'!D87</f>
        <v>0</v>
      </c>
      <c r="E88" s="365">
        <f>'Schedule 3 Adjustments'!E87</f>
        <v>0</v>
      </c>
      <c r="F88" s="370">
        <f>'Schedule 3 Adjustments'!F87</f>
        <v>0</v>
      </c>
      <c r="G88" s="373">
        <f>'Schedule 3 Adjustments'!G87</f>
        <v>0</v>
      </c>
      <c r="H88" s="373">
        <f>'Schedule 3 Adjustments'!H87</f>
        <v>0</v>
      </c>
      <c r="I88" s="139" t="str">
        <f>IF(B88=0,"",IF(AND(G88=0,H88=0),365,IF(AND(G88&gt;0,H88=0),$C$7-G88+1,IF(AND(G88=0,H88&gt;0),H88-($C$7-365),H88-G88+1))))</f>
        <v/>
      </c>
      <c r="J88" s="98"/>
      <c r="K88" s="8">
        <f>SUM(K89:K91)</f>
        <v>0</v>
      </c>
      <c r="L88" s="91" t="str">
        <f>IF(K88&gt;0,K88/(F88*I88),"")</f>
        <v/>
      </c>
      <c r="M88" s="126">
        <f>'Schedule 3 Adjustments'!R87</f>
        <v>0</v>
      </c>
      <c r="N88" s="85" t="str">
        <f>IFERROR(M88/K88,"")</f>
        <v/>
      </c>
      <c r="O88" s="126">
        <f>'Schedule 3 Adjustments'!W87</f>
        <v>0</v>
      </c>
      <c r="P88" s="85" t="str">
        <f>IFERROR(O88/K88,"")</f>
        <v/>
      </c>
      <c r="Q88" s="86" t="str">
        <f>IF(M88=0,"",M88-O88)</f>
        <v/>
      </c>
      <c r="R88" s="85" t="str">
        <f>IFERROR(Q88/K88,"")</f>
        <v/>
      </c>
    </row>
    <row r="89" spans="1:18" x14ac:dyDescent="0.35">
      <c r="A89" s="101" t="s">
        <v>447</v>
      </c>
      <c r="B89" s="87"/>
      <c r="C89" s="87"/>
      <c r="D89" s="87"/>
      <c r="E89" s="87"/>
      <c r="F89" s="132"/>
      <c r="G89" s="135"/>
      <c r="H89" s="135"/>
      <c r="I89" s="104"/>
      <c r="J89" s="369">
        <f>'Schedule 3 Adjustments'!J88</f>
        <v>0</v>
      </c>
      <c r="K89" s="221">
        <f>'Schedule 3 Adjustments'!M88</f>
        <v>0</v>
      </c>
      <c r="L89" s="89"/>
      <c r="M89" s="87"/>
      <c r="N89" s="87"/>
      <c r="O89" s="87"/>
      <c r="P89" s="87"/>
      <c r="Q89" s="87"/>
      <c r="R89" s="87"/>
    </row>
    <row r="90" spans="1:18" x14ac:dyDescent="0.35">
      <c r="A90" s="102" t="s">
        <v>448</v>
      </c>
      <c r="B90" s="88"/>
      <c r="C90" s="88"/>
      <c r="D90" s="88"/>
      <c r="E90" s="88"/>
      <c r="F90" s="133"/>
      <c r="G90" s="136"/>
      <c r="H90" s="136"/>
      <c r="I90" s="105"/>
      <c r="J90" s="371">
        <f>'Schedule 3 Adjustments'!J89</f>
        <v>0</v>
      </c>
      <c r="K90" s="228">
        <f>'Schedule 3 Adjustments'!M89</f>
        <v>0</v>
      </c>
      <c r="L90" s="90"/>
      <c r="M90" s="88"/>
      <c r="N90" s="88"/>
      <c r="O90" s="88"/>
      <c r="P90" s="88"/>
      <c r="Q90" s="88"/>
      <c r="R90" s="88"/>
    </row>
    <row r="91" spans="1:18" x14ac:dyDescent="0.35">
      <c r="A91" s="103" t="s">
        <v>449</v>
      </c>
      <c r="B91" s="88"/>
      <c r="C91" s="88"/>
      <c r="D91" s="88"/>
      <c r="E91" s="88"/>
      <c r="F91" s="133"/>
      <c r="G91" s="136"/>
      <c r="H91" s="136"/>
      <c r="I91" s="105"/>
      <c r="J91" s="372">
        <f>'Schedule 3 Adjustments'!J90</f>
        <v>0</v>
      </c>
      <c r="K91" s="231">
        <f>'Schedule 3 Adjustments'!M90</f>
        <v>0</v>
      </c>
      <c r="L91" s="90"/>
      <c r="M91" s="88"/>
      <c r="N91" s="88"/>
      <c r="O91" s="88"/>
      <c r="P91" s="88"/>
      <c r="Q91" s="88"/>
      <c r="R91" s="88"/>
    </row>
    <row r="92" spans="1:18" x14ac:dyDescent="0.35">
      <c r="J92" s="100"/>
      <c r="L92" s="28"/>
    </row>
    <row r="93" spans="1:18" s="34" customFormat="1" x14ac:dyDescent="0.35">
      <c r="A93" s="84">
        <v>16</v>
      </c>
      <c r="B93" s="524">
        <f>'Schedule 3 Adjustments'!B92:C92</f>
        <v>0</v>
      </c>
      <c r="C93" s="525"/>
      <c r="D93" s="365">
        <f>'Schedule 3 Adjustments'!D92</f>
        <v>0</v>
      </c>
      <c r="E93" s="365">
        <f>'Schedule 3 Adjustments'!E92</f>
        <v>0</v>
      </c>
      <c r="F93" s="370">
        <f>'Schedule 3 Adjustments'!F92</f>
        <v>0</v>
      </c>
      <c r="G93" s="373">
        <f>'Schedule 3 Adjustments'!G92</f>
        <v>0</v>
      </c>
      <c r="H93" s="373">
        <f>'Schedule 3 Adjustments'!H92</f>
        <v>0</v>
      </c>
      <c r="I93" s="139" t="str">
        <f>IF(B93=0,"",IF(AND(G93=0,H93=0),365,IF(AND(G93&gt;0,H93=0),$C$7-G93+1,IF(AND(G93=0,H93&gt;0),H93-($C$7-365),H93-G93+1))))</f>
        <v/>
      </c>
      <c r="J93" s="98"/>
      <c r="K93" s="8">
        <f>SUM(K94:K96)</f>
        <v>0</v>
      </c>
      <c r="L93" s="91" t="str">
        <f>IF(K93&gt;0,K93/(F93*I93),"")</f>
        <v/>
      </c>
      <c r="M93" s="126">
        <f>'Schedule 3 Adjustments'!R92</f>
        <v>0</v>
      </c>
      <c r="N93" s="85" t="str">
        <f>IFERROR(M93/K93,"")</f>
        <v/>
      </c>
      <c r="O93" s="126">
        <f>'Schedule 3 Adjustments'!W92</f>
        <v>0</v>
      </c>
      <c r="P93" s="85" t="str">
        <f>IFERROR(O93/K93,"")</f>
        <v/>
      </c>
      <c r="Q93" s="86" t="str">
        <f>IF(M93=0,"",M93-O93)</f>
        <v/>
      </c>
      <c r="R93" s="85" t="str">
        <f>IFERROR(Q93/K93,"")</f>
        <v/>
      </c>
    </row>
    <row r="94" spans="1:18" x14ac:dyDescent="0.35">
      <c r="A94" s="101" t="s">
        <v>447</v>
      </c>
      <c r="B94" s="87"/>
      <c r="C94" s="87"/>
      <c r="D94" s="87"/>
      <c r="E94" s="87"/>
      <c r="F94" s="132"/>
      <c r="G94" s="135"/>
      <c r="H94" s="135"/>
      <c r="I94" s="104"/>
      <c r="J94" s="369">
        <f>'Schedule 3 Adjustments'!J93</f>
        <v>0</v>
      </c>
      <c r="K94" s="221">
        <f>'Schedule 3 Adjustments'!M93</f>
        <v>0</v>
      </c>
      <c r="L94" s="89"/>
      <c r="M94" s="87"/>
      <c r="N94" s="87"/>
      <c r="O94" s="87"/>
      <c r="P94" s="87"/>
      <c r="Q94" s="87"/>
      <c r="R94" s="87"/>
    </row>
    <row r="95" spans="1:18" x14ac:dyDescent="0.35">
      <c r="A95" s="102" t="s">
        <v>448</v>
      </c>
      <c r="B95" s="88"/>
      <c r="C95" s="88"/>
      <c r="D95" s="88"/>
      <c r="E95" s="88"/>
      <c r="F95" s="133"/>
      <c r="G95" s="136"/>
      <c r="H95" s="136"/>
      <c r="I95" s="105"/>
      <c r="J95" s="371">
        <f>'Schedule 3 Adjustments'!J94</f>
        <v>0</v>
      </c>
      <c r="K95" s="228">
        <f>'Schedule 3 Adjustments'!M94</f>
        <v>0</v>
      </c>
      <c r="L95" s="90"/>
      <c r="M95" s="88"/>
      <c r="N95" s="88"/>
      <c r="O95" s="88"/>
      <c r="P95" s="88"/>
      <c r="Q95" s="88"/>
      <c r="R95" s="88"/>
    </row>
    <row r="96" spans="1:18" x14ac:dyDescent="0.35">
      <c r="A96" s="103" t="s">
        <v>449</v>
      </c>
      <c r="B96" s="88"/>
      <c r="C96" s="88"/>
      <c r="D96" s="88"/>
      <c r="E96" s="88"/>
      <c r="F96" s="133"/>
      <c r="G96" s="136"/>
      <c r="H96" s="136"/>
      <c r="I96" s="105"/>
      <c r="J96" s="372">
        <f>'Schedule 3 Adjustments'!J95</f>
        <v>0</v>
      </c>
      <c r="K96" s="231">
        <f>'Schedule 3 Adjustments'!M95</f>
        <v>0</v>
      </c>
      <c r="L96" s="90"/>
      <c r="M96" s="88"/>
      <c r="N96" s="88"/>
      <c r="O96" s="88"/>
      <c r="P96" s="88"/>
      <c r="Q96" s="88"/>
      <c r="R96" s="88"/>
    </row>
    <row r="97" spans="1:18" x14ac:dyDescent="0.35">
      <c r="J97" s="100"/>
      <c r="L97" s="28"/>
    </row>
    <row r="98" spans="1:18" s="34" customFormat="1" x14ac:dyDescent="0.35">
      <c r="A98" s="84">
        <v>17</v>
      </c>
      <c r="B98" s="524">
        <f>'Schedule 3 Adjustments'!B97:C97</f>
        <v>0</v>
      </c>
      <c r="C98" s="525"/>
      <c r="D98" s="365">
        <f>'Schedule 3 Adjustments'!D97</f>
        <v>0</v>
      </c>
      <c r="E98" s="365">
        <f>'Schedule 3 Adjustments'!E97</f>
        <v>0</v>
      </c>
      <c r="F98" s="370">
        <f>'Schedule 3 Adjustments'!F97</f>
        <v>0</v>
      </c>
      <c r="G98" s="373">
        <f>'Schedule 3 Adjustments'!G97</f>
        <v>0</v>
      </c>
      <c r="H98" s="373">
        <f>'Schedule 3 Adjustments'!H97</f>
        <v>0</v>
      </c>
      <c r="I98" s="139" t="str">
        <f>IF(B98=0,"",IF(AND(G98=0,H98=0),365,IF(AND(G98&gt;0,H98=0),$C$7-G98+1,IF(AND(G98=0,H98&gt;0),H98-($C$7-365),H98-G98+1))))</f>
        <v/>
      </c>
      <c r="J98" s="98"/>
      <c r="K98" s="8">
        <f>SUM(K99:K101)</f>
        <v>0</v>
      </c>
      <c r="L98" s="91" t="str">
        <f>IF(K98&gt;0,K98/(F98*I98),"")</f>
        <v/>
      </c>
      <c r="M98" s="126">
        <f>'Schedule 3 Adjustments'!R97</f>
        <v>0</v>
      </c>
      <c r="N98" s="85" t="str">
        <f>IFERROR(M98/K98,"")</f>
        <v/>
      </c>
      <c r="O98" s="126">
        <f>'Schedule 3 Adjustments'!W97</f>
        <v>0</v>
      </c>
      <c r="P98" s="85" t="str">
        <f>IFERROR(O98/K98,"")</f>
        <v/>
      </c>
      <c r="Q98" s="86" t="str">
        <f>IF(M98=0,"",M98-O98)</f>
        <v/>
      </c>
      <c r="R98" s="85" t="str">
        <f>IFERROR(Q98/K98,"")</f>
        <v/>
      </c>
    </row>
    <row r="99" spans="1:18" x14ac:dyDescent="0.35">
      <c r="A99" s="101" t="s">
        <v>447</v>
      </c>
      <c r="B99" s="87"/>
      <c r="C99" s="87"/>
      <c r="D99" s="87"/>
      <c r="E99" s="87"/>
      <c r="F99" s="132"/>
      <c r="G99" s="135"/>
      <c r="H99" s="135"/>
      <c r="I99" s="104"/>
      <c r="J99" s="369">
        <f>'Schedule 3 Adjustments'!J98</f>
        <v>0</v>
      </c>
      <c r="K99" s="221">
        <f>'Schedule 3 Adjustments'!M98</f>
        <v>0</v>
      </c>
      <c r="L99" s="89"/>
      <c r="M99" s="87"/>
      <c r="N99" s="87"/>
      <c r="O99" s="87"/>
      <c r="P99" s="87"/>
      <c r="Q99" s="87"/>
      <c r="R99" s="87"/>
    </row>
    <row r="100" spans="1:18" x14ac:dyDescent="0.35">
      <c r="A100" s="102" t="s">
        <v>448</v>
      </c>
      <c r="B100" s="88"/>
      <c r="C100" s="88"/>
      <c r="D100" s="88"/>
      <c r="E100" s="88"/>
      <c r="F100" s="133"/>
      <c r="G100" s="136"/>
      <c r="H100" s="136"/>
      <c r="I100" s="105"/>
      <c r="J100" s="371">
        <f>'Schedule 3 Adjustments'!J99</f>
        <v>0</v>
      </c>
      <c r="K100" s="228">
        <f>'Schedule 3 Adjustments'!M99</f>
        <v>0</v>
      </c>
      <c r="L100" s="90"/>
      <c r="M100" s="88"/>
      <c r="N100" s="88"/>
      <c r="O100" s="88"/>
      <c r="P100" s="88"/>
      <c r="Q100" s="88"/>
      <c r="R100" s="88"/>
    </row>
    <row r="101" spans="1:18" x14ac:dyDescent="0.35">
      <c r="A101" s="103" t="s">
        <v>449</v>
      </c>
      <c r="B101" s="88"/>
      <c r="C101" s="88"/>
      <c r="D101" s="88"/>
      <c r="E101" s="88"/>
      <c r="F101" s="133"/>
      <c r="G101" s="136"/>
      <c r="H101" s="136"/>
      <c r="I101" s="105"/>
      <c r="J101" s="372">
        <f>'Schedule 3 Adjustments'!J100</f>
        <v>0</v>
      </c>
      <c r="K101" s="231">
        <f>'Schedule 3 Adjustments'!M100</f>
        <v>0</v>
      </c>
      <c r="L101" s="90"/>
      <c r="M101" s="88"/>
      <c r="N101" s="88"/>
      <c r="O101" s="88"/>
      <c r="P101" s="88"/>
      <c r="Q101" s="88"/>
      <c r="R101" s="88"/>
    </row>
    <row r="102" spans="1:18" x14ac:dyDescent="0.35">
      <c r="J102" s="100"/>
      <c r="L102" s="28"/>
    </row>
    <row r="103" spans="1:18" s="34" customFormat="1" x14ac:dyDescent="0.35">
      <c r="A103" s="84">
        <v>18</v>
      </c>
      <c r="B103" s="524">
        <f>'Schedule 3 Adjustments'!B102:C102</f>
        <v>0</v>
      </c>
      <c r="C103" s="525"/>
      <c r="D103" s="365">
        <f>'Schedule 3 Adjustments'!D102</f>
        <v>0</v>
      </c>
      <c r="E103" s="365">
        <f>'Schedule 3 Adjustments'!E102</f>
        <v>0</v>
      </c>
      <c r="F103" s="370">
        <f>'Schedule 3 Adjustments'!F102</f>
        <v>0</v>
      </c>
      <c r="G103" s="373">
        <f>'Schedule 3 Adjustments'!G102</f>
        <v>0</v>
      </c>
      <c r="H103" s="373">
        <f>'Schedule 3 Adjustments'!H102</f>
        <v>0</v>
      </c>
      <c r="I103" s="139" t="str">
        <f>IF(B103=0,"",IF(AND(G103=0,H103=0),365,IF(AND(G103&gt;0,H103=0),$C$7-G103+1,IF(AND(G103=0,H103&gt;0),H103-($C$7-365),H103-G103+1))))</f>
        <v/>
      </c>
      <c r="J103" s="98"/>
      <c r="K103" s="8">
        <f>SUM(K104:K106)</f>
        <v>0</v>
      </c>
      <c r="L103" s="91" t="str">
        <f>IF(K103&gt;0,K103/(F103*I103),"")</f>
        <v/>
      </c>
      <c r="M103" s="126">
        <f>'Schedule 3 Adjustments'!R102</f>
        <v>0</v>
      </c>
      <c r="N103" s="85" t="str">
        <f>IFERROR(M103/K103,"")</f>
        <v/>
      </c>
      <c r="O103" s="126">
        <f>'Schedule 3 Adjustments'!W102</f>
        <v>0</v>
      </c>
      <c r="P103" s="85" t="str">
        <f>IFERROR(O103/K103,"")</f>
        <v/>
      </c>
      <c r="Q103" s="86" t="str">
        <f>IF(M103=0,"",M103-O103)</f>
        <v/>
      </c>
      <c r="R103" s="85" t="str">
        <f>IFERROR(Q103/K103,"")</f>
        <v/>
      </c>
    </row>
    <row r="104" spans="1:18" x14ac:dyDescent="0.35">
      <c r="A104" s="101" t="s">
        <v>447</v>
      </c>
      <c r="B104" s="87"/>
      <c r="C104" s="87"/>
      <c r="D104" s="87"/>
      <c r="E104" s="87"/>
      <c r="F104" s="132"/>
      <c r="G104" s="135"/>
      <c r="H104" s="135"/>
      <c r="I104" s="104"/>
      <c r="J104" s="369">
        <f>'Schedule 3 Adjustments'!J103</f>
        <v>0</v>
      </c>
      <c r="K104" s="221">
        <f>'Schedule 3 Adjustments'!M103</f>
        <v>0</v>
      </c>
      <c r="L104" s="89"/>
      <c r="M104" s="87"/>
      <c r="N104" s="87"/>
      <c r="O104" s="87"/>
      <c r="P104" s="87"/>
      <c r="Q104" s="87"/>
      <c r="R104" s="87"/>
    </row>
    <row r="105" spans="1:18" x14ac:dyDescent="0.35">
      <c r="A105" s="102" t="s">
        <v>448</v>
      </c>
      <c r="B105" s="88"/>
      <c r="C105" s="88"/>
      <c r="D105" s="88"/>
      <c r="E105" s="88"/>
      <c r="F105" s="133"/>
      <c r="G105" s="136"/>
      <c r="H105" s="136"/>
      <c r="I105" s="105"/>
      <c r="J105" s="371">
        <f>'Schedule 3 Adjustments'!J104</f>
        <v>0</v>
      </c>
      <c r="K105" s="228">
        <f>'Schedule 3 Adjustments'!M104</f>
        <v>0</v>
      </c>
      <c r="L105" s="90"/>
      <c r="M105" s="88"/>
      <c r="N105" s="88"/>
      <c r="O105" s="88"/>
      <c r="P105" s="88"/>
      <c r="Q105" s="88"/>
      <c r="R105" s="88"/>
    </row>
    <row r="106" spans="1:18" x14ac:dyDescent="0.35">
      <c r="A106" s="103" t="s">
        <v>449</v>
      </c>
      <c r="B106" s="88"/>
      <c r="C106" s="88"/>
      <c r="D106" s="88"/>
      <c r="E106" s="88"/>
      <c r="F106" s="133"/>
      <c r="G106" s="136"/>
      <c r="H106" s="136"/>
      <c r="I106" s="105"/>
      <c r="J106" s="372">
        <f>'Schedule 3 Adjustments'!J105</f>
        <v>0</v>
      </c>
      <c r="K106" s="231">
        <f>'Schedule 3 Adjustments'!M105</f>
        <v>0</v>
      </c>
      <c r="L106" s="90"/>
      <c r="M106" s="88"/>
      <c r="N106" s="88"/>
      <c r="O106" s="88"/>
      <c r="P106" s="88"/>
      <c r="Q106" s="88"/>
      <c r="R106" s="88"/>
    </row>
    <row r="107" spans="1:18" x14ac:dyDescent="0.35">
      <c r="J107" s="100"/>
      <c r="L107" s="28"/>
    </row>
    <row r="108" spans="1:18" s="34" customFormat="1" x14ac:dyDescent="0.35">
      <c r="A108" s="84">
        <v>19</v>
      </c>
      <c r="B108" s="524">
        <f>'Schedule 3 Adjustments'!B107:C107</f>
        <v>0</v>
      </c>
      <c r="C108" s="525"/>
      <c r="D108" s="365">
        <f>'Schedule 3 Adjustments'!D107</f>
        <v>0</v>
      </c>
      <c r="E108" s="365">
        <f>'Schedule 3 Adjustments'!E107</f>
        <v>0</v>
      </c>
      <c r="F108" s="370">
        <f>'Schedule 3 Adjustments'!F107</f>
        <v>0</v>
      </c>
      <c r="G108" s="373">
        <f>'Schedule 3 Adjustments'!G107</f>
        <v>0</v>
      </c>
      <c r="H108" s="373">
        <f>'Schedule 3 Adjustments'!H107</f>
        <v>0</v>
      </c>
      <c r="I108" s="139" t="str">
        <f>IF(B108=0,"",IF(AND(G108=0,H108=0),365,IF(AND(G108&gt;0,H108=0),$C$7-G108+1,IF(AND(G108=0,H108&gt;0),H108-($C$7-365),H108-G108+1))))</f>
        <v/>
      </c>
      <c r="J108" s="98"/>
      <c r="K108" s="8">
        <f>SUM(K109:K111)</f>
        <v>0</v>
      </c>
      <c r="L108" s="91" t="str">
        <f>IF(K108&gt;0,K108/(F108*I108),"")</f>
        <v/>
      </c>
      <c r="M108" s="126">
        <f>'Schedule 3 Adjustments'!R107</f>
        <v>0</v>
      </c>
      <c r="N108" s="85" t="str">
        <f>IFERROR(M108/K108,"")</f>
        <v/>
      </c>
      <c r="O108" s="126">
        <f>'Schedule 3 Adjustments'!W107</f>
        <v>0</v>
      </c>
      <c r="P108" s="85" t="str">
        <f>IFERROR(O108/K108,"")</f>
        <v/>
      </c>
      <c r="Q108" s="86" t="str">
        <f>IF(M108=0,"",M108-O108)</f>
        <v/>
      </c>
      <c r="R108" s="85" t="str">
        <f>IFERROR(Q108/K108,"")</f>
        <v/>
      </c>
    </row>
    <row r="109" spans="1:18" x14ac:dyDescent="0.35">
      <c r="A109" s="101" t="s">
        <v>447</v>
      </c>
      <c r="B109" s="87"/>
      <c r="C109" s="87"/>
      <c r="D109" s="87"/>
      <c r="E109" s="87"/>
      <c r="F109" s="132"/>
      <c r="G109" s="135"/>
      <c r="H109" s="135"/>
      <c r="I109" s="104"/>
      <c r="J109" s="369">
        <f>'Schedule 3 Adjustments'!J108</f>
        <v>0</v>
      </c>
      <c r="K109" s="221">
        <f>'Schedule 3 Adjustments'!M108</f>
        <v>0</v>
      </c>
      <c r="L109" s="89"/>
      <c r="M109" s="87"/>
      <c r="N109" s="87"/>
      <c r="O109" s="87"/>
      <c r="P109" s="87"/>
      <c r="Q109" s="87"/>
      <c r="R109" s="87"/>
    </row>
    <row r="110" spans="1:18" x14ac:dyDescent="0.35">
      <c r="A110" s="102" t="s">
        <v>448</v>
      </c>
      <c r="B110" s="88"/>
      <c r="C110" s="88"/>
      <c r="D110" s="88"/>
      <c r="E110" s="88"/>
      <c r="F110" s="133"/>
      <c r="G110" s="136"/>
      <c r="H110" s="136"/>
      <c r="I110" s="105"/>
      <c r="J110" s="371">
        <f>'Schedule 3 Adjustments'!J109</f>
        <v>0</v>
      </c>
      <c r="K110" s="228">
        <f>'Schedule 3 Adjustments'!M109</f>
        <v>0</v>
      </c>
      <c r="L110" s="90"/>
      <c r="M110" s="88"/>
      <c r="N110" s="88"/>
      <c r="O110" s="88"/>
      <c r="P110" s="88"/>
      <c r="Q110" s="88"/>
      <c r="R110" s="88"/>
    </row>
    <row r="111" spans="1:18" x14ac:dyDescent="0.35">
      <c r="A111" s="103" t="s">
        <v>449</v>
      </c>
      <c r="B111" s="88"/>
      <c r="C111" s="88"/>
      <c r="D111" s="88"/>
      <c r="E111" s="88"/>
      <c r="F111" s="133"/>
      <c r="G111" s="136"/>
      <c r="H111" s="136"/>
      <c r="I111" s="105"/>
      <c r="J111" s="372">
        <f>'Schedule 3 Adjustments'!J110</f>
        <v>0</v>
      </c>
      <c r="K111" s="231">
        <f>'Schedule 3 Adjustments'!M110</f>
        <v>0</v>
      </c>
      <c r="L111" s="90"/>
      <c r="M111" s="88"/>
      <c r="N111" s="88"/>
      <c r="O111" s="88"/>
      <c r="P111" s="88"/>
      <c r="Q111" s="88"/>
      <c r="R111" s="88"/>
    </row>
    <row r="112" spans="1:18" x14ac:dyDescent="0.35">
      <c r="J112" s="100"/>
      <c r="L112" s="28"/>
    </row>
    <row r="113" spans="1:18" s="34" customFormat="1" x14ac:dyDescent="0.35">
      <c r="A113" s="84">
        <v>20</v>
      </c>
      <c r="B113" s="524">
        <f>'Schedule 3 Adjustments'!B112:C112</f>
        <v>0</v>
      </c>
      <c r="C113" s="525"/>
      <c r="D113" s="365">
        <f>'Schedule 3 Adjustments'!D112</f>
        <v>0</v>
      </c>
      <c r="E113" s="365">
        <f>'Schedule 3 Adjustments'!E112</f>
        <v>0</v>
      </c>
      <c r="F113" s="370">
        <f>'Schedule 3 Adjustments'!F112</f>
        <v>0</v>
      </c>
      <c r="G113" s="373">
        <f>'Schedule 3 Adjustments'!G112</f>
        <v>0</v>
      </c>
      <c r="H113" s="373">
        <f>'Schedule 3 Adjustments'!H112</f>
        <v>0</v>
      </c>
      <c r="I113" s="139" t="str">
        <f>IF(B113=0,"",IF(AND(G113=0,H113=0),365,IF(AND(G113&gt;0,H113=0),$C$7-G113+1,IF(AND(G113=0,H113&gt;0),H113-($C$7-365),H113-G113+1))))</f>
        <v/>
      </c>
      <c r="J113" s="98"/>
      <c r="K113" s="8">
        <f>SUM(K114:K116)</f>
        <v>0</v>
      </c>
      <c r="L113" s="91" t="str">
        <f>IF(K113&gt;0,K113/(F113*I113),"")</f>
        <v/>
      </c>
      <c r="M113" s="126">
        <f>'Schedule 3 Adjustments'!R112</f>
        <v>0</v>
      </c>
      <c r="N113" s="85" t="str">
        <f>IFERROR(M113/K113,"")</f>
        <v/>
      </c>
      <c r="O113" s="126">
        <f>'Schedule 3 Adjustments'!W112</f>
        <v>0</v>
      </c>
      <c r="P113" s="85" t="str">
        <f>IFERROR(O113/K113,"")</f>
        <v/>
      </c>
      <c r="Q113" s="86" t="str">
        <f>IF(M113=0,"",M113-O113)</f>
        <v/>
      </c>
      <c r="R113" s="85" t="str">
        <f>IFERROR(Q113/K113,"")</f>
        <v/>
      </c>
    </row>
    <row r="114" spans="1:18" x14ac:dyDescent="0.35">
      <c r="A114" s="101" t="s">
        <v>447</v>
      </c>
      <c r="B114" s="87"/>
      <c r="C114" s="87"/>
      <c r="D114" s="87"/>
      <c r="E114" s="87"/>
      <c r="F114" s="132"/>
      <c r="G114" s="135"/>
      <c r="H114" s="135"/>
      <c r="I114" s="104"/>
      <c r="J114" s="369">
        <f>'Schedule 3 Adjustments'!J113</f>
        <v>0</v>
      </c>
      <c r="K114" s="221">
        <f>'Schedule 3 Adjustments'!M113</f>
        <v>0</v>
      </c>
      <c r="L114" s="89"/>
      <c r="M114" s="87"/>
      <c r="N114" s="87"/>
      <c r="O114" s="87"/>
      <c r="P114" s="87"/>
      <c r="Q114" s="87"/>
      <c r="R114" s="87"/>
    </row>
    <row r="115" spans="1:18" x14ac:dyDescent="0.35">
      <c r="A115" s="102" t="s">
        <v>448</v>
      </c>
      <c r="B115" s="88"/>
      <c r="C115" s="88"/>
      <c r="D115" s="88"/>
      <c r="E115" s="88"/>
      <c r="F115" s="133"/>
      <c r="G115" s="136"/>
      <c r="H115" s="136"/>
      <c r="I115" s="105"/>
      <c r="J115" s="371">
        <f>'Schedule 3 Adjustments'!J114</f>
        <v>0</v>
      </c>
      <c r="K115" s="228">
        <f>'Schedule 3 Adjustments'!M114</f>
        <v>0</v>
      </c>
      <c r="L115" s="90"/>
      <c r="M115" s="88"/>
      <c r="N115" s="88"/>
      <c r="O115" s="88"/>
      <c r="P115" s="88"/>
      <c r="Q115" s="88"/>
      <c r="R115" s="88"/>
    </row>
    <row r="116" spans="1:18" x14ac:dyDescent="0.35">
      <c r="A116" s="103" t="s">
        <v>449</v>
      </c>
      <c r="B116" s="88"/>
      <c r="C116" s="88"/>
      <c r="D116" s="88"/>
      <c r="E116" s="88"/>
      <c r="F116" s="133"/>
      <c r="G116" s="136"/>
      <c r="H116" s="136"/>
      <c r="I116" s="105"/>
      <c r="J116" s="372">
        <f>'Schedule 3 Adjustments'!J115</f>
        <v>0</v>
      </c>
      <c r="K116" s="231">
        <f>'Schedule 3 Adjustments'!M115</f>
        <v>0</v>
      </c>
      <c r="L116" s="90"/>
      <c r="M116" s="88"/>
      <c r="N116" s="88"/>
      <c r="O116" s="88"/>
      <c r="P116" s="88"/>
      <c r="Q116" s="88"/>
      <c r="R116" s="88"/>
    </row>
    <row r="117" spans="1:18" x14ac:dyDescent="0.35">
      <c r="J117" s="100"/>
      <c r="L117" s="28"/>
    </row>
    <row r="118" spans="1:18" s="34" customFormat="1" x14ac:dyDescent="0.35">
      <c r="A118" s="84">
        <v>21</v>
      </c>
      <c r="B118" s="524">
        <f>'Schedule 3 Adjustments'!B117:C117</f>
        <v>0</v>
      </c>
      <c r="C118" s="525"/>
      <c r="D118" s="365">
        <f>'Schedule 3 Adjustments'!D117</f>
        <v>0</v>
      </c>
      <c r="E118" s="365">
        <f>'Schedule 3 Adjustments'!E117</f>
        <v>0</v>
      </c>
      <c r="F118" s="370">
        <f>'Schedule 3 Adjustments'!F117</f>
        <v>0</v>
      </c>
      <c r="G118" s="373">
        <f>'Schedule 3 Adjustments'!G117</f>
        <v>0</v>
      </c>
      <c r="H118" s="373">
        <f>'Schedule 3 Adjustments'!H117</f>
        <v>0</v>
      </c>
      <c r="I118" s="139" t="str">
        <f>IF(B118=0,"",IF(AND(G118=0,H118=0),365,IF(AND(G118&gt;0,H118=0),$C$7-G118+1,IF(AND(G118=0,H118&gt;0),H118-($C$7-365),H118-G118+1))))</f>
        <v/>
      </c>
      <c r="J118" s="98"/>
      <c r="K118" s="8">
        <f>SUM(K119:K121)</f>
        <v>0</v>
      </c>
      <c r="L118" s="91" t="str">
        <f>IF(K118&gt;0,K118/(F118*I118),"")</f>
        <v/>
      </c>
      <c r="M118" s="126">
        <f>'Schedule 3 Adjustments'!R117</f>
        <v>0</v>
      </c>
      <c r="N118" s="85" t="str">
        <f>IFERROR(M118/K118,"")</f>
        <v/>
      </c>
      <c r="O118" s="126">
        <f>'Schedule 3 Adjustments'!W117</f>
        <v>0</v>
      </c>
      <c r="P118" s="85" t="str">
        <f>IFERROR(O118/K118,"")</f>
        <v/>
      </c>
      <c r="Q118" s="86" t="str">
        <f>IF(M118=0,"",M118-O118)</f>
        <v/>
      </c>
      <c r="R118" s="85" t="str">
        <f>IFERROR(Q118/K118,"")</f>
        <v/>
      </c>
    </row>
    <row r="119" spans="1:18" x14ac:dyDescent="0.35">
      <c r="A119" s="101" t="s">
        <v>447</v>
      </c>
      <c r="B119" s="87"/>
      <c r="C119" s="87"/>
      <c r="D119" s="87"/>
      <c r="E119" s="87"/>
      <c r="F119" s="132"/>
      <c r="G119" s="135"/>
      <c r="H119" s="135"/>
      <c r="I119" s="104"/>
      <c r="J119" s="369">
        <f>'Schedule 3 Adjustments'!J118</f>
        <v>0</v>
      </c>
      <c r="K119" s="221">
        <f>'Schedule 3 Adjustments'!M118</f>
        <v>0</v>
      </c>
      <c r="L119" s="89"/>
      <c r="M119" s="87"/>
      <c r="N119" s="87"/>
      <c r="O119" s="87"/>
      <c r="P119" s="87"/>
      <c r="Q119" s="87"/>
      <c r="R119" s="87"/>
    </row>
    <row r="120" spans="1:18" x14ac:dyDescent="0.35">
      <c r="A120" s="102" t="s">
        <v>448</v>
      </c>
      <c r="B120" s="88"/>
      <c r="C120" s="88"/>
      <c r="D120" s="88"/>
      <c r="E120" s="88"/>
      <c r="F120" s="133"/>
      <c r="G120" s="136"/>
      <c r="H120" s="136"/>
      <c r="I120" s="105"/>
      <c r="J120" s="371">
        <f>'Schedule 3 Adjustments'!J119</f>
        <v>0</v>
      </c>
      <c r="K120" s="228">
        <f>'Schedule 3 Adjustments'!M119</f>
        <v>0</v>
      </c>
      <c r="L120" s="90"/>
      <c r="M120" s="88"/>
      <c r="N120" s="88"/>
      <c r="O120" s="88"/>
      <c r="P120" s="88"/>
      <c r="Q120" s="88"/>
      <c r="R120" s="88"/>
    </row>
    <row r="121" spans="1:18" x14ac:dyDescent="0.35">
      <c r="A121" s="103" t="s">
        <v>449</v>
      </c>
      <c r="B121" s="88"/>
      <c r="C121" s="88"/>
      <c r="D121" s="88"/>
      <c r="E121" s="88"/>
      <c r="F121" s="133"/>
      <c r="G121" s="136"/>
      <c r="H121" s="136"/>
      <c r="I121" s="105"/>
      <c r="J121" s="372">
        <f>'Schedule 3 Adjustments'!J120</f>
        <v>0</v>
      </c>
      <c r="K121" s="231">
        <f>'Schedule 3 Adjustments'!M120</f>
        <v>0</v>
      </c>
      <c r="L121" s="90"/>
      <c r="M121" s="88"/>
      <c r="N121" s="88"/>
      <c r="O121" s="88"/>
      <c r="P121" s="88"/>
      <c r="Q121" s="88"/>
      <c r="R121" s="88"/>
    </row>
    <row r="122" spans="1:18" x14ac:dyDescent="0.35">
      <c r="J122" s="100"/>
      <c r="L122" s="28"/>
    </row>
    <row r="123" spans="1:18" s="34" customFormat="1" x14ac:dyDescent="0.35">
      <c r="A123" s="84">
        <v>22</v>
      </c>
      <c r="B123" s="524">
        <f>'Schedule 3 Adjustments'!B122:C122</f>
        <v>0</v>
      </c>
      <c r="C123" s="525"/>
      <c r="D123" s="365">
        <f>'Schedule 3 Adjustments'!D122</f>
        <v>0</v>
      </c>
      <c r="E123" s="365">
        <f>'Schedule 3 Adjustments'!E122</f>
        <v>0</v>
      </c>
      <c r="F123" s="370">
        <f>'Schedule 3 Adjustments'!F122</f>
        <v>0</v>
      </c>
      <c r="G123" s="373">
        <f>'Schedule 3 Adjustments'!G122</f>
        <v>0</v>
      </c>
      <c r="H123" s="373">
        <f>'Schedule 3 Adjustments'!H122</f>
        <v>0</v>
      </c>
      <c r="I123" s="139" t="str">
        <f>IF(B123=0,"",IF(AND(G123=0,H123=0),365,IF(AND(G123&gt;0,H123=0),$C$7-G123+1,IF(AND(G123=0,H123&gt;0),H123-($C$7-365),H123-G123+1))))</f>
        <v/>
      </c>
      <c r="J123" s="98"/>
      <c r="K123" s="8">
        <f>SUM(K124:K126)</f>
        <v>0</v>
      </c>
      <c r="L123" s="91" t="str">
        <f>IF(K123&gt;0,K123/(F123*I123),"")</f>
        <v/>
      </c>
      <c r="M123" s="126">
        <f>'Schedule 3 Adjustments'!R122</f>
        <v>0</v>
      </c>
      <c r="N123" s="85" t="str">
        <f>IFERROR(M123/K123,"")</f>
        <v/>
      </c>
      <c r="O123" s="126">
        <f>'Schedule 3 Adjustments'!W122</f>
        <v>0</v>
      </c>
      <c r="P123" s="85" t="str">
        <f>IFERROR(O123/K123,"")</f>
        <v/>
      </c>
      <c r="Q123" s="86" t="str">
        <f>IF(M123=0,"",M123-O123)</f>
        <v/>
      </c>
      <c r="R123" s="85" t="str">
        <f>IFERROR(Q123/K123,"")</f>
        <v/>
      </c>
    </row>
    <row r="124" spans="1:18" x14ac:dyDescent="0.35">
      <c r="A124" s="101" t="s">
        <v>447</v>
      </c>
      <c r="B124" s="87"/>
      <c r="C124" s="87"/>
      <c r="D124" s="87"/>
      <c r="E124" s="87"/>
      <c r="F124" s="132"/>
      <c r="G124" s="135"/>
      <c r="H124" s="135"/>
      <c r="I124" s="104"/>
      <c r="J124" s="369">
        <f>'Schedule 3 Adjustments'!J123</f>
        <v>0</v>
      </c>
      <c r="K124" s="221">
        <f>'Schedule 3 Adjustments'!M123</f>
        <v>0</v>
      </c>
      <c r="L124" s="89"/>
      <c r="M124" s="87"/>
      <c r="N124" s="87"/>
      <c r="O124" s="87"/>
      <c r="P124" s="87"/>
      <c r="Q124" s="87"/>
      <c r="R124" s="87"/>
    </row>
    <row r="125" spans="1:18" x14ac:dyDescent="0.35">
      <c r="A125" s="102" t="s">
        <v>448</v>
      </c>
      <c r="B125" s="88"/>
      <c r="C125" s="88"/>
      <c r="D125" s="88"/>
      <c r="E125" s="88"/>
      <c r="F125" s="133"/>
      <c r="G125" s="136"/>
      <c r="H125" s="136"/>
      <c r="I125" s="105"/>
      <c r="J125" s="371">
        <f>'Schedule 3 Adjustments'!J124</f>
        <v>0</v>
      </c>
      <c r="K125" s="228">
        <f>'Schedule 3 Adjustments'!M124</f>
        <v>0</v>
      </c>
      <c r="L125" s="90"/>
      <c r="M125" s="88"/>
      <c r="N125" s="88"/>
      <c r="O125" s="88"/>
      <c r="P125" s="88"/>
      <c r="Q125" s="88"/>
      <c r="R125" s="88"/>
    </row>
    <row r="126" spans="1:18" x14ac:dyDescent="0.35">
      <c r="A126" s="103" t="s">
        <v>449</v>
      </c>
      <c r="B126" s="88"/>
      <c r="C126" s="88"/>
      <c r="D126" s="88"/>
      <c r="E126" s="88"/>
      <c r="F126" s="133"/>
      <c r="G126" s="136"/>
      <c r="H126" s="136"/>
      <c r="I126" s="105"/>
      <c r="J126" s="372">
        <f>'Schedule 3 Adjustments'!J125</f>
        <v>0</v>
      </c>
      <c r="K126" s="231">
        <f>'Schedule 3 Adjustments'!M125</f>
        <v>0</v>
      </c>
      <c r="L126" s="90"/>
      <c r="M126" s="88"/>
      <c r="N126" s="88"/>
      <c r="O126" s="88"/>
      <c r="P126" s="88"/>
      <c r="Q126" s="88"/>
      <c r="R126" s="88"/>
    </row>
    <row r="127" spans="1:18" x14ac:dyDescent="0.35">
      <c r="J127" s="100"/>
      <c r="L127" s="28"/>
    </row>
    <row r="128" spans="1:18" s="34" customFormat="1" x14ac:dyDescent="0.35">
      <c r="A128" s="84">
        <v>23</v>
      </c>
      <c r="B128" s="524">
        <f>'Schedule 3 Adjustments'!B127:C127</f>
        <v>0</v>
      </c>
      <c r="C128" s="525"/>
      <c r="D128" s="365">
        <f>'Schedule 3 Adjustments'!D127</f>
        <v>0</v>
      </c>
      <c r="E128" s="365">
        <f>'Schedule 3 Adjustments'!E127</f>
        <v>0</v>
      </c>
      <c r="F128" s="370">
        <f>'Schedule 3 Adjustments'!F127</f>
        <v>0</v>
      </c>
      <c r="G128" s="373">
        <f>'Schedule 3 Adjustments'!G127</f>
        <v>0</v>
      </c>
      <c r="H128" s="373">
        <f>'Schedule 3 Adjustments'!H127</f>
        <v>0</v>
      </c>
      <c r="I128" s="139" t="str">
        <f>IF(B128=0,"",IF(AND(G128=0,H128=0),365,IF(AND(G128&gt;0,H128=0),$C$7-G128+1,IF(AND(G128=0,H128&gt;0),H128-($C$7-365),H128-G128+1))))</f>
        <v/>
      </c>
      <c r="J128" s="98"/>
      <c r="K128" s="8">
        <f>SUM(K129:K131)</f>
        <v>0</v>
      </c>
      <c r="L128" s="91" t="str">
        <f>IF(K128&gt;0,K128/(F128*I128),"")</f>
        <v/>
      </c>
      <c r="M128" s="126">
        <f>'Schedule 3 Adjustments'!R127</f>
        <v>0</v>
      </c>
      <c r="N128" s="85" t="str">
        <f>IFERROR(M128/K128,"")</f>
        <v/>
      </c>
      <c r="O128" s="126">
        <f>'Schedule 3 Adjustments'!W127</f>
        <v>0</v>
      </c>
      <c r="P128" s="85" t="str">
        <f>IFERROR(O128/K128,"")</f>
        <v/>
      </c>
      <c r="Q128" s="86" t="str">
        <f>IF(M128=0,"",M128-O128)</f>
        <v/>
      </c>
      <c r="R128" s="85" t="str">
        <f>IFERROR(Q128/K128,"")</f>
        <v/>
      </c>
    </row>
    <row r="129" spans="1:18" x14ac:dyDescent="0.35">
      <c r="A129" s="101" t="s">
        <v>447</v>
      </c>
      <c r="B129" s="87"/>
      <c r="C129" s="87"/>
      <c r="D129" s="87"/>
      <c r="E129" s="87"/>
      <c r="F129" s="132"/>
      <c r="G129" s="135"/>
      <c r="H129" s="135"/>
      <c r="I129" s="104"/>
      <c r="J129" s="369">
        <f>'Schedule 3 Adjustments'!J128</f>
        <v>0</v>
      </c>
      <c r="K129" s="221">
        <f>'Schedule 3 Adjustments'!M128</f>
        <v>0</v>
      </c>
      <c r="L129" s="89"/>
      <c r="M129" s="87"/>
      <c r="N129" s="87"/>
      <c r="O129" s="87"/>
      <c r="P129" s="87"/>
      <c r="Q129" s="87"/>
      <c r="R129" s="87"/>
    </row>
    <row r="130" spans="1:18" x14ac:dyDescent="0.35">
      <c r="A130" s="102" t="s">
        <v>448</v>
      </c>
      <c r="B130" s="88"/>
      <c r="C130" s="88"/>
      <c r="D130" s="88"/>
      <c r="E130" s="88"/>
      <c r="F130" s="133"/>
      <c r="G130" s="136"/>
      <c r="H130" s="136"/>
      <c r="I130" s="105"/>
      <c r="J130" s="371">
        <f>'Schedule 3 Adjustments'!J129</f>
        <v>0</v>
      </c>
      <c r="K130" s="228">
        <f>'Schedule 3 Adjustments'!M129</f>
        <v>0</v>
      </c>
      <c r="L130" s="90"/>
      <c r="M130" s="88"/>
      <c r="N130" s="88"/>
      <c r="O130" s="88"/>
      <c r="P130" s="88"/>
      <c r="Q130" s="88"/>
      <c r="R130" s="88"/>
    </row>
    <row r="131" spans="1:18" x14ac:dyDescent="0.35">
      <c r="A131" s="103" t="s">
        <v>449</v>
      </c>
      <c r="B131" s="88"/>
      <c r="C131" s="88"/>
      <c r="D131" s="88"/>
      <c r="E131" s="88"/>
      <c r="F131" s="133"/>
      <c r="G131" s="136"/>
      <c r="H131" s="136"/>
      <c r="I131" s="105"/>
      <c r="J131" s="372">
        <f>'Schedule 3 Adjustments'!J130</f>
        <v>0</v>
      </c>
      <c r="K131" s="231">
        <f>'Schedule 3 Adjustments'!M130</f>
        <v>0</v>
      </c>
      <c r="L131" s="90"/>
      <c r="M131" s="88"/>
      <c r="N131" s="88"/>
      <c r="O131" s="88"/>
      <c r="P131" s="88"/>
      <c r="Q131" s="88"/>
      <c r="R131" s="88"/>
    </row>
    <row r="132" spans="1:18" x14ac:dyDescent="0.35">
      <c r="J132" s="100"/>
      <c r="L132" s="28"/>
    </row>
    <row r="133" spans="1:18" s="34" customFormat="1" x14ac:dyDescent="0.35">
      <c r="A133" s="84">
        <v>24</v>
      </c>
      <c r="B133" s="524">
        <f>'Schedule 3 Adjustments'!B132:C132</f>
        <v>0</v>
      </c>
      <c r="C133" s="525"/>
      <c r="D133" s="365">
        <f>'Schedule 3 Adjustments'!D132</f>
        <v>0</v>
      </c>
      <c r="E133" s="365">
        <f>'Schedule 3 Adjustments'!E132</f>
        <v>0</v>
      </c>
      <c r="F133" s="370">
        <f>'Schedule 3 Adjustments'!F132</f>
        <v>0</v>
      </c>
      <c r="G133" s="373">
        <f>'Schedule 3 Adjustments'!G132</f>
        <v>0</v>
      </c>
      <c r="H133" s="373">
        <f>'Schedule 3 Adjustments'!H132</f>
        <v>0</v>
      </c>
      <c r="I133" s="139" t="str">
        <f>IF(B133=0,"",IF(AND(G133=0,H133=0),365,IF(AND(G133&gt;0,H133=0),$C$7-G133+1,IF(AND(G133=0,H133&gt;0),H133-($C$7-365),H133-G133+1))))</f>
        <v/>
      </c>
      <c r="J133" s="98"/>
      <c r="K133" s="8">
        <f>SUM(K134:K136)</f>
        <v>0</v>
      </c>
      <c r="L133" s="91" t="str">
        <f>IF(K133&gt;0,K133/(F133*I133),"")</f>
        <v/>
      </c>
      <c r="M133" s="126">
        <f>'Schedule 3 Adjustments'!R132</f>
        <v>0</v>
      </c>
      <c r="N133" s="85" t="str">
        <f>IFERROR(M133/K133,"")</f>
        <v/>
      </c>
      <c r="O133" s="126">
        <f>'Schedule 3 Adjustments'!W132</f>
        <v>0</v>
      </c>
      <c r="P133" s="85" t="str">
        <f>IFERROR(O133/K133,"")</f>
        <v/>
      </c>
      <c r="Q133" s="86" t="str">
        <f>IF(M133=0,"",M133-O133)</f>
        <v/>
      </c>
      <c r="R133" s="85" t="str">
        <f>IFERROR(Q133/K133,"")</f>
        <v/>
      </c>
    </row>
    <row r="134" spans="1:18" x14ac:dyDescent="0.35">
      <c r="A134" s="101" t="s">
        <v>447</v>
      </c>
      <c r="B134" s="87"/>
      <c r="C134" s="87"/>
      <c r="D134" s="87"/>
      <c r="E134" s="87"/>
      <c r="F134" s="132"/>
      <c r="G134" s="135"/>
      <c r="H134" s="135"/>
      <c r="I134" s="104"/>
      <c r="J134" s="369">
        <f>'Schedule 3 Adjustments'!J133</f>
        <v>0</v>
      </c>
      <c r="K134" s="221">
        <f>'Schedule 3 Adjustments'!M133</f>
        <v>0</v>
      </c>
      <c r="L134" s="89"/>
      <c r="M134" s="87"/>
      <c r="N134" s="87"/>
      <c r="O134" s="87"/>
      <c r="P134" s="87"/>
      <c r="Q134" s="87"/>
      <c r="R134" s="87"/>
    </row>
    <row r="135" spans="1:18" x14ac:dyDescent="0.35">
      <c r="A135" s="102" t="s">
        <v>448</v>
      </c>
      <c r="B135" s="88"/>
      <c r="C135" s="88"/>
      <c r="D135" s="88"/>
      <c r="E135" s="88"/>
      <c r="F135" s="133"/>
      <c r="G135" s="136"/>
      <c r="H135" s="136"/>
      <c r="I135" s="105"/>
      <c r="J135" s="371">
        <f>'Schedule 3 Adjustments'!J134</f>
        <v>0</v>
      </c>
      <c r="K135" s="228">
        <f>'Schedule 3 Adjustments'!M134</f>
        <v>0</v>
      </c>
      <c r="L135" s="90"/>
      <c r="M135" s="88"/>
      <c r="N135" s="88"/>
      <c r="O135" s="88"/>
      <c r="P135" s="88"/>
      <c r="Q135" s="88"/>
      <c r="R135" s="88"/>
    </row>
    <row r="136" spans="1:18" x14ac:dyDescent="0.35">
      <c r="A136" s="103" t="s">
        <v>449</v>
      </c>
      <c r="B136" s="88"/>
      <c r="C136" s="88"/>
      <c r="D136" s="88"/>
      <c r="E136" s="88"/>
      <c r="F136" s="133"/>
      <c r="G136" s="136"/>
      <c r="H136" s="136"/>
      <c r="I136" s="105"/>
      <c r="J136" s="372">
        <f>'Schedule 3 Adjustments'!J135</f>
        <v>0</v>
      </c>
      <c r="K136" s="231">
        <f>'Schedule 3 Adjustments'!M135</f>
        <v>0</v>
      </c>
      <c r="L136" s="90"/>
      <c r="M136" s="88"/>
      <c r="N136" s="88"/>
      <c r="O136" s="88"/>
      <c r="P136" s="88"/>
      <c r="Q136" s="88"/>
      <c r="R136" s="88"/>
    </row>
    <row r="137" spans="1:18" x14ac:dyDescent="0.35">
      <c r="J137" s="100"/>
      <c r="L137" s="28"/>
    </row>
    <row r="138" spans="1:18" s="34" customFormat="1" x14ac:dyDescent="0.35">
      <c r="A138" s="84">
        <v>25</v>
      </c>
      <c r="B138" s="524">
        <f>'Schedule 3 Adjustments'!B137:C137</f>
        <v>0</v>
      </c>
      <c r="C138" s="525"/>
      <c r="D138" s="365">
        <f>'Schedule 3 Adjustments'!D137</f>
        <v>0</v>
      </c>
      <c r="E138" s="365">
        <f>'Schedule 3 Adjustments'!E137</f>
        <v>0</v>
      </c>
      <c r="F138" s="370">
        <f>'Schedule 3 Adjustments'!F137</f>
        <v>0</v>
      </c>
      <c r="G138" s="373">
        <f>'Schedule 3 Adjustments'!G137</f>
        <v>0</v>
      </c>
      <c r="H138" s="373">
        <f>'Schedule 3 Adjustments'!H137</f>
        <v>0</v>
      </c>
      <c r="I138" s="139" t="str">
        <f>IF(B138=0,"",IF(AND(G138=0,H138=0),365,IF(AND(G138&gt;0,H138=0),$C$7-G138+1,IF(AND(G138=0,H138&gt;0),H138-($C$7-365),H138-G138+1))))</f>
        <v/>
      </c>
      <c r="J138" s="98"/>
      <c r="K138" s="8">
        <f>SUM(K139:K141)</f>
        <v>0</v>
      </c>
      <c r="L138" s="91" t="str">
        <f>IF(K138&gt;0,K138/(F138*I138),"")</f>
        <v/>
      </c>
      <c r="M138" s="126">
        <f>'Schedule 3 Adjustments'!R137</f>
        <v>0</v>
      </c>
      <c r="N138" s="85" t="str">
        <f>IFERROR(M138/K138,"")</f>
        <v/>
      </c>
      <c r="O138" s="126">
        <f>'Schedule 3 Adjustments'!W137</f>
        <v>0</v>
      </c>
      <c r="P138" s="85" t="str">
        <f>IFERROR(O138/K138,"")</f>
        <v/>
      </c>
      <c r="Q138" s="86" t="str">
        <f>IF(M138=0,"",M138-O138)</f>
        <v/>
      </c>
      <c r="R138" s="85" t="str">
        <f>IFERROR(Q138/K138,"")</f>
        <v/>
      </c>
    </row>
    <row r="139" spans="1:18" x14ac:dyDescent="0.35">
      <c r="A139" s="101" t="s">
        <v>447</v>
      </c>
      <c r="B139" s="87"/>
      <c r="C139" s="87"/>
      <c r="D139" s="87"/>
      <c r="E139" s="87"/>
      <c r="F139" s="132"/>
      <c r="G139" s="135"/>
      <c r="H139" s="135"/>
      <c r="I139" s="104"/>
      <c r="J139" s="369">
        <f>'Schedule 3 Adjustments'!J138</f>
        <v>0</v>
      </c>
      <c r="K139" s="221">
        <f>'Schedule 3 Adjustments'!M138</f>
        <v>0</v>
      </c>
      <c r="L139" s="89"/>
      <c r="M139" s="87"/>
      <c r="N139" s="87"/>
      <c r="O139" s="87"/>
      <c r="P139" s="87"/>
      <c r="Q139" s="87"/>
      <c r="R139" s="87"/>
    </row>
    <row r="140" spans="1:18" x14ac:dyDescent="0.35">
      <c r="A140" s="102" t="s">
        <v>448</v>
      </c>
      <c r="B140" s="88"/>
      <c r="C140" s="88"/>
      <c r="D140" s="88"/>
      <c r="E140" s="88"/>
      <c r="F140" s="133"/>
      <c r="G140" s="136"/>
      <c r="H140" s="136"/>
      <c r="I140" s="105"/>
      <c r="J140" s="371">
        <f>'Schedule 3 Adjustments'!J139</f>
        <v>0</v>
      </c>
      <c r="K140" s="228">
        <f>'Schedule 3 Adjustments'!M139</f>
        <v>0</v>
      </c>
      <c r="L140" s="90"/>
      <c r="M140" s="88"/>
      <c r="N140" s="88"/>
      <c r="O140" s="88"/>
      <c r="P140" s="88"/>
      <c r="Q140" s="88"/>
      <c r="R140" s="88"/>
    </row>
    <row r="141" spans="1:18" x14ac:dyDescent="0.35">
      <c r="A141" s="103" t="s">
        <v>449</v>
      </c>
      <c r="B141" s="88"/>
      <c r="C141" s="88"/>
      <c r="D141" s="88"/>
      <c r="E141" s="88"/>
      <c r="F141" s="133"/>
      <c r="G141" s="136"/>
      <c r="H141" s="136"/>
      <c r="I141" s="105"/>
      <c r="J141" s="372">
        <f>'Schedule 3 Adjustments'!J140</f>
        <v>0</v>
      </c>
      <c r="K141" s="231">
        <f>'Schedule 3 Adjustments'!M140</f>
        <v>0</v>
      </c>
      <c r="L141" s="90"/>
      <c r="M141" s="88"/>
      <c r="N141" s="88"/>
      <c r="O141" s="88"/>
      <c r="P141" s="88"/>
      <c r="Q141" s="88"/>
      <c r="R141" s="88"/>
    </row>
    <row r="142" spans="1:18" x14ac:dyDescent="0.35">
      <c r="J142" s="100"/>
      <c r="L142" s="28"/>
    </row>
    <row r="143" spans="1:18" s="34" customFormat="1" x14ac:dyDescent="0.35">
      <c r="A143" s="84">
        <v>26</v>
      </c>
      <c r="B143" s="524">
        <f>'Schedule 3 Adjustments'!B142:C142</f>
        <v>0</v>
      </c>
      <c r="C143" s="525"/>
      <c r="D143" s="365">
        <f>'Schedule 3 Adjustments'!D142</f>
        <v>0</v>
      </c>
      <c r="E143" s="365">
        <f>'Schedule 3 Adjustments'!E142</f>
        <v>0</v>
      </c>
      <c r="F143" s="370">
        <f>'Schedule 3 Adjustments'!F142</f>
        <v>0</v>
      </c>
      <c r="G143" s="373">
        <f>'Schedule 3 Adjustments'!G142</f>
        <v>0</v>
      </c>
      <c r="H143" s="373">
        <f>'Schedule 3 Adjustments'!H142</f>
        <v>0</v>
      </c>
      <c r="I143" s="139" t="str">
        <f>IF(B143=0,"",IF(AND(G143=0,H143=0),365,IF(AND(G143&gt;0,H143=0),$C$7-G143+1,IF(AND(G143=0,H143&gt;0),H143-($C$7-365),H143-G143+1))))</f>
        <v/>
      </c>
      <c r="J143" s="98"/>
      <c r="K143" s="8">
        <f>SUM(K144:K146)</f>
        <v>0</v>
      </c>
      <c r="L143" s="91" t="str">
        <f>IF(K143&gt;0,K143/(F143*I143),"")</f>
        <v/>
      </c>
      <c r="M143" s="126">
        <f>'Schedule 3 Adjustments'!R142</f>
        <v>0</v>
      </c>
      <c r="N143" s="85" t="str">
        <f>IFERROR(M143/K143,"")</f>
        <v/>
      </c>
      <c r="O143" s="126">
        <f>'Schedule 3 Adjustments'!W142</f>
        <v>0</v>
      </c>
      <c r="P143" s="85" t="str">
        <f>IFERROR(O143/K143,"")</f>
        <v/>
      </c>
      <c r="Q143" s="86" t="str">
        <f>IF(M143=0,"",M143-O143)</f>
        <v/>
      </c>
      <c r="R143" s="85" t="str">
        <f>IFERROR(Q143/K143,"")</f>
        <v/>
      </c>
    </row>
    <row r="144" spans="1:18" x14ac:dyDescent="0.35">
      <c r="A144" s="101" t="s">
        <v>447</v>
      </c>
      <c r="B144" s="87"/>
      <c r="C144" s="87"/>
      <c r="D144" s="87"/>
      <c r="E144" s="87"/>
      <c r="F144" s="132"/>
      <c r="G144" s="135"/>
      <c r="H144" s="135"/>
      <c r="I144" s="104"/>
      <c r="J144" s="369">
        <f>'Schedule 3 Adjustments'!J143</f>
        <v>0</v>
      </c>
      <c r="K144" s="221">
        <f>'Schedule 3 Adjustments'!M143</f>
        <v>0</v>
      </c>
      <c r="L144" s="89"/>
      <c r="M144" s="87"/>
      <c r="N144" s="87"/>
      <c r="O144" s="87"/>
      <c r="P144" s="87"/>
      <c r="Q144" s="87"/>
      <c r="R144" s="87"/>
    </row>
    <row r="145" spans="1:18" x14ac:dyDescent="0.35">
      <c r="A145" s="102" t="s">
        <v>448</v>
      </c>
      <c r="B145" s="88"/>
      <c r="C145" s="88"/>
      <c r="D145" s="88"/>
      <c r="E145" s="88"/>
      <c r="F145" s="133"/>
      <c r="G145" s="136"/>
      <c r="H145" s="136"/>
      <c r="I145" s="105"/>
      <c r="J145" s="371">
        <f>'Schedule 3 Adjustments'!J144</f>
        <v>0</v>
      </c>
      <c r="K145" s="228">
        <f>'Schedule 3 Adjustments'!M144</f>
        <v>0</v>
      </c>
      <c r="L145" s="90"/>
      <c r="M145" s="88"/>
      <c r="N145" s="88"/>
      <c r="O145" s="88"/>
      <c r="P145" s="88"/>
      <c r="Q145" s="88"/>
      <c r="R145" s="88"/>
    </row>
    <row r="146" spans="1:18" x14ac:dyDescent="0.35">
      <c r="A146" s="103" t="s">
        <v>449</v>
      </c>
      <c r="B146" s="88"/>
      <c r="C146" s="88"/>
      <c r="D146" s="88"/>
      <c r="E146" s="88"/>
      <c r="F146" s="133"/>
      <c r="G146" s="136"/>
      <c r="H146" s="136"/>
      <c r="I146" s="105"/>
      <c r="J146" s="372">
        <f>'Schedule 3 Adjustments'!J145</f>
        <v>0</v>
      </c>
      <c r="K146" s="231">
        <f>'Schedule 3 Adjustments'!M145</f>
        <v>0</v>
      </c>
      <c r="L146" s="90"/>
      <c r="M146" s="88"/>
      <c r="N146" s="88"/>
      <c r="O146" s="88"/>
      <c r="P146" s="88"/>
      <c r="Q146" s="88"/>
      <c r="R146" s="88"/>
    </row>
    <row r="147" spans="1:18" x14ac:dyDescent="0.35">
      <c r="J147" s="100"/>
      <c r="L147" s="28"/>
    </row>
    <row r="148" spans="1:18" s="34" customFormat="1" x14ac:dyDescent="0.35">
      <c r="A148" s="84">
        <v>27</v>
      </c>
      <c r="B148" s="524">
        <f>'Schedule 3 Adjustments'!B147:C147</f>
        <v>0</v>
      </c>
      <c r="C148" s="525"/>
      <c r="D148" s="365">
        <f>'Schedule 3 Adjustments'!D147</f>
        <v>0</v>
      </c>
      <c r="E148" s="365">
        <f>'Schedule 3 Adjustments'!E147</f>
        <v>0</v>
      </c>
      <c r="F148" s="370">
        <f>'Schedule 3 Adjustments'!F147</f>
        <v>0</v>
      </c>
      <c r="G148" s="373">
        <f>'Schedule 3 Adjustments'!G147</f>
        <v>0</v>
      </c>
      <c r="H148" s="373">
        <f>'Schedule 3 Adjustments'!H147</f>
        <v>0</v>
      </c>
      <c r="I148" s="139" t="str">
        <f>IF(B148=0,"",IF(AND(G148=0,H148=0),365,IF(AND(G148&gt;0,H148=0),$C$7-G148+1,IF(AND(G148=0,H148&gt;0),H148-($C$7-365),H148-G148+1))))</f>
        <v/>
      </c>
      <c r="J148" s="98"/>
      <c r="K148" s="8">
        <f>SUM(K149:K151)</f>
        <v>0</v>
      </c>
      <c r="L148" s="91" t="str">
        <f>IF(K148&gt;0,K148/(F148*I148),"")</f>
        <v/>
      </c>
      <c r="M148" s="126">
        <f>'Schedule 3 Adjustments'!R147</f>
        <v>0</v>
      </c>
      <c r="N148" s="85" t="str">
        <f>IFERROR(M148/K148,"")</f>
        <v/>
      </c>
      <c r="O148" s="126">
        <f>'Schedule 3 Adjustments'!W147</f>
        <v>0</v>
      </c>
      <c r="P148" s="85" t="str">
        <f>IFERROR(O148/K148,"")</f>
        <v/>
      </c>
      <c r="Q148" s="86" t="str">
        <f>IF(M148=0,"",M148-O148)</f>
        <v/>
      </c>
      <c r="R148" s="85" t="str">
        <f>IFERROR(Q148/K148,"")</f>
        <v/>
      </c>
    </row>
    <row r="149" spans="1:18" x14ac:dyDescent="0.35">
      <c r="A149" s="101" t="s">
        <v>447</v>
      </c>
      <c r="B149" s="87"/>
      <c r="C149" s="87"/>
      <c r="D149" s="87"/>
      <c r="E149" s="87"/>
      <c r="F149" s="132"/>
      <c r="G149" s="135"/>
      <c r="H149" s="135"/>
      <c r="I149" s="104"/>
      <c r="J149" s="369">
        <f>'Schedule 3 Adjustments'!J148</f>
        <v>0</v>
      </c>
      <c r="K149" s="221">
        <f>'Schedule 3 Adjustments'!M148</f>
        <v>0</v>
      </c>
      <c r="L149" s="89"/>
      <c r="M149" s="87"/>
      <c r="N149" s="87"/>
      <c r="O149" s="87"/>
      <c r="P149" s="87"/>
      <c r="Q149" s="87"/>
      <c r="R149" s="87"/>
    </row>
    <row r="150" spans="1:18" x14ac:dyDescent="0.35">
      <c r="A150" s="102" t="s">
        <v>448</v>
      </c>
      <c r="B150" s="88"/>
      <c r="C150" s="88"/>
      <c r="D150" s="88"/>
      <c r="E150" s="88"/>
      <c r="F150" s="133"/>
      <c r="G150" s="136"/>
      <c r="H150" s="136"/>
      <c r="I150" s="105"/>
      <c r="J150" s="371">
        <f>'Schedule 3 Adjustments'!J149</f>
        <v>0</v>
      </c>
      <c r="K150" s="228">
        <f>'Schedule 3 Adjustments'!M149</f>
        <v>0</v>
      </c>
      <c r="L150" s="90"/>
      <c r="M150" s="88"/>
      <c r="N150" s="88"/>
      <c r="O150" s="88"/>
      <c r="P150" s="88"/>
      <c r="Q150" s="88"/>
      <c r="R150" s="88"/>
    </row>
    <row r="151" spans="1:18" x14ac:dyDescent="0.35">
      <c r="A151" s="103" t="s">
        <v>449</v>
      </c>
      <c r="B151" s="88"/>
      <c r="C151" s="88"/>
      <c r="D151" s="88"/>
      <c r="E151" s="88"/>
      <c r="F151" s="133"/>
      <c r="G151" s="136"/>
      <c r="H151" s="136"/>
      <c r="I151" s="105"/>
      <c r="J151" s="372">
        <f>'Schedule 3 Adjustments'!J150</f>
        <v>0</v>
      </c>
      <c r="K151" s="231">
        <f>'Schedule 3 Adjustments'!M150</f>
        <v>0</v>
      </c>
      <c r="L151" s="90"/>
      <c r="M151" s="88"/>
      <c r="N151" s="88"/>
      <c r="O151" s="88"/>
      <c r="P151" s="88"/>
      <c r="Q151" s="88"/>
      <c r="R151" s="88"/>
    </row>
    <row r="152" spans="1:18" x14ac:dyDescent="0.35">
      <c r="J152" s="100"/>
      <c r="L152" s="28"/>
    </row>
    <row r="153" spans="1:18" s="34" customFormat="1" x14ac:dyDescent="0.35">
      <c r="A153" s="84">
        <v>28</v>
      </c>
      <c r="B153" s="524">
        <f>'Schedule 3 Adjustments'!B152:C152</f>
        <v>0</v>
      </c>
      <c r="C153" s="525"/>
      <c r="D153" s="365">
        <f>'Schedule 3 Adjustments'!D152</f>
        <v>0</v>
      </c>
      <c r="E153" s="365">
        <f>'Schedule 3 Adjustments'!E152</f>
        <v>0</v>
      </c>
      <c r="F153" s="370">
        <f>'Schedule 3 Adjustments'!F152</f>
        <v>0</v>
      </c>
      <c r="G153" s="373">
        <f>'Schedule 3 Adjustments'!G152</f>
        <v>0</v>
      </c>
      <c r="H153" s="373">
        <f>'Schedule 3 Adjustments'!H152</f>
        <v>0</v>
      </c>
      <c r="I153" s="139" t="str">
        <f>IF(B153=0,"",IF(AND(G153=0,H153=0),365,IF(AND(G153&gt;0,H153=0),$C$7-G153+1,IF(AND(G153=0,H153&gt;0),H153-($C$7-365),H153-G153+1))))</f>
        <v/>
      </c>
      <c r="J153" s="98"/>
      <c r="K153" s="8">
        <f>SUM(K154:K156)</f>
        <v>0</v>
      </c>
      <c r="L153" s="91" t="str">
        <f>IF(K153&gt;0,K153/(F153*I153),"")</f>
        <v/>
      </c>
      <c r="M153" s="126">
        <f>'Schedule 3 Adjustments'!R152</f>
        <v>0</v>
      </c>
      <c r="N153" s="85" t="str">
        <f>IFERROR(M153/K153,"")</f>
        <v/>
      </c>
      <c r="O153" s="126">
        <f>'Schedule 3 Adjustments'!W152</f>
        <v>0</v>
      </c>
      <c r="P153" s="85" t="str">
        <f>IFERROR(O153/K153,"")</f>
        <v/>
      </c>
      <c r="Q153" s="86" t="str">
        <f>IF(M153=0,"",M153-O153)</f>
        <v/>
      </c>
      <c r="R153" s="85" t="str">
        <f>IFERROR(Q153/K153,"")</f>
        <v/>
      </c>
    </row>
    <row r="154" spans="1:18" x14ac:dyDescent="0.35">
      <c r="A154" s="101" t="s">
        <v>447</v>
      </c>
      <c r="B154" s="87"/>
      <c r="C154" s="87"/>
      <c r="D154" s="87"/>
      <c r="E154" s="87"/>
      <c r="F154" s="132"/>
      <c r="G154" s="135"/>
      <c r="H154" s="135"/>
      <c r="I154" s="104"/>
      <c r="J154" s="369">
        <f>'Schedule 3 Adjustments'!J153</f>
        <v>0</v>
      </c>
      <c r="K154" s="221">
        <f>'Schedule 3 Adjustments'!M153</f>
        <v>0</v>
      </c>
      <c r="L154" s="89"/>
      <c r="M154" s="87"/>
      <c r="N154" s="87"/>
      <c r="O154" s="87"/>
      <c r="P154" s="87"/>
      <c r="Q154" s="87"/>
      <c r="R154" s="87"/>
    </row>
    <row r="155" spans="1:18" x14ac:dyDescent="0.35">
      <c r="A155" s="102" t="s">
        <v>448</v>
      </c>
      <c r="B155" s="88"/>
      <c r="C155" s="88"/>
      <c r="D155" s="88"/>
      <c r="E155" s="88"/>
      <c r="F155" s="133"/>
      <c r="G155" s="136"/>
      <c r="H155" s="136"/>
      <c r="I155" s="105"/>
      <c r="J155" s="371">
        <f>'Schedule 3 Adjustments'!J154</f>
        <v>0</v>
      </c>
      <c r="K155" s="228">
        <f>'Schedule 3 Adjustments'!M154</f>
        <v>0</v>
      </c>
      <c r="L155" s="90"/>
      <c r="M155" s="88"/>
      <c r="N155" s="88"/>
      <c r="O155" s="88"/>
      <c r="P155" s="88"/>
      <c r="Q155" s="88"/>
      <c r="R155" s="88"/>
    </row>
    <row r="156" spans="1:18" x14ac:dyDescent="0.35">
      <c r="A156" s="103" t="s">
        <v>449</v>
      </c>
      <c r="B156" s="88"/>
      <c r="C156" s="88"/>
      <c r="D156" s="88"/>
      <c r="E156" s="88"/>
      <c r="F156" s="133"/>
      <c r="G156" s="136"/>
      <c r="H156" s="136"/>
      <c r="I156" s="105"/>
      <c r="J156" s="372">
        <f>'Schedule 3 Adjustments'!J155</f>
        <v>0</v>
      </c>
      <c r="K156" s="231">
        <f>'Schedule 3 Adjustments'!M155</f>
        <v>0</v>
      </c>
      <c r="L156" s="90"/>
      <c r="M156" s="88"/>
      <c r="N156" s="88"/>
      <c r="O156" s="88"/>
      <c r="P156" s="88"/>
      <c r="Q156" s="88"/>
      <c r="R156" s="88"/>
    </row>
    <row r="157" spans="1:18" x14ac:dyDescent="0.35">
      <c r="J157" s="100"/>
      <c r="L157" s="28"/>
    </row>
    <row r="158" spans="1:18" s="34" customFormat="1" x14ac:dyDescent="0.35">
      <c r="A158" s="84">
        <v>29</v>
      </c>
      <c r="B158" s="524">
        <f>'Schedule 3 Adjustments'!B157:C157</f>
        <v>0</v>
      </c>
      <c r="C158" s="525"/>
      <c r="D158" s="365">
        <f>'Schedule 3 Adjustments'!D157</f>
        <v>0</v>
      </c>
      <c r="E158" s="365">
        <f>'Schedule 3 Adjustments'!E157</f>
        <v>0</v>
      </c>
      <c r="F158" s="370">
        <f>'Schedule 3 Adjustments'!F157</f>
        <v>0</v>
      </c>
      <c r="G158" s="373">
        <f>'Schedule 3 Adjustments'!G157</f>
        <v>0</v>
      </c>
      <c r="H158" s="373">
        <f>'Schedule 3 Adjustments'!H157</f>
        <v>0</v>
      </c>
      <c r="I158" s="139" t="str">
        <f>IF(B158=0,"",IF(AND(G158=0,H158=0),365,IF(AND(G158&gt;0,H158=0),$C$7-G158+1,IF(AND(G158=0,H158&gt;0),H158-($C$7-365),H158-G158+1))))</f>
        <v/>
      </c>
      <c r="J158" s="98"/>
      <c r="K158" s="8">
        <f>SUM(K159:K161)</f>
        <v>0</v>
      </c>
      <c r="L158" s="91" t="str">
        <f>IF(K158&gt;0,K158/(F158*I158),"")</f>
        <v/>
      </c>
      <c r="M158" s="126">
        <f>'Schedule 3 Adjustments'!R157</f>
        <v>0</v>
      </c>
      <c r="N158" s="85" t="str">
        <f>IFERROR(M158/K158,"")</f>
        <v/>
      </c>
      <c r="O158" s="126">
        <f>'Schedule 3 Adjustments'!W157</f>
        <v>0</v>
      </c>
      <c r="P158" s="85" t="str">
        <f>IFERROR(O158/K158,"")</f>
        <v/>
      </c>
      <c r="Q158" s="86" t="str">
        <f>IF(M158=0,"",M158-O158)</f>
        <v/>
      </c>
      <c r="R158" s="85" t="str">
        <f>IFERROR(Q158/K158,"")</f>
        <v/>
      </c>
    </row>
    <row r="159" spans="1:18" x14ac:dyDescent="0.35">
      <c r="A159" s="101" t="s">
        <v>447</v>
      </c>
      <c r="B159" s="87"/>
      <c r="C159" s="87"/>
      <c r="D159" s="87"/>
      <c r="E159" s="87"/>
      <c r="F159" s="132"/>
      <c r="G159" s="135"/>
      <c r="H159" s="135"/>
      <c r="I159" s="104"/>
      <c r="J159" s="369">
        <f>'Schedule 3 Adjustments'!J158</f>
        <v>0</v>
      </c>
      <c r="K159" s="221">
        <f>'Schedule 3 Adjustments'!M158</f>
        <v>0</v>
      </c>
      <c r="L159" s="89"/>
      <c r="M159" s="87"/>
      <c r="N159" s="87"/>
      <c r="O159" s="87"/>
      <c r="P159" s="87"/>
      <c r="Q159" s="87"/>
      <c r="R159" s="87"/>
    </row>
    <row r="160" spans="1:18" x14ac:dyDescent="0.35">
      <c r="A160" s="102" t="s">
        <v>448</v>
      </c>
      <c r="B160" s="88"/>
      <c r="C160" s="88"/>
      <c r="D160" s="88"/>
      <c r="E160" s="88"/>
      <c r="F160" s="133"/>
      <c r="G160" s="136"/>
      <c r="H160" s="136"/>
      <c r="I160" s="105"/>
      <c r="J160" s="371">
        <f>'Schedule 3 Adjustments'!J159</f>
        <v>0</v>
      </c>
      <c r="K160" s="228">
        <f>'Schedule 3 Adjustments'!M159</f>
        <v>0</v>
      </c>
      <c r="L160" s="90"/>
      <c r="M160" s="88"/>
      <c r="N160" s="88"/>
      <c r="O160" s="88"/>
      <c r="P160" s="88"/>
      <c r="Q160" s="88"/>
      <c r="R160" s="88"/>
    </row>
    <row r="161" spans="1:18" x14ac:dyDescent="0.35">
      <c r="A161" s="103" t="s">
        <v>449</v>
      </c>
      <c r="B161" s="88"/>
      <c r="C161" s="88"/>
      <c r="D161" s="88"/>
      <c r="E161" s="88"/>
      <c r="F161" s="133"/>
      <c r="G161" s="136"/>
      <c r="H161" s="136"/>
      <c r="I161" s="105"/>
      <c r="J161" s="372">
        <f>'Schedule 3 Adjustments'!J160</f>
        <v>0</v>
      </c>
      <c r="K161" s="231">
        <f>'Schedule 3 Adjustments'!M160</f>
        <v>0</v>
      </c>
      <c r="L161" s="90"/>
      <c r="M161" s="88"/>
      <c r="N161" s="88"/>
      <c r="O161" s="88"/>
      <c r="P161" s="88"/>
      <c r="Q161" s="88"/>
      <c r="R161" s="88"/>
    </row>
    <row r="162" spans="1:18" x14ac:dyDescent="0.35">
      <c r="J162" s="100"/>
      <c r="L162" s="28"/>
    </row>
    <row r="163" spans="1:18" s="34" customFormat="1" x14ac:dyDescent="0.35">
      <c r="A163" s="84">
        <v>30</v>
      </c>
      <c r="B163" s="524">
        <f>'Schedule 3 Adjustments'!B162:C162</f>
        <v>0</v>
      </c>
      <c r="C163" s="525"/>
      <c r="D163" s="365">
        <f>'Schedule 3 Adjustments'!D162</f>
        <v>0</v>
      </c>
      <c r="E163" s="365">
        <f>'Schedule 3 Adjustments'!E162</f>
        <v>0</v>
      </c>
      <c r="F163" s="370">
        <f>'Schedule 3 Adjustments'!F162</f>
        <v>0</v>
      </c>
      <c r="G163" s="373">
        <f>'Schedule 3 Adjustments'!G162</f>
        <v>0</v>
      </c>
      <c r="H163" s="373">
        <f>'Schedule 3 Adjustments'!H162</f>
        <v>0</v>
      </c>
      <c r="I163" s="139" t="str">
        <f>IF(B163=0,"",IF(AND(G163=0,H163=0),365,IF(AND(G163&gt;0,H163=0),$C$7-G163+1,IF(AND(G163=0,H163&gt;0),H163-($C$7-365),H163-G163+1))))</f>
        <v/>
      </c>
      <c r="J163" s="98"/>
      <c r="K163" s="8">
        <f>SUM(K164:K166)</f>
        <v>0</v>
      </c>
      <c r="L163" s="91" t="str">
        <f>IF(K163&gt;0,K163/(F163*I163),"")</f>
        <v/>
      </c>
      <c r="M163" s="126">
        <f>'Schedule 3 Adjustments'!R162</f>
        <v>0</v>
      </c>
      <c r="N163" s="85" t="str">
        <f>IFERROR(M163/K163,"")</f>
        <v/>
      </c>
      <c r="O163" s="126">
        <f>'Schedule 3 Adjustments'!W162</f>
        <v>0</v>
      </c>
      <c r="P163" s="85" t="str">
        <f>IFERROR(O163/K163,"")</f>
        <v/>
      </c>
      <c r="Q163" s="86" t="str">
        <f>IF(M163=0,"",M163-O163)</f>
        <v/>
      </c>
      <c r="R163" s="85" t="str">
        <f>IFERROR(Q163/K163,"")</f>
        <v/>
      </c>
    </row>
    <row r="164" spans="1:18" x14ac:dyDescent="0.35">
      <c r="A164" s="101" t="s">
        <v>447</v>
      </c>
      <c r="B164" s="87"/>
      <c r="C164" s="87"/>
      <c r="D164" s="87"/>
      <c r="E164" s="87"/>
      <c r="F164" s="132"/>
      <c r="G164" s="135"/>
      <c r="H164" s="135"/>
      <c r="I164" s="104"/>
      <c r="J164" s="369">
        <f>'Schedule 3 Adjustments'!J163</f>
        <v>0</v>
      </c>
      <c r="K164" s="221">
        <f>'Schedule 3 Adjustments'!M163</f>
        <v>0</v>
      </c>
      <c r="L164" s="89"/>
      <c r="M164" s="87"/>
      <c r="N164" s="87"/>
      <c r="O164" s="87"/>
      <c r="P164" s="87"/>
      <c r="Q164" s="87"/>
      <c r="R164" s="87"/>
    </row>
    <row r="165" spans="1:18" x14ac:dyDescent="0.35">
      <c r="A165" s="102" t="s">
        <v>448</v>
      </c>
      <c r="B165" s="88"/>
      <c r="C165" s="88"/>
      <c r="D165" s="88"/>
      <c r="E165" s="88"/>
      <c r="F165" s="133"/>
      <c r="G165" s="136"/>
      <c r="H165" s="136"/>
      <c r="I165" s="105"/>
      <c r="J165" s="371">
        <f>'Schedule 3 Adjustments'!J164</f>
        <v>0</v>
      </c>
      <c r="K165" s="228">
        <f>'Schedule 3 Adjustments'!M164</f>
        <v>0</v>
      </c>
      <c r="L165" s="90"/>
      <c r="M165" s="88"/>
      <c r="N165" s="88"/>
      <c r="O165" s="88"/>
      <c r="P165" s="88"/>
      <c r="Q165" s="88"/>
      <c r="R165" s="88"/>
    </row>
    <row r="166" spans="1:18" x14ac:dyDescent="0.35">
      <c r="A166" s="103" t="s">
        <v>449</v>
      </c>
      <c r="B166" s="88"/>
      <c r="C166" s="88"/>
      <c r="D166" s="88"/>
      <c r="E166" s="88"/>
      <c r="F166" s="133"/>
      <c r="G166" s="136"/>
      <c r="H166" s="136"/>
      <c r="I166" s="105"/>
      <c r="J166" s="372">
        <f>'Schedule 3 Adjustments'!J165</f>
        <v>0</v>
      </c>
      <c r="K166" s="231">
        <f>'Schedule 3 Adjustments'!M165</f>
        <v>0</v>
      </c>
      <c r="L166" s="90"/>
      <c r="M166" s="88"/>
      <c r="N166" s="88"/>
      <c r="O166" s="88"/>
      <c r="P166" s="88"/>
      <c r="Q166" s="88"/>
      <c r="R166" s="88"/>
    </row>
    <row r="167" spans="1:18" x14ac:dyDescent="0.35">
      <c r="J167" s="100"/>
      <c r="L167" s="28"/>
    </row>
    <row r="168" spans="1:18" x14ac:dyDescent="0.35">
      <c r="A168" s="19">
        <v>31</v>
      </c>
      <c r="B168" s="523" t="s">
        <v>173</v>
      </c>
      <c r="C168" s="523"/>
      <c r="D168" s="523"/>
      <c r="E168" s="523"/>
      <c r="F168" s="27">
        <f>F163+F158+F153+F148+F143+F138+F133+F128+F123+F118+F113+F108+F103+F98+F93+F88+F83+F78+F73+F68+F63+F58+F53+F48+F43+F38+F33+F28+F23+F18</f>
        <v>16</v>
      </c>
      <c r="G168" s="32"/>
      <c r="H168" s="32"/>
      <c r="I168" s="32"/>
      <c r="J168" s="32"/>
      <c r="K168" s="27">
        <f>K163+K158+K153+K148+K143+K138+K133+K128+K123+K118+K113+K108+K103+K98+K93+K88+K83+K78+K73+K68+K63+K58+K53+K48+K43+K38+K33+K28+K23+K18</f>
        <v>1986</v>
      </c>
      <c r="L168" s="29">
        <f>IF(K168&gt;0,K168/(F168*365),"")</f>
        <v>0.34006849315068494</v>
      </c>
      <c r="M168" s="27">
        <f>M163+M158+M153+M148+M143+M138+M133+M128+M123+M118+M113+M108+M103+M98+M93+M88+M83+M78+M73+M68+M63+M58+M53+M48+M43+M38+M33+M28+M23+M18</f>
        <v>3659366.5359400609</v>
      </c>
      <c r="N168" s="17">
        <f>IFERROR(M168/K168,"")</f>
        <v>1842.5813373313499</v>
      </c>
      <c r="O168" s="27">
        <f>O163+O158+O153+O148+O143+O138+O133+O128+O123+O118+O113+O108+O103+O98+O93+O88+O83+O78+O73+O68+O63+O58+O53+O48+O43+O38+O33+O28+O23+O18</f>
        <v>134370.53375429299</v>
      </c>
      <c r="P168" s="17">
        <f t="shared" ref="P168" si="0">IFERROR(O168/K168,"")</f>
        <v>67.658879030359003</v>
      </c>
      <c r="Q168" s="30">
        <f t="shared" ref="Q168" si="1">IF(M168=0,"",M168-O168)</f>
        <v>3524996.002185768</v>
      </c>
      <c r="R168" s="17">
        <f t="shared" ref="R168" si="2">IFERROR(Q168/K168,"")</f>
        <v>1774.9224583009909</v>
      </c>
    </row>
    <row r="170" spans="1:18" x14ac:dyDescent="0.35">
      <c r="A170" s="19">
        <v>32</v>
      </c>
      <c r="L170" s="37" t="s">
        <v>199</v>
      </c>
      <c r="M170" s="39">
        <f>'Schedule 3 Adjustments'!R169</f>
        <v>2863995.9134879922</v>
      </c>
    </row>
    <row r="171" spans="1:18" x14ac:dyDescent="0.35">
      <c r="A171" s="19">
        <v>33</v>
      </c>
      <c r="L171" s="37" t="s">
        <v>186</v>
      </c>
      <c r="M171" s="39">
        <f>'Schedule 3 Adjustments'!R170</f>
        <v>795370.62245206907</v>
      </c>
    </row>
    <row r="172" spans="1:18" x14ac:dyDescent="0.35">
      <c r="A172" s="19">
        <v>34</v>
      </c>
      <c r="L172" s="37" t="s">
        <v>200</v>
      </c>
      <c r="M172" s="18">
        <f>SUM(M170:M171)</f>
        <v>3659366.5359400613</v>
      </c>
    </row>
    <row r="173" spans="1:18" x14ac:dyDescent="0.35">
      <c r="A173" s="19">
        <v>35</v>
      </c>
      <c r="L173" s="37" t="s">
        <v>10</v>
      </c>
      <c r="M173" s="18">
        <f>M168-M172</f>
        <v>0</v>
      </c>
    </row>
    <row r="174" spans="1:18" x14ac:dyDescent="0.35">
      <c r="M174" s="38" t="str">
        <f>IF(M173&lt;&gt;0,"ERROR","")</f>
        <v/>
      </c>
    </row>
    <row r="175" spans="1:18" ht="39" customHeight="1" x14ac:dyDescent="0.35">
      <c r="J175" s="6" t="s">
        <v>40</v>
      </c>
      <c r="K175" s="6" t="s">
        <v>446</v>
      </c>
      <c r="L175" s="6" t="s">
        <v>445</v>
      </c>
      <c r="M175" s="78" t="s">
        <v>10</v>
      </c>
    </row>
    <row r="176" spans="1:18" x14ac:dyDescent="0.35">
      <c r="A176" s="19">
        <v>36</v>
      </c>
      <c r="J176" s="93" t="s">
        <v>442</v>
      </c>
      <c r="K176" s="27">
        <f>SUMIF($J$18:$J$168,"H0010 3.2 WM",$K$18:$K$168)</f>
        <v>0</v>
      </c>
      <c r="L176" s="27">
        <f>'Adjusted Schedule 4'!D123+'Adjusted Schedule 4'!H123</f>
        <v>0</v>
      </c>
      <c r="M176" s="27">
        <f>L176-K176</f>
        <v>0</v>
      </c>
      <c r="N176" s="92" t="str">
        <f>IF(M176&lt;&gt;0,"ERROR","")</f>
        <v/>
      </c>
    </row>
    <row r="177" spans="1:14" x14ac:dyDescent="0.35">
      <c r="A177" s="19">
        <v>37</v>
      </c>
      <c r="J177" s="94" t="s">
        <v>443</v>
      </c>
      <c r="K177" s="27">
        <f>SUMIF($J$18:$J$168,"H0011 3.7 WM",$K$18:$K$168)</f>
        <v>0</v>
      </c>
      <c r="L177" s="27">
        <f>'Adjusted Schedule 4'!D124+'Adjusted Schedule 4'!H124</f>
        <v>0</v>
      </c>
      <c r="M177" s="27">
        <f t="shared" ref="M177:M180" si="3">L177-K177</f>
        <v>0</v>
      </c>
      <c r="N177" s="92" t="str">
        <f t="shared" ref="N177:N180" si="4">IF(M177&lt;&gt;0,"ERROR","")</f>
        <v/>
      </c>
    </row>
    <row r="178" spans="1:14" x14ac:dyDescent="0.35">
      <c r="A178" s="19">
        <v>38</v>
      </c>
      <c r="C178" s="232" t="s">
        <v>476</v>
      </c>
      <c r="D178" s="233"/>
      <c r="E178" s="233"/>
      <c r="F178" s="233"/>
      <c r="G178" s="145"/>
      <c r="J178" s="94" t="s">
        <v>51</v>
      </c>
      <c r="K178" s="27">
        <f t="shared" ref="K178:K185" si="5">SUMIF($J$18:$J$168,J178,$K$18:$K$168)</f>
        <v>1986</v>
      </c>
      <c r="L178" s="27">
        <f>'Adjusted Schedule 4'!D126+'Adjusted Schedule 4'!H126</f>
        <v>1986</v>
      </c>
      <c r="M178" s="27">
        <f t="shared" si="3"/>
        <v>0</v>
      </c>
      <c r="N178" s="92" t="str">
        <f t="shared" si="4"/>
        <v/>
      </c>
    </row>
    <row r="179" spans="1:14" x14ac:dyDescent="0.35">
      <c r="A179" s="19">
        <v>39</v>
      </c>
      <c r="C179" s="234" t="s">
        <v>468</v>
      </c>
      <c r="D179" s="235"/>
      <c r="E179" s="235" t="s">
        <v>472</v>
      </c>
      <c r="F179" s="100"/>
      <c r="G179" s="146"/>
      <c r="J179" s="94" t="s">
        <v>52</v>
      </c>
      <c r="K179" s="27">
        <f t="shared" si="5"/>
        <v>0</v>
      </c>
      <c r="L179" s="27">
        <f>'Adjusted Schedule 4'!D127+'Adjusted Schedule 4'!H127</f>
        <v>0</v>
      </c>
      <c r="M179" s="27">
        <f t="shared" si="3"/>
        <v>0</v>
      </c>
      <c r="N179" s="92" t="str">
        <f t="shared" si="4"/>
        <v/>
      </c>
    </row>
    <row r="180" spans="1:14" x14ac:dyDescent="0.35">
      <c r="A180" s="19">
        <v>40</v>
      </c>
      <c r="C180" s="234" t="s">
        <v>477</v>
      </c>
      <c r="D180" s="235"/>
      <c r="E180" s="235" t="s">
        <v>474</v>
      </c>
      <c r="F180" s="100"/>
      <c r="G180" s="146"/>
      <c r="J180" s="94" t="s">
        <v>53</v>
      </c>
      <c r="K180" s="27">
        <f t="shared" si="5"/>
        <v>0</v>
      </c>
      <c r="L180" s="27">
        <f>'Adjusted Schedule 4'!D128+'Adjusted Schedule 4'!H128</f>
        <v>0</v>
      </c>
      <c r="M180" s="27">
        <f t="shared" si="3"/>
        <v>0</v>
      </c>
      <c r="N180" s="92" t="str">
        <f t="shared" si="4"/>
        <v/>
      </c>
    </row>
    <row r="181" spans="1:14" x14ac:dyDescent="0.35">
      <c r="A181" s="19">
        <v>41</v>
      </c>
      <c r="C181" s="234" t="s">
        <v>469</v>
      </c>
      <c r="D181" s="235"/>
      <c r="E181" s="235" t="s">
        <v>473</v>
      </c>
      <c r="F181" s="100"/>
      <c r="G181" s="146"/>
      <c r="J181" s="95" t="s">
        <v>440</v>
      </c>
      <c r="K181" s="106">
        <f t="shared" si="5"/>
        <v>0</v>
      </c>
      <c r="L181" s="89"/>
      <c r="M181" s="87"/>
    </row>
    <row r="182" spans="1:14" x14ac:dyDescent="0.35">
      <c r="A182" s="19">
        <v>42</v>
      </c>
      <c r="C182" s="234" t="s">
        <v>470</v>
      </c>
      <c r="D182" s="235"/>
      <c r="E182" s="235" t="s">
        <v>471</v>
      </c>
      <c r="F182" s="100"/>
      <c r="G182" s="146"/>
      <c r="J182" s="95" t="s">
        <v>444</v>
      </c>
      <c r="K182" s="108">
        <f t="shared" si="5"/>
        <v>0</v>
      </c>
      <c r="L182" s="90"/>
      <c r="M182" s="88"/>
    </row>
    <row r="183" spans="1:14" x14ac:dyDescent="0.35">
      <c r="A183" s="19">
        <v>43</v>
      </c>
      <c r="C183" s="236" t="s">
        <v>478</v>
      </c>
      <c r="D183" s="237"/>
      <c r="E183" s="237" t="s">
        <v>475</v>
      </c>
      <c r="F183" s="238"/>
      <c r="G183" s="147"/>
      <c r="J183" s="95" t="s">
        <v>439</v>
      </c>
      <c r="K183" s="108">
        <f t="shared" si="5"/>
        <v>0</v>
      </c>
      <c r="L183" s="109"/>
      <c r="M183" s="110"/>
    </row>
    <row r="184" spans="1:14" x14ac:dyDescent="0.35">
      <c r="A184" s="19">
        <v>44</v>
      </c>
      <c r="C184" s="100"/>
      <c r="D184" s="100"/>
      <c r="E184" s="100"/>
      <c r="F184" s="100"/>
      <c r="J184" s="96" t="s">
        <v>438</v>
      </c>
      <c r="K184" s="107">
        <f t="shared" si="5"/>
        <v>0</v>
      </c>
      <c r="L184" s="27">
        <f>'Adjusted Schedule 4'!D181+'Adjusted Schedule 4'!H181</f>
        <v>0</v>
      </c>
      <c r="M184" s="27">
        <f>L184-SUM(K181:K184)</f>
        <v>0</v>
      </c>
      <c r="N184" s="92" t="str">
        <f t="shared" ref="N184" si="6">IF(M184&lt;&gt;0,"ERROR","")</f>
        <v/>
      </c>
    </row>
    <row r="185" spans="1:14" x14ac:dyDescent="0.35">
      <c r="A185" s="19">
        <v>45</v>
      </c>
      <c r="C185" s="100"/>
      <c r="D185" s="100"/>
      <c r="E185" s="100"/>
      <c r="F185" s="100"/>
      <c r="J185" s="94" t="s">
        <v>481</v>
      </c>
      <c r="K185" s="27">
        <f t="shared" si="5"/>
        <v>0</v>
      </c>
      <c r="L185" s="90"/>
      <c r="M185" s="88"/>
    </row>
    <row r="186" spans="1:14" x14ac:dyDescent="0.35">
      <c r="C186" s="100"/>
      <c r="D186" s="100"/>
      <c r="E186" s="100"/>
      <c r="F186" s="100"/>
    </row>
    <row r="250" spans="4:10" ht="17.25" customHeight="1" x14ac:dyDescent="0.35"/>
    <row r="252" spans="4:10" hidden="1" x14ac:dyDescent="0.35">
      <c r="D252" t="s">
        <v>456</v>
      </c>
      <c r="E252" t="s">
        <v>159</v>
      </c>
      <c r="J252" s="111" t="s">
        <v>450</v>
      </c>
    </row>
    <row r="253" spans="4:10" hidden="1" x14ac:dyDescent="0.35">
      <c r="D253" t="s">
        <v>176</v>
      </c>
      <c r="E253" t="s">
        <v>456</v>
      </c>
      <c r="J253" s="112" t="s">
        <v>451</v>
      </c>
    </row>
    <row r="254" spans="4:10" hidden="1" x14ac:dyDescent="0.35">
      <c r="D254" t="s">
        <v>175</v>
      </c>
      <c r="E254" t="s">
        <v>467</v>
      </c>
      <c r="J254" s="112" t="s">
        <v>51</v>
      </c>
    </row>
    <row r="255" spans="4:10" hidden="1" x14ac:dyDescent="0.35">
      <c r="D255" t="s">
        <v>435</v>
      </c>
      <c r="E255" t="s">
        <v>466</v>
      </c>
      <c r="J255" s="112" t="s">
        <v>52</v>
      </c>
    </row>
    <row r="256" spans="4:10" hidden="1" x14ac:dyDescent="0.35">
      <c r="D256" t="s">
        <v>170</v>
      </c>
      <c r="E256" t="s">
        <v>174</v>
      </c>
      <c r="J256" s="112" t="s">
        <v>53</v>
      </c>
    </row>
    <row r="257" spans="4:10" hidden="1" x14ac:dyDescent="0.35">
      <c r="D257" t="s">
        <v>482</v>
      </c>
      <c r="E257" t="s">
        <v>172</v>
      </c>
      <c r="J257" s="112" t="s">
        <v>440</v>
      </c>
    </row>
    <row r="258" spans="4:10" hidden="1" x14ac:dyDescent="0.35">
      <c r="E258" t="s">
        <v>171</v>
      </c>
      <c r="J258" s="112" t="s">
        <v>444</v>
      </c>
    </row>
    <row r="259" spans="4:10" hidden="1" x14ac:dyDescent="0.35">
      <c r="E259" t="s">
        <v>465</v>
      </c>
      <c r="J259" s="112" t="s">
        <v>439</v>
      </c>
    </row>
    <row r="260" spans="4:10" hidden="1" x14ac:dyDescent="0.35">
      <c r="E260" t="s">
        <v>436</v>
      </c>
      <c r="J260" s="113" t="s">
        <v>438</v>
      </c>
    </row>
    <row r="261" spans="4:10" hidden="1" x14ac:dyDescent="0.35">
      <c r="J261" s="113" t="s">
        <v>481</v>
      </c>
    </row>
    <row r="262" spans="4:10" hidden="1" x14ac:dyDescent="0.35">
      <c r="J262" s="113" t="s">
        <v>455</v>
      </c>
    </row>
  </sheetData>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44">
    <mergeCell ref="Q15:R15"/>
    <mergeCell ref="B18:C18"/>
    <mergeCell ref="A10:K12"/>
    <mergeCell ref="B14:C14"/>
    <mergeCell ref="B15:C16"/>
    <mergeCell ref="D15:D16"/>
    <mergeCell ref="E15:E16"/>
    <mergeCell ref="F15:F16"/>
    <mergeCell ref="G15:G16"/>
    <mergeCell ref="H15:H16"/>
    <mergeCell ref="B48:C48"/>
    <mergeCell ref="K15:K16"/>
    <mergeCell ref="L15:L16"/>
    <mergeCell ref="M15:N15"/>
    <mergeCell ref="O15:P15"/>
    <mergeCell ref="B23:C23"/>
    <mergeCell ref="B28:C28"/>
    <mergeCell ref="B33:C33"/>
    <mergeCell ref="B38:C38"/>
    <mergeCell ref="B43:C43"/>
    <mergeCell ref="B108:C108"/>
    <mergeCell ref="B53:C53"/>
    <mergeCell ref="B58:C58"/>
    <mergeCell ref="B63:C63"/>
    <mergeCell ref="B68:C68"/>
    <mergeCell ref="B73:C73"/>
    <mergeCell ref="B78:C78"/>
    <mergeCell ref="B83:C83"/>
    <mergeCell ref="B88:C88"/>
    <mergeCell ref="B93:C93"/>
    <mergeCell ref="B98:C98"/>
    <mergeCell ref="B103:C103"/>
    <mergeCell ref="B168:E168"/>
    <mergeCell ref="B113:C113"/>
    <mergeCell ref="B118:C118"/>
    <mergeCell ref="B123:C123"/>
    <mergeCell ref="B128:C128"/>
    <mergeCell ref="B133:C133"/>
    <mergeCell ref="B138:C138"/>
    <mergeCell ref="B143:C143"/>
    <mergeCell ref="B148:C148"/>
    <mergeCell ref="B153:C153"/>
    <mergeCell ref="B158:C158"/>
    <mergeCell ref="B163:C163"/>
  </mergeCells>
  <pageMargins left="0.7" right="0.7" top="0.75" bottom="0.75" header="0.3" footer="0.3"/>
  <pageSetup orientation="portrait" horizontalDpi="1200" verticalDpi="1200"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rgb="FFF8971D"/>
  </sheetPr>
  <dimension ref="A1:L198"/>
  <sheetViews>
    <sheetView workbookViewId="0"/>
  </sheetViews>
  <sheetFormatPr defaultColWidth="9.1796875" defaultRowHeight="14.5" x14ac:dyDescent="0.35"/>
  <cols>
    <col min="2" max="2" width="15.54296875" customWidth="1"/>
    <col min="3" max="3" width="77" style="4" customWidth="1"/>
    <col min="4" max="4" width="18.54296875" style="4" customWidth="1"/>
    <col min="5" max="5" width="25.453125" style="4" customWidth="1"/>
    <col min="6" max="6" width="18.54296875" style="4" customWidth="1"/>
    <col min="7" max="7" width="27.54296875" style="13" customWidth="1"/>
    <col min="8" max="8" width="25.1796875" style="13" customWidth="1"/>
    <col min="9" max="9" width="21" style="13" customWidth="1"/>
    <col min="10" max="10" width="25" style="13" customWidth="1"/>
    <col min="11" max="11" width="21" style="13" customWidth="1"/>
    <col min="12" max="12" width="16" customWidth="1"/>
  </cols>
  <sheetData>
    <row r="1" spans="1:12" ht="26" x14ac:dyDescent="0.6">
      <c r="A1" s="3" t="s">
        <v>774</v>
      </c>
      <c r="D1" s="48"/>
      <c r="E1" s="49"/>
      <c r="F1" s="49"/>
      <c r="G1" s="50"/>
      <c r="H1" s="50"/>
    </row>
    <row r="2" spans="1:12" ht="21" x14ac:dyDescent="0.5">
      <c r="A2" s="2" t="s">
        <v>772</v>
      </c>
      <c r="D2" s="54"/>
      <c r="E2" s="49"/>
      <c r="F2" s="49"/>
      <c r="G2" s="50"/>
      <c r="H2" s="50"/>
    </row>
    <row r="3" spans="1:12" ht="25" customHeight="1" x14ac:dyDescent="0.5">
      <c r="A3" s="5" t="s">
        <v>928</v>
      </c>
      <c r="B3" s="5"/>
      <c r="C3" s="7"/>
      <c r="D3" s="54"/>
      <c r="E3" s="51"/>
      <c r="F3" s="51"/>
      <c r="G3" s="52"/>
      <c r="H3" s="52"/>
      <c r="I3" s="14"/>
      <c r="J3" s="14"/>
    </row>
    <row r="4" spans="1:12" ht="25" customHeight="1" x14ac:dyDescent="0.5">
      <c r="A4" s="243" t="str">
        <f>Results!A4</f>
        <v>Final Adjustments</v>
      </c>
      <c r="B4" s="5"/>
      <c r="C4" s="7"/>
      <c r="D4" s="54"/>
      <c r="E4" s="51"/>
      <c r="F4" s="51"/>
      <c r="G4" s="52"/>
      <c r="H4" s="52"/>
      <c r="I4" s="14"/>
      <c r="J4" s="14"/>
    </row>
    <row r="5" spans="1:12" x14ac:dyDescent="0.35">
      <c r="D5" s="54"/>
      <c r="E5" s="49"/>
      <c r="F5" s="49"/>
      <c r="G5" s="50"/>
      <c r="H5" s="50"/>
      <c r="K5" s="535"/>
      <c r="L5" s="535"/>
    </row>
    <row r="6" spans="1:12" ht="15" customHeight="1" x14ac:dyDescent="0.35">
      <c r="A6" s="1" t="s">
        <v>773</v>
      </c>
      <c r="C6" s="421" t="str">
        <f>Results!$C$6</f>
        <v>Health Solutions</v>
      </c>
      <c r="D6" s="55"/>
      <c r="E6" s="53"/>
      <c r="F6" s="53"/>
      <c r="G6" s="50"/>
      <c r="H6" s="50"/>
      <c r="K6" s="535"/>
      <c r="L6" s="535"/>
    </row>
    <row r="7" spans="1:12" x14ac:dyDescent="0.35">
      <c r="A7" s="1" t="s">
        <v>0</v>
      </c>
      <c r="C7" s="35">
        <f>Results!$C$7</f>
        <v>45473</v>
      </c>
      <c r="D7" s="35"/>
      <c r="E7" s="35"/>
      <c r="F7" s="35"/>
      <c r="K7" s="535"/>
      <c r="L7" s="535"/>
    </row>
    <row r="8" spans="1:12" x14ac:dyDescent="0.35">
      <c r="A8" s="1"/>
      <c r="C8" s="35"/>
      <c r="D8" s="23">
        <v>1</v>
      </c>
      <c r="E8" s="35"/>
      <c r="F8" s="23">
        <v>3</v>
      </c>
      <c r="H8" s="205"/>
      <c r="I8" s="175">
        <v>6</v>
      </c>
      <c r="J8" s="205"/>
      <c r="K8" s="175">
        <v>8</v>
      </c>
      <c r="L8" s="81"/>
    </row>
    <row r="9" spans="1:12" x14ac:dyDescent="0.35">
      <c r="A9" s="19">
        <v>1</v>
      </c>
      <c r="C9" s="46" t="s">
        <v>705</v>
      </c>
      <c r="D9" s="26">
        <f>'Adjusted Schedule 1'!F96</f>
        <v>44572738.6934141</v>
      </c>
      <c r="E9" s="46" t="s">
        <v>708</v>
      </c>
      <c r="F9" s="31">
        <f>F198</f>
        <v>149909.44</v>
      </c>
      <c r="H9" s="427" t="s">
        <v>862</v>
      </c>
      <c r="I9" s="26">
        <f>'Adjusted Schedule 1'!F96</f>
        <v>44572738.6934141</v>
      </c>
      <c r="J9" s="427" t="s">
        <v>865</v>
      </c>
      <c r="K9" s="180">
        <f>'Schedule 4 Adjustments'!S8</f>
        <v>114120</v>
      </c>
      <c r="L9" s="25"/>
    </row>
    <row r="10" spans="1:12" x14ac:dyDescent="0.35">
      <c r="A10" s="19">
        <v>2</v>
      </c>
      <c r="C10" s="46" t="s">
        <v>706</v>
      </c>
      <c r="D10" s="117">
        <f>'Schedule 4 Adjustments'!F9</f>
        <v>339092.81999999966</v>
      </c>
      <c r="E10" s="46" t="s">
        <v>709</v>
      </c>
      <c r="F10" s="31">
        <f>J198</f>
        <v>241108.66000000003</v>
      </c>
      <c r="H10" s="427" t="s">
        <v>863</v>
      </c>
      <c r="I10" s="180">
        <f>'Schedule 4 Adjustments'!O9</f>
        <v>307313.48905809567</v>
      </c>
      <c r="J10" s="539"/>
      <c r="K10" s="539"/>
      <c r="L10" s="45"/>
    </row>
    <row r="11" spans="1:12" x14ac:dyDescent="0.35">
      <c r="A11" s="19">
        <v>3</v>
      </c>
      <c r="C11" s="42" t="s">
        <v>707</v>
      </c>
      <c r="D11" s="18">
        <f>D9-D10</f>
        <v>44233645.873414099</v>
      </c>
      <c r="E11" s="42" t="s">
        <v>710</v>
      </c>
      <c r="F11" s="9">
        <f>SUM(F9:F10)</f>
        <v>391018.10000000003</v>
      </c>
      <c r="H11" s="428" t="s">
        <v>864</v>
      </c>
      <c r="I11" s="185">
        <f>I9-I10</f>
        <v>44265425.204356007</v>
      </c>
      <c r="J11" s="539"/>
      <c r="K11" s="539"/>
      <c r="L11" s="45"/>
    </row>
    <row r="12" spans="1:12" x14ac:dyDescent="0.35">
      <c r="A12" s="1"/>
      <c r="H12" s="206"/>
      <c r="I12" s="206"/>
      <c r="J12" s="539"/>
      <c r="K12" s="540"/>
      <c r="L12" s="45"/>
    </row>
    <row r="13" spans="1:12" ht="18.5" x14ac:dyDescent="0.45">
      <c r="A13" s="19">
        <v>4</v>
      </c>
      <c r="E13" s="44" t="s">
        <v>711</v>
      </c>
      <c r="F13" s="43">
        <f>D11/F11</f>
        <v>113.12429238803547</v>
      </c>
      <c r="H13" s="206"/>
      <c r="I13" s="206"/>
      <c r="J13" s="429" t="s">
        <v>866</v>
      </c>
      <c r="K13" s="430">
        <f>I11/K9</f>
        <v>387.88490364840527</v>
      </c>
      <c r="L13" s="45"/>
    </row>
    <row r="14" spans="1:12" x14ac:dyDescent="0.35">
      <c r="A14" s="1"/>
      <c r="B14" s="422"/>
      <c r="C14" s="35"/>
      <c r="D14" s="35"/>
      <c r="E14" s="35"/>
      <c r="F14" s="35"/>
      <c r="I14" s="144"/>
    </row>
    <row r="15" spans="1:12" x14ac:dyDescent="0.35">
      <c r="D15" s="23">
        <v>1</v>
      </c>
      <c r="E15" s="23">
        <v>2</v>
      </c>
      <c r="F15" s="23">
        <v>3</v>
      </c>
      <c r="G15" s="23">
        <v>4</v>
      </c>
      <c r="H15" s="23">
        <v>5</v>
      </c>
      <c r="I15" s="23">
        <v>6</v>
      </c>
      <c r="J15" s="23">
        <v>7</v>
      </c>
      <c r="K15" s="23">
        <v>8</v>
      </c>
    </row>
    <row r="16" spans="1:12" x14ac:dyDescent="0.35">
      <c r="A16" s="1"/>
      <c r="C16" s="35"/>
      <c r="D16" s="536" t="s">
        <v>191</v>
      </c>
      <c r="E16" s="537"/>
      <c r="F16" s="537"/>
      <c r="G16" s="538"/>
      <c r="H16" s="536" t="s">
        <v>192</v>
      </c>
      <c r="I16" s="537"/>
      <c r="J16" s="537"/>
      <c r="K16" s="538"/>
    </row>
    <row r="17" spans="1:11" ht="43.5" x14ac:dyDescent="0.35">
      <c r="B17" s="208" t="s">
        <v>40</v>
      </c>
      <c r="C17" s="208" t="s">
        <v>11</v>
      </c>
      <c r="D17" s="208" t="s">
        <v>713</v>
      </c>
      <c r="E17" s="239" t="s">
        <v>712</v>
      </c>
      <c r="F17" s="377" t="s">
        <v>715</v>
      </c>
      <c r="G17" s="240" t="s">
        <v>714</v>
      </c>
      <c r="H17" s="240" t="s">
        <v>716</v>
      </c>
      <c r="I17" s="239" t="s">
        <v>484</v>
      </c>
      <c r="J17" s="16" t="s">
        <v>717</v>
      </c>
      <c r="K17" s="15" t="s">
        <v>718</v>
      </c>
    </row>
    <row r="18" spans="1:11" s="22" customFormat="1" x14ac:dyDescent="0.35">
      <c r="A18" s="19">
        <v>5</v>
      </c>
      <c r="B18" s="424" t="s">
        <v>787</v>
      </c>
      <c r="C18" s="20" t="s">
        <v>788</v>
      </c>
      <c r="D18" s="116">
        <f>'Schedule 4 Adjustments'!F17</f>
        <v>0</v>
      </c>
      <c r="E18" s="410">
        <v>0</v>
      </c>
      <c r="F18" s="148">
        <f>D18*E18</f>
        <v>0</v>
      </c>
      <c r="G18" s="149">
        <f t="shared" ref="G18:G82" si="0">E18*$F$13</f>
        <v>0</v>
      </c>
      <c r="H18" s="150">
        <f>'Schedule 4 Adjustments'!N17</f>
        <v>0</v>
      </c>
      <c r="I18" s="410">
        <v>0</v>
      </c>
      <c r="J18" s="47">
        <f>H18*I18</f>
        <v>0</v>
      </c>
      <c r="K18" s="21">
        <f t="shared" ref="K18" si="1">I18*$F$13</f>
        <v>0</v>
      </c>
    </row>
    <row r="19" spans="1:11" s="22" customFormat="1" x14ac:dyDescent="0.35">
      <c r="A19" s="19">
        <v>6</v>
      </c>
      <c r="B19" s="19">
        <v>80305</v>
      </c>
      <c r="C19" s="20" t="s">
        <v>111</v>
      </c>
      <c r="D19" s="116">
        <f>'Schedule 4 Adjustments'!F18</f>
        <v>0</v>
      </c>
      <c r="E19" s="410">
        <v>0</v>
      </c>
      <c r="F19" s="148">
        <f>D19*E19</f>
        <v>0</v>
      </c>
      <c r="G19" s="149">
        <f t="shared" si="0"/>
        <v>0</v>
      </c>
      <c r="H19" s="150">
        <f>'Schedule 4 Adjustments'!N18</f>
        <v>0</v>
      </c>
      <c r="I19" s="410">
        <v>0</v>
      </c>
      <c r="J19" s="47">
        <f>H19*I19</f>
        <v>0</v>
      </c>
      <c r="K19" s="21">
        <f t="shared" ref="K19:K82" si="2">I19*$F$13</f>
        <v>0</v>
      </c>
    </row>
    <row r="20" spans="1:11" s="22" customFormat="1" x14ac:dyDescent="0.35">
      <c r="A20" s="19">
        <v>7</v>
      </c>
      <c r="B20" s="19">
        <v>80306</v>
      </c>
      <c r="C20" s="20" t="s">
        <v>41</v>
      </c>
      <c r="D20" s="116">
        <f>'Schedule 4 Adjustments'!F19</f>
        <v>0</v>
      </c>
      <c r="E20" s="410">
        <v>0</v>
      </c>
      <c r="F20" s="148">
        <f>D20*E20</f>
        <v>0</v>
      </c>
      <c r="G20" s="149">
        <f t="shared" si="0"/>
        <v>0</v>
      </c>
      <c r="H20" s="150">
        <f>'Schedule 4 Adjustments'!N19</f>
        <v>0</v>
      </c>
      <c r="I20" s="410">
        <v>0</v>
      </c>
      <c r="J20" s="47">
        <f t="shared" ref="J20:J83" si="3">H20*I20</f>
        <v>0</v>
      </c>
      <c r="K20" s="21">
        <f t="shared" si="2"/>
        <v>0</v>
      </c>
    </row>
    <row r="21" spans="1:11" s="22" customFormat="1" x14ac:dyDescent="0.35">
      <c r="A21" s="19">
        <v>8</v>
      </c>
      <c r="B21" s="19">
        <v>82075</v>
      </c>
      <c r="C21" s="20" t="s">
        <v>112</v>
      </c>
      <c r="D21" s="116">
        <f>'Schedule 4 Adjustments'!F20</f>
        <v>0</v>
      </c>
      <c r="E21" s="410">
        <v>0</v>
      </c>
      <c r="F21" s="148">
        <f t="shared" ref="F21:F84" si="4">D21*E21</f>
        <v>0</v>
      </c>
      <c r="G21" s="149">
        <f t="shared" si="0"/>
        <v>0</v>
      </c>
      <c r="H21" s="150">
        <f>'Schedule 4 Adjustments'!N20</f>
        <v>0</v>
      </c>
      <c r="I21" s="410">
        <v>0</v>
      </c>
      <c r="J21" s="47">
        <f t="shared" si="3"/>
        <v>0</v>
      </c>
      <c r="K21" s="21">
        <f t="shared" si="2"/>
        <v>0</v>
      </c>
    </row>
    <row r="22" spans="1:11" s="22" customFormat="1" x14ac:dyDescent="0.35">
      <c r="A22" s="19">
        <v>9</v>
      </c>
      <c r="B22" s="19">
        <v>90785</v>
      </c>
      <c r="C22" s="20" t="s">
        <v>319</v>
      </c>
      <c r="D22" s="116">
        <f>'Schedule 4 Adjustments'!F21</f>
        <v>6</v>
      </c>
      <c r="E22" s="410">
        <v>0.44</v>
      </c>
      <c r="F22" s="47">
        <f t="shared" si="4"/>
        <v>2.64</v>
      </c>
      <c r="G22" s="21">
        <f t="shared" si="0"/>
        <v>49.774688650735605</v>
      </c>
      <c r="H22" s="150">
        <f>'Schedule 4 Adjustments'!N21</f>
        <v>111</v>
      </c>
      <c r="I22" s="410">
        <v>0.39</v>
      </c>
      <c r="J22" s="47">
        <f t="shared" si="3"/>
        <v>43.29</v>
      </c>
      <c r="K22" s="21">
        <f t="shared" si="2"/>
        <v>44.118474031333832</v>
      </c>
    </row>
    <row r="23" spans="1:11" s="22" customFormat="1" x14ac:dyDescent="0.35">
      <c r="A23" s="19">
        <v>10</v>
      </c>
      <c r="B23" s="19">
        <v>90791</v>
      </c>
      <c r="C23" s="20" t="s">
        <v>320</v>
      </c>
      <c r="D23" s="116">
        <f>'Schedule 4 Adjustments'!F22</f>
        <v>1976</v>
      </c>
      <c r="E23" s="410">
        <v>5.17</v>
      </c>
      <c r="F23" s="47">
        <f t="shared" si="4"/>
        <v>10215.92</v>
      </c>
      <c r="G23" s="21">
        <f t="shared" si="0"/>
        <v>584.85259164614342</v>
      </c>
      <c r="H23" s="150">
        <f>'Schedule 4 Adjustments'!N22</f>
        <v>1003</v>
      </c>
      <c r="I23" s="410">
        <v>4.43</v>
      </c>
      <c r="J23" s="47">
        <f t="shared" si="3"/>
        <v>4443.29</v>
      </c>
      <c r="K23" s="21">
        <f t="shared" si="2"/>
        <v>501.14061527899713</v>
      </c>
    </row>
    <row r="24" spans="1:11" s="22" customFormat="1" x14ac:dyDescent="0.35">
      <c r="A24" s="19">
        <v>11</v>
      </c>
      <c r="B24" s="19">
        <v>90792</v>
      </c>
      <c r="C24" s="20" t="s">
        <v>321</v>
      </c>
      <c r="D24" s="116">
        <f>'Schedule 4 Adjustments'!F23</f>
        <v>967</v>
      </c>
      <c r="E24" s="410">
        <v>5.82</v>
      </c>
      <c r="F24" s="47">
        <f t="shared" si="4"/>
        <v>5627.9400000000005</v>
      </c>
      <c r="G24" s="21">
        <f t="shared" si="0"/>
        <v>658.38338169836652</v>
      </c>
      <c r="H24" s="150">
        <f>'Schedule 4 Adjustments'!N23</f>
        <v>476</v>
      </c>
      <c r="I24" s="410">
        <v>5.08</v>
      </c>
      <c r="J24" s="47">
        <f t="shared" si="3"/>
        <v>2418.08</v>
      </c>
      <c r="K24" s="21">
        <f t="shared" si="2"/>
        <v>574.67140533122017</v>
      </c>
    </row>
    <row r="25" spans="1:11" s="22" customFormat="1" x14ac:dyDescent="0.35">
      <c r="A25" s="19">
        <v>12</v>
      </c>
      <c r="B25" s="19">
        <v>90832</v>
      </c>
      <c r="C25" s="20" t="s">
        <v>325</v>
      </c>
      <c r="D25" s="116">
        <f>'Schedule 4 Adjustments'!F24</f>
        <v>3049</v>
      </c>
      <c r="E25" s="410">
        <v>2.35</v>
      </c>
      <c r="F25" s="47">
        <f t="shared" si="4"/>
        <v>7165.1500000000005</v>
      </c>
      <c r="G25" s="21">
        <f t="shared" si="0"/>
        <v>265.84208711188336</v>
      </c>
      <c r="H25" s="150">
        <f>'Schedule 4 Adjustments'!N24</f>
        <v>3146</v>
      </c>
      <c r="I25" s="410">
        <v>2.0499999999999998</v>
      </c>
      <c r="J25" s="47">
        <f t="shared" si="3"/>
        <v>6449.2999999999993</v>
      </c>
      <c r="K25" s="21">
        <f t="shared" si="2"/>
        <v>231.90479939547271</v>
      </c>
    </row>
    <row r="26" spans="1:11" s="22" customFormat="1" x14ac:dyDescent="0.35">
      <c r="A26" s="19">
        <v>13</v>
      </c>
      <c r="B26" s="19">
        <v>90833</v>
      </c>
      <c r="C26" s="20" t="s">
        <v>322</v>
      </c>
      <c r="D26" s="116">
        <f>'Schedule 4 Adjustments'!F25</f>
        <v>0</v>
      </c>
      <c r="E26" s="410">
        <v>2.16</v>
      </c>
      <c r="F26" s="47">
        <f t="shared" si="4"/>
        <v>0</v>
      </c>
      <c r="G26" s="21">
        <f t="shared" si="0"/>
        <v>244.34847155815663</v>
      </c>
      <c r="H26" s="150">
        <f>'Schedule 4 Adjustments'!N25</f>
        <v>0</v>
      </c>
      <c r="I26" s="410">
        <v>1.92</v>
      </c>
      <c r="J26" s="47">
        <f t="shared" si="3"/>
        <v>0</v>
      </c>
      <c r="K26" s="21">
        <f t="shared" si="2"/>
        <v>217.19864138502808</v>
      </c>
    </row>
    <row r="27" spans="1:11" s="22" customFormat="1" x14ac:dyDescent="0.35">
      <c r="A27" s="19">
        <v>14</v>
      </c>
      <c r="B27" s="19">
        <v>90834</v>
      </c>
      <c r="C27" s="20" t="s">
        <v>323</v>
      </c>
      <c r="D27" s="116">
        <f>'Schedule 4 Adjustments'!F26</f>
        <v>2666</v>
      </c>
      <c r="E27" s="410">
        <v>3.1</v>
      </c>
      <c r="F27" s="47">
        <f t="shared" si="4"/>
        <v>8264.6</v>
      </c>
      <c r="G27" s="21">
        <f t="shared" si="0"/>
        <v>350.68530640290999</v>
      </c>
      <c r="H27" s="150">
        <f>'Schedule 4 Adjustments'!N26</f>
        <v>3891</v>
      </c>
      <c r="I27" s="410">
        <v>2.71</v>
      </c>
      <c r="J27" s="47">
        <f t="shared" si="3"/>
        <v>10544.61</v>
      </c>
      <c r="K27" s="21">
        <f t="shared" si="2"/>
        <v>306.56683237157614</v>
      </c>
    </row>
    <row r="28" spans="1:11" s="22" customFormat="1" x14ac:dyDescent="0.35">
      <c r="A28" s="19">
        <v>15</v>
      </c>
      <c r="B28" s="19">
        <v>90836</v>
      </c>
      <c r="C28" s="20" t="s">
        <v>326</v>
      </c>
      <c r="D28" s="116">
        <f>'Schedule 4 Adjustments'!F27</f>
        <v>0</v>
      </c>
      <c r="E28" s="410">
        <v>2.73</v>
      </c>
      <c r="F28" s="47">
        <f t="shared" si="4"/>
        <v>0</v>
      </c>
      <c r="G28" s="21">
        <f t="shared" si="0"/>
        <v>308.82931821933681</v>
      </c>
      <c r="H28" s="150">
        <f>'Schedule 4 Adjustments'!N27</f>
        <v>0</v>
      </c>
      <c r="I28" s="410">
        <v>2.4300000000000002</v>
      </c>
      <c r="J28" s="47">
        <f t="shared" si="3"/>
        <v>0</v>
      </c>
      <c r="K28" s="21">
        <f t="shared" si="2"/>
        <v>274.89203050292622</v>
      </c>
    </row>
    <row r="29" spans="1:11" s="22" customFormat="1" x14ac:dyDescent="0.35">
      <c r="A29" s="19">
        <v>16</v>
      </c>
      <c r="B29" s="19">
        <v>90837</v>
      </c>
      <c r="C29" s="20" t="s">
        <v>324</v>
      </c>
      <c r="D29" s="116">
        <f>'Schedule 4 Adjustments'!F28</f>
        <v>4526</v>
      </c>
      <c r="E29" s="410">
        <v>4.57</v>
      </c>
      <c r="F29" s="47">
        <f t="shared" si="4"/>
        <v>20683.82</v>
      </c>
      <c r="G29" s="21">
        <f t="shared" si="0"/>
        <v>516.97801621332212</v>
      </c>
      <c r="H29" s="150">
        <f>'Schedule 4 Adjustments'!N28</f>
        <v>11645</v>
      </c>
      <c r="I29" s="410">
        <v>4</v>
      </c>
      <c r="J29" s="47">
        <f t="shared" si="3"/>
        <v>46580</v>
      </c>
      <c r="K29" s="21">
        <f t="shared" si="2"/>
        <v>452.49716955214188</v>
      </c>
    </row>
    <row r="30" spans="1:11" s="22" customFormat="1" x14ac:dyDescent="0.35">
      <c r="A30" s="19">
        <v>17</v>
      </c>
      <c r="B30" s="19">
        <v>90838</v>
      </c>
      <c r="C30" s="20" t="s">
        <v>327</v>
      </c>
      <c r="D30" s="116">
        <f>'Schedule 4 Adjustments'!F29</f>
        <v>0</v>
      </c>
      <c r="E30" s="410">
        <v>3.62</v>
      </c>
      <c r="F30" s="47">
        <f t="shared" si="4"/>
        <v>0</v>
      </c>
      <c r="G30" s="21">
        <f t="shared" si="0"/>
        <v>409.50993844468843</v>
      </c>
      <c r="H30" s="150">
        <f>'Schedule 4 Adjustments'!N29</f>
        <v>0</v>
      </c>
      <c r="I30" s="410">
        <v>3.22</v>
      </c>
      <c r="J30" s="47">
        <f t="shared" si="3"/>
        <v>0</v>
      </c>
      <c r="K30" s="21">
        <f t="shared" si="2"/>
        <v>364.26022148947425</v>
      </c>
    </row>
    <row r="31" spans="1:11" s="22" customFormat="1" x14ac:dyDescent="0.35">
      <c r="A31" s="19">
        <v>18</v>
      </c>
      <c r="B31" s="19">
        <v>90839</v>
      </c>
      <c r="C31" s="20" t="s">
        <v>329</v>
      </c>
      <c r="D31" s="116">
        <f>'Schedule 4 Adjustments'!F30</f>
        <v>129</v>
      </c>
      <c r="E31" s="410">
        <v>4.4000000000000004</v>
      </c>
      <c r="F31" s="47">
        <f t="shared" si="4"/>
        <v>567.6</v>
      </c>
      <c r="G31" s="21">
        <f t="shared" si="0"/>
        <v>497.74688650735612</v>
      </c>
      <c r="H31" s="150">
        <f>'Schedule 4 Adjustments'!N30</f>
        <v>3</v>
      </c>
      <c r="I31" s="410">
        <v>3.87</v>
      </c>
      <c r="J31" s="47">
        <f t="shared" si="3"/>
        <v>11.61</v>
      </c>
      <c r="K31" s="21">
        <f t="shared" si="2"/>
        <v>437.79101154169729</v>
      </c>
    </row>
    <row r="32" spans="1:11" s="22" customFormat="1" x14ac:dyDescent="0.35">
      <c r="A32" s="19">
        <v>19</v>
      </c>
      <c r="B32" s="19">
        <v>90840</v>
      </c>
      <c r="C32" s="20" t="s">
        <v>328</v>
      </c>
      <c r="D32" s="116">
        <f>'Schedule 4 Adjustments'!F31</f>
        <v>0</v>
      </c>
      <c r="E32" s="410">
        <v>2.1800000000000002</v>
      </c>
      <c r="F32" s="47">
        <f t="shared" si="4"/>
        <v>0</v>
      </c>
      <c r="G32" s="21">
        <f t="shared" si="0"/>
        <v>246.61095740591733</v>
      </c>
      <c r="H32" s="150">
        <f>'Schedule 4 Adjustments'!N31</f>
        <v>0</v>
      </c>
      <c r="I32" s="410">
        <v>1.94</v>
      </c>
      <c r="J32" s="47">
        <f t="shared" si="3"/>
        <v>0</v>
      </c>
      <c r="K32" s="21">
        <f t="shared" si="2"/>
        <v>219.46112723278881</v>
      </c>
    </row>
    <row r="33" spans="1:11" s="22" customFormat="1" x14ac:dyDescent="0.35">
      <c r="A33" s="19">
        <v>20</v>
      </c>
      <c r="B33" s="19">
        <v>90846</v>
      </c>
      <c r="C33" s="20" t="s">
        <v>113</v>
      </c>
      <c r="D33" s="116">
        <f>'Schedule 4 Adjustments'!F32</f>
        <v>126</v>
      </c>
      <c r="E33" s="410">
        <v>2.93</v>
      </c>
      <c r="F33" s="47">
        <f t="shared" si="4"/>
        <v>369.18</v>
      </c>
      <c r="G33" s="21">
        <f t="shared" si="0"/>
        <v>331.45417669694393</v>
      </c>
      <c r="H33" s="150">
        <f>'Schedule 4 Adjustments'!N32</f>
        <v>68</v>
      </c>
      <c r="I33" s="410">
        <v>2.92</v>
      </c>
      <c r="J33" s="47">
        <f t="shared" si="3"/>
        <v>198.56</v>
      </c>
      <c r="K33" s="21">
        <f t="shared" si="2"/>
        <v>330.32293377306354</v>
      </c>
    </row>
    <row r="34" spans="1:11" s="22" customFormat="1" x14ac:dyDescent="0.35">
      <c r="A34" s="19">
        <v>21</v>
      </c>
      <c r="B34" s="19">
        <v>90847</v>
      </c>
      <c r="C34" s="20" t="s">
        <v>114</v>
      </c>
      <c r="D34" s="116">
        <f>'Schedule 4 Adjustments'!F33</f>
        <v>89</v>
      </c>
      <c r="E34" s="410">
        <v>3.07</v>
      </c>
      <c r="F34" s="47">
        <f t="shared" si="4"/>
        <v>273.22999999999996</v>
      </c>
      <c r="G34" s="21">
        <f t="shared" si="0"/>
        <v>347.29157763126886</v>
      </c>
      <c r="H34" s="150">
        <f>'Schedule 4 Adjustments'!N33</f>
        <v>629</v>
      </c>
      <c r="I34" s="410">
        <v>3.05</v>
      </c>
      <c r="J34" s="47">
        <f t="shared" si="3"/>
        <v>1918.4499999999998</v>
      </c>
      <c r="K34" s="21">
        <f t="shared" si="2"/>
        <v>345.02909178350819</v>
      </c>
    </row>
    <row r="35" spans="1:11" s="22" customFormat="1" x14ac:dyDescent="0.35">
      <c r="A35" s="19">
        <v>22</v>
      </c>
      <c r="B35" s="19">
        <v>90849</v>
      </c>
      <c r="C35" s="20" t="s">
        <v>115</v>
      </c>
      <c r="D35" s="116">
        <f>'Schedule 4 Adjustments'!F34</f>
        <v>9</v>
      </c>
      <c r="E35" s="410">
        <v>1.1299999999999999</v>
      </c>
      <c r="F35" s="47">
        <f t="shared" si="4"/>
        <v>10.169999999999998</v>
      </c>
      <c r="G35" s="21">
        <f t="shared" si="0"/>
        <v>127.83045039848007</v>
      </c>
      <c r="H35" s="150">
        <f>'Schedule 4 Adjustments'!N34</f>
        <v>108</v>
      </c>
      <c r="I35" s="410">
        <v>0.88</v>
      </c>
      <c r="J35" s="47">
        <f t="shared" si="3"/>
        <v>95.04</v>
      </c>
      <c r="K35" s="21">
        <f t="shared" si="2"/>
        <v>99.54937730147121</v>
      </c>
    </row>
    <row r="36" spans="1:11" s="22" customFormat="1" x14ac:dyDescent="0.35">
      <c r="A36" s="19">
        <v>23</v>
      </c>
      <c r="B36" s="19">
        <v>90853</v>
      </c>
      <c r="C36" s="20" t="s">
        <v>116</v>
      </c>
      <c r="D36" s="116">
        <f>'Schedule 4 Adjustments'!F35</f>
        <v>625</v>
      </c>
      <c r="E36" s="410">
        <v>0.83</v>
      </c>
      <c r="F36" s="47">
        <f t="shared" si="4"/>
        <v>518.75</v>
      </c>
      <c r="G36" s="21">
        <f t="shared" si="0"/>
        <v>93.893162682069431</v>
      </c>
      <c r="H36" s="150">
        <f>'Schedule 4 Adjustments'!N35</f>
        <v>2030</v>
      </c>
      <c r="I36" s="410">
        <v>0.72</v>
      </c>
      <c r="J36" s="47">
        <f t="shared" si="3"/>
        <v>1461.6</v>
      </c>
      <c r="K36" s="21">
        <f t="shared" si="2"/>
        <v>81.449490519385535</v>
      </c>
    </row>
    <row r="37" spans="1:11" s="22" customFormat="1" x14ac:dyDescent="0.35">
      <c r="A37" s="19">
        <v>24</v>
      </c>
      <c r="B37" s="19">
        <v>90870</v>
      </c>
      <c r="C37" s="20" t="s">
        <v>117</v>
      </c>
      <c r="D37" s="116">
        <f>'Schedule 4 Adjustments'!F36</f>
        <v>0</v>
      </c>
      <c r="E37" s="410">
        <v>5.18</v>
      </c>
      <c r="F37" s="47">
        <f t="shared" si="4"/>
        <v>0</v>
      </c>
      <c r="G37" s="21">
        <f t="shared" si="0"/>
        <v>585.98383457002376</v>
      </c>
      <c r="H37" s="150">
        <f>'Schedule 4 Adjustments'!N36</f>
        <v>0</v>
      </c>
      <c r="I37" s="410">
        <v>3.12</v>
      </c>
      <c r="J37" s="47">
        <f t="shared" si="3"/>
        <v>0</v>
      </c>
      <c r="K37" s="21">
        <f t="shared" si="2"/>
        <v>352.94779225067066</v>
      </c>
    </row>
    <row r="38" spans="1:11" s="22" customFormat="1" x14ac:dyDescent="0.35">
      <c r="A38" s="19">
        <v>25</v>
      </c>
      <c r="B38" s="19">
        <v>90875</v>
      </c>
      <c r="C38" s="20" t="s">
        <v>152</v>
      </c>
      <c r="D38" s="116">
        <f>'Schedule 4 Adjustments'!F37</f>
        <v>0</v>
      </c>
      <c r="E38" s="410">
        <v>1.75</v>
      </c>
      <c r="F38" s="47">
        <f t="shared" si="4"/>
        <v>0</v>
      </c>
      <c r="G38" s="21">
        <f t="shared" si="0"/>
        <v>197.96751167906208</v>
      </c>
      <c r="H38" s="150">
        <f>'Schedule 4 Adjustments'!N37</f>
        <v>0</v>
      </c>
      <c r="I38" s="410">
        <v>1.74</v>
      </c>
      <c r="J38" s="47">
        <f t="shared" si="3"/>
        <v>0</v>
      </c>
      <c r="K38" s="21">
        <f t="shared" si="2"/>
        <v>196.83626875518172</v>
      </c>
    </row>
    <row r="39" spans="1:11" s="22" customFormat="1" x14ac:dyDescent="0.35">
      <c r="A39" s="19">
        <v>26</v>
      </c>
      <c r="B39" s="19">
        <v>90876</v>
      </c>
      <c r="C39" s="20" t="s">
        <v>153</v>
      </c>
      <c r="D39" s="116">
        <f>'Schedule 4 Adjustments'!F38</f>
        <v>0</v>
      </c>
      <c r="E39" s="410">
        <v>3.08</v>
      </c>
      <c r="F39" s="47">
        <f t="shared" si="4"/>
        <v>0</v>
      </c>
      <c r="G39" s="21">
        <f t="shared" si="0"/>
        <v>348.42282055514926</v>
      </c>
      <c r="H39" s="150">
        <f>'Schedule 4 Adjustments'!N38</f>
        <v>0</v>
      </c>
      <c r="I39" s="410">
        <v>2.76</v>
      </c>
      <c r="J39" s="47">
        <f t="shared" si="3"/>
        <v>0</v>
      </c>
      <c r="K39" s="21">
        <f t="shared" si="2"/>
        <v>312.22304699097788</v>
      </c>
    </row>
    <row r="40" spans="1:11" s="22" customFormat="1" x14ac:dyDescent="0.35">
      <c r="A40" s="19">
        <v>27</v>
      </c>
      <c r="B40" s="19">
        <v>90887</v>
      </c>
      <c r="C40" s="20" t="s">
        <v>330</v>
      </c>
      <c r="D40" s="116">
        <f>'Schedule 4 Adjustments'!F39</f>
        <v>0</v>
      </c>
      <c r="E40" s="410">
        <v>2.56</v>
      </c>
      <c r="F40" s="47">
        <f t="shared" si="4"/>
        <v>0</v>
      </c>
      <c r="G40" s="21">
        <f t="shared" si="0"/>
        <v>289.59818851337081</v>
      </c>
      <c r="H40" s="150">
        <f>'Schedule 4 Adjustments'!N39</f>
        <v>0</v>
      </c>
      <c r="I40" s="410">
        <v>2.14</v>
      </c>
      <c r="J40" s="47">
        <f t="shared" si="3"/>
        <v>0</v>
      </c>
      <c r="K40" s="21">
        <f t="shared" si="2"/>
        <v>242.08598571039593</v>
      </c>
    </row>
    <row r="41" spans="1:11" s="22" customFormat="1" x14ac:dyDescent="0.35">
      <c r="A41" s="19">
        <v>28</v>
      </c>
      <c r="B41" s="19">
        <v>96116</v>
      </c>
      <c r="C41" s="20" t="s">
        <v>341</v>
      </c>
      <c r="D41" s="116">
        <f>'Schedule 4 Adjustments'!F40</f>
        <v>0</v>
      </c>
      <c r="E41" s="410">
        <v>2.76</v>
      </c>
      <c r="F41" s="47">
        <f t="shared" si="4"/>
        <v>0</v>
      </c>
      <c r="G41" s="21">
        <f t="shared" si="0"/>
        <v>312.22304699097788</v>
      </c>
      <c r="H41" s="150">
        <f>'Schedule 4 Adjustments'!N40</f>
        <v>0</v>
      </c>
      <c r="I41" s="410">
        <v>2.37</v>
      </c>
      <c r="J41" s="47">
        <f t="shared" si="3"/>
        <v>0</v>
      </c>
      <c r="K41" s="21">
        <f t="shared" si="2"/>
        <v>268.10457295964409</v>
      </c>
    </row>
    <row r="42" spans="1:11" s="22" customFormat="1" x14ac:dyDescent="0.35">
      <c r="A42" s="19">
        <v>29</v>
      </c>
      <c r="B42" s="19">
        <v>96121</v>
      </c>
      <c r="C42" s="20" t="s">
        <v>340</v>
      </c>
      <c r="D42" s="116">
        <f>'Schedule 4 Adjustments'!F41</f>
        <v>0</v>
      </c>
      <c r="E42" s="410">
        <v>2.25</v>
      </c>
      <c r="F42" s="47">
        <f t="shared" si="4"/>
        <v>0</v>
      </c>
      <c r="G42" s="21">
        <f t="shared" si="0"/>
        <v>254.5296578730798</v>
      </c>
      <c r="H42" s="150">
        <f>'Schedule 4 Adjustments'!N41</f>
        <v>0</v>
      </c>
      <c r="I42" s="410">
        <v>1.97</v>
      </c>
      <c r="J42" s="47">
        <f t="shared" si="3"/>
        <v>0</v>
      </c>
      <c r="K42" s="21">
        <f t="shared" si="2"/>
        <v>222.85485600442988</v>
      </c>
    </row>
    <row r="43" spans="1:11" s="22" customFormat="1" x14ac:dyDescent="0.35">
      <c r="A43" s="19">
        <v>30</v>
      </c>
      <c r="B43" s="19">
        <v>96130</v>
      </c>
      <c r="C43" s="20" t="s">
        <v>338</v>
      </c>
      <c r="D43" s="116">
        <f>'Schedule 4 Adjustments'!F42</f>
        <v>0</v>
      </c>
      <c r="E43" s="410">
        <v>3.6</v>
      </c>
      <c r="F43" s="47">
        <f t="shared" si="4"/>
        <v>0</v>
      </c>
      <c r="G43" s="21">
        <f t="shared" si="0"/>
        <v>407.2474525969277</v>
      </c>
      <c r="H43" s="150">
        <f>'Schedule 4 Adjustments'!N42</f>
        <v>0</v>
      </c>
      <c r="I43" s="410">
        <v>3.25</v>
      </c>
      <c r="J43" s="47">
        <f t="shared" si="3"/>
        <v>0</v>
      </c>
      <c r="K43" s="21">
        <f t="shared" si="2"/>
        <v>367.65395026111526</v>
      </c>
    </row>
    <row r="44" spans="1:11" s="22" customFormat="1" x14ac:dyDescent="0.35">
      <c r="A44" s="19">
        <v>31</v>
      </c>
      <c r="B44" s="19">
        <v>96131</v>
      </c>
      <c r="C44" s="20" t="s">
        <v>339</v>
      </c>
      <c r="D44" s="116">
        <f>'Schedule 4 Adjustments'!F43</f>
        <v>0</v>
      </c>
      <c r="E44" s="410">
        <v>2.57</v>
      </c>
      <c r="F44" s="47">
        <f t="shared" si="4"/>
        <v>0</v>
      </c>
      <c r="G44" s="21">
        <f t="shared" si="0"/>
        <v>290.72943143725115</v>
      </c>
      <c r="H44" s="150">
        <f>'Schedule 4 Adjustments'!N43</f>
        <v>0</v>
      </c>
      <c r="I44" s="410">
        <v>2.25</v>
      </c>
      <c r="J44" s="47">
        <f t="shared" si="3"/>
        <v>0</v>
      </c>
      <c r="K44" s="21">
        <f t="shared" si="2"/>
        <v>254.5296578730798</v>
      </c>
    </row>
    <row r="45" spans="1:11" s="22" customFormat="1" x14ac:dyDescent="0.35">
      <c r="A45" s="19">
        <v>32</v>
      </c>
      <c r="B45" s="19">
        <v>96132</v>
      </c>
      <c r="C45" s="20" t="s">
        <v>332</v>
      </c>
      <c r="D45" s="116">
        <f>'Schedule 4 Adjustments'!F44</f>
        <v>0</v>
      </c>
      <c r="E45" s="410">
        <v>3.85</v>
      </c>
      <c r="F45" s="47">
        <f t="shared" si="4"/>
        <v>0</v>
      </c>
      <c r="G45" s="21">
        <f t="shared" si="0"/>
        <v>435.52852569393656</v>
      </c>
      <c r="H45" s="150">
        <f>'Schedule 4 Adjustments'!N44</f>
        <v>0</v>
      </c>
      <c r="I45" s="410">
        <v>3.14</v>
      </c>
      <c r="J45" s="47">
        <f t="shared" si="3"/>
        <v>0</v>
      </c>
      <c r="K45" s="21">
        <f t="shared" si="2"/>
        <v>355.21027809843139</v>
      </c>
    </row>
    <row r="46" spans="1:11" s="22" customFormat="1" x14ac:dyDescent="0.35">
      <c r="A46" s="19">
        <v>33</v>
      </c>
      <c r="B46" s="19">
        <v>96133</v>
      </c>
      <c r="C46" s="20" t="s">
        <v>333</v>
      </c>
      <c r="D46" s="116">
        <f>'Schedule 4 Adjustments'!F45</f>
        <v>0</v>
      </c>
      <c r="E46" s="410">
        <v>2.92</v>
      </c>
      <c r="F46" s="47">
        <f t="shared" si="4"/>
        <v>0</v>
      </c>
      <c r="G46" s="21">
        <f t="shared" si="0"/>
        <v>330.32293377306354</v>
      </c>
      <c r="H46" s="150">
        <f>'Schedule 4 Adjustments'!N45</f>
        <v>0</v>
      </c>
      <c r="I46" s="410">
        <v>2.2599999999999998</v>
      </c>
      <c r="J46" s="47">
        <f t="shared" si="3"/>
        <v>0</v>
      </c>
      <c r="K46" s="21">
        <f t="shared" si="2"/>
        <v>255.66090079696014</v>
      </c>
    </row>
    <row r="47" spans="1:11" s="22" customFormat="1" x14ac:dyDescent="0.35">
      <c r="A47" s="19">
        <v>34</v>
      </c>
      <c r="B47" s="19">
        <v>96136</v>
      </c>
      <c r="C47" s="20" t="s">
        <v>334</v>
      </c>
      <c r="D47" s="116">
        <f>'Schedule 4 Adjustments'!F46</f>
        <v>0</v>
      </c>
      <c r="E47" s="410">
        <v>1.25</v>
      </c>
      <c r="F47" s="47">
        <f t="shared" si="4"/>
        <v>0</v>
      </c>
      <c r="G47" s="21">
        <f t="shared" si="0"/>
        <v>141.40536548504434</v>
      </c>
      <c r="H47" s="150">
        <f>'Schedule 4 Adjustments'!N46</f>
        <v>0</v>
      </c>
      <c r="I47" s="410">
        <v>0.69</v>
      </c>
      <c r="J47" s="47">
        <f t="shared" si="3"/>
        <v>0</v>
      </c>
      <c r="K47" s="21">
        <f t="shared" si="2"/>
        <v>78.055761747744469</v>
      </c>
    </row>
    <row r="48" spans="1:11" s="22" customFormat="1" x14ac:dyDescent="0.35">
      <c r="A48" s="19">
        <v>35</v>
      </c>
      <c r="B48" s="19">
        <v>96137</v>
      </c>
      <c r="C48" s="20" t="s">
        <v>335</v>
      </c>
      <c r="D48" s="116">
        <f>'Schedule 4 Adjustments'!F47</f>
        <v>0</v>
      </c>
      <c r="E48" s="410">
        <v>1.1299999999999999</v>
      </c>
      <c r="F48" s="47">
        <f t="shared" si="4"/>
        <v>0</v>
      </c>
      <c r="G48" s="21">
        <f t="shared" si="0"/>
        <v>127.83045039848007</v>
      </c>
      <c r="H48" s="150">
        <f>'Schedule 4 Adjustments'!N47</f>
        <v>0</v>
      </c>
      <c r="I48" s="410">
        <v>0.53</v>
      </c>
      <c r="J48" s="47">
        <f t="shared" si="3"/>
        <v>0</v>
      </c>
      <c r="K48" s="21">
        <f t="shared" si="2"/>
        <v>59.955874965658801</v>
      </c>
    </row>
    <row r="49" spans="1:11" s="22" customFormat="1" x14ac:dyDescent="0.35">
      <c r="A49" s="19">
        <v>36</v>
      </c>
      <c r="B49" s="19">
        <v>96138</v>
      </c>
      <c r="C49" s="20" t="s">
        <v>336</v>
      </c>
      <c r="D49" s="116">
        <f>'Schedule 4 Adjustments'!F48</f>
        <v>0</v>
      </c>
      <c r="E49" s="410">
        <v>1.03</v>
      </c>
      <c r="F49" s="47">
        <f t="shared" si="4"/>
        <v>0</v>
      </c>
      <c r="G49" s="21">
        <f t="shared" si="0"/>
        <v>116.51802115967654</v>
      </c>
      <c r="H49" s="150">
        <f>'Schedule 4 Adjustments'!N48</f>
        <v>0</v>
      </c>
      <c r="I49" s="410">
        <v>0.56999999999999995</v>
      </c>
      <c r="J49" s="47">
        <f t="shared" si="3"/>
        <v>0</v>
      </c>
      <c r="K49" s="21">
        <f t="shared" si="2"/>
        <v>64.480846661180209</v>
      </c>
    </row>
    <row r="50" spans="1:11" s="22" customFormat="1" x14ac:dyDescent="0.35">
      <c r="A50" s="19">
        <v>37</v>
      </c>
      <c r="B50" s="19">
        <v>96139</v>
      </c>
      <c r="C50" s="20" t="s">
        <v>337</v>
      </c>
      <c r="D50" s="116">
        <f>'Schedule 4 Adjustments'!F49</f>
        <v>0</v>
      </c>
      <c r="E50" s="410">
        <v>1.06</v>
      </c>
      <c r="F50" s="47">
        <f t="shared" si="4"/>
        <v>0</v>
      </c>
      <c r="G50" s="21">
        <f t="shared" si="0"/>
        <v>119.9117499313176</v>
      </c>
      <c r="H50" s="150">
        <f>'Schedule 4 Adjustments'!N49</f>
        <v>0</v>
      </c>
      <c r="I50" s="410">
        <v>0.5</v>
      </c>
      <c r="J50" s="47">
        <f t="shared" si="3"/>
        <v>0</v>
      </c>
      <c r="K50" s="21">
        <f t="shared" si="2"/>
        <v>56.562146194017735</v>
      </c>
    </row>
    <row r="51" spans="1:11" s="22" customFormat="1" x14ac:dyDescent="0.35">
      <c r="A51" s="19">
        <v>38</v>
      </c>
      <c r="B51" s="19">
        <v>96146</v>
      </c>
      <c r="C51" s="20" t="s">
        <v>331</v>
      </c>
      <c r="D51" s="116">
        <f>'Schedule 4 Adjustments'!F50</f>
        <v>0</v>
      </c>
      <c r="E51" s="410">
        <v>7.0000000000000007E-2</v>
      </c>
      <c r="F51" s="47">
        <f t="shared" si="4"/>
        <v>0</v>
      </c>
      <c r="G51" s="21">
        <f t="shared" si="0"/>
        <v>7.9187004671624841</v>
      </c>
      <c r="H51" s="150">
        <f>'Schedule 4 Adjustments'!N50</f>
        <v>0</v>
      </c>
      <c r="I51" s="410">
        <v>7.0000000000000007E-2</v>
      </c>
      <c r="J51" s="47">
        <f t="shared" si="3"/>
        <v>0</v>
      </c>
      <c r="K51" s="21">
        <f t="shared" si="2"/>
        <v>7.9187004671624841</v>
      </c>
    </row>
    <row r="52" spans="1:11" s="22" customFormat="1" x14ac:dyDescent="0.35">
      <c r="A52" s="19">
        <v>39</v>
      </c>
      <c r="B52" s="19">
        <v>96372</v>
      </c>
      <c r="C52" s="20" t="s">
        <v>118</v>
      </c>
      <c r="D52" s="116">
        <f>'Schedule 4 Adjustments'!F51</f>
        <v>427</v>
      </c>
      <c r="E52" s="410">
        <v>0.43</v>
      </c>
      <c r="F52" s="47">
        <f t="shared" si="4"/>
        <v>183.60999999999999</v>
      </c>
      <c r="G52" s="21">
        <f t="shared" si="0"/>
        <v>48.643445726855255</v>
      </c>
      <c r="H52" s="150">
        <f>'Schedule 4 Adjustments'!N51</f>
        <v>2882</v>
      </c>
      <c r="I52" s="410">
        <v>0.43</v>
      </c>
      <c r="J52" s="47">
        <f t="shared" si="3"/>
        <v>1239.26</v>
      </c>
      <c r="K52" s="21">
        <f t="shared" si="2"/>
        <v>48.643445726855255</v>
      </c>
    </row>
    <row r="53" spans="1:11" s="22" customFormat="1" x14ac:dyDescent="0.35">
      <c r="A53" s="19">
        <v>40</v>
      </c>
      <c r="B53" s="19">
        <v>97535</v>
      </c>
      <c r="C53" s="20" t="s">
        <v>119</v>
      </c>
      <c r="D53" s="116">
        <f>'Schedule 4 Adjustments'!F52</f>
        <v>0</v>
      </c>
      <c r="E53" s="410">
        <v>0.98</v>
      </c>
      <c r="F53" s="47">
        <f t="shared" si="4"/>
        <v>0</v>
      </c>
      <c r="G53" s="21">
        <f t="shared" si="0"/>
        <v>110.86180654027476</v>
      </c>
      <c r="H53" s="150">
        <f>'Schedule 4 Adjustments'!N52</f>
        <v>0</v>
      </c>
      <c r="I53" s="410">
        <v>0.98</v>
      </c>
      <c r="J53" s="47">
        <f t="shared" si="3"/>
        <v>0</v>
      </c>
      <c r="K53" s="21">
        <f t="shared" si="2"/>
        <v>110.86180654027476</v>
      </c>
    </row>
    <row r="54" spans="1:11" s="22" customFormat="1" x14ac:dyDescent="0.35">
      <c r="A54" s="19">
        <v>41</v>
      </c>
      <c r="B54" s="19">
        <v>97537</v>
      </c>
      <c r="C54" s="20" t="s">
        <v>120</v>
      </c>
      <c r="D54" s="116">
        <f>'Schedule 4 Adjustments'!F53</f>
        <v>37</v>
      </c>
      <c r="E54" s="410">
        <v>0.95</v>
      </c>
      <c r="F54" s="47">
        <f t="shared" si="4"/>
        <v>35.15</v>
      </c>
      <c r="G54" s="21">
        <f t="shared" si="0"/>
        <v>107.46807776863369</v>
      </c>
      <c r="H54" s="150">
        <f>'Schedule 4 Adjustments'!N53</f>
        <v>68</v>
      </c>
      <c r="I54" s="410">
        <v>0.95</v>
      </c>
      <c r="J54" s="47">
        <f t="shared" si="3"/>
        <v>64.599999999999994</v>
      </c>
      <c r="K54" s="21">
        <f t="shared" si="2"/>
        <v>107.46807776863369</v>
      </c>
    </row>
    <row r="55" spans="1:11" s="22" customFormat="1" x14ac:dyDescent="0.35">
      <c r="A55" s="19">
        <v>42</v>
      </c>
      <c r="B55" s="19">
        <v>98966</v>
      </c>
      <c r="C55" s="20" t="s">
        <v>342</v>
      </c>
      <c r="D55" s="116">
        <f>'Schedule 4 Adjustments'!F54</f>
        <v>0</v>
      </c>
      <c r="E55" s="410">
        <v>0.39</v>
      </c>
      <c r="F55" s="47">
        <f t="shared" si="4"/>
        <v>0</v>
      </c>
      <c r="G55" s="21">
        <f t="shared" si="0"/>
        <v>44.118474031333832</v>
      </c>
      <c r="H55" s="150">
        <f>'Schedule 4 Adjustments'!N54</f>
        <v>0</v>
      </c>
      <c r="I55" s="410">
        <v>0.34</v>
      </c>
      <c r="J55" s="47">
        <f t="shared" si="3"/>
        <v>0</v>
      </c>
      <c r="K55" s="21">
        <f t="shared" si="2"/>
        <v>38.46225941193206</v>
      </c>
    </row>
    <row r="56" spans="1:11" s="22" customFormat="1" x14ac:dyDescent="0.35">
      <c r="A56" s="19">
        <v>43</v>
      </c>
      <c r="B56" s="19">
        <v>98967</v>
      </c>
      <c r="C56" s="20" t="s">
        <v>343</v>
      </c>
      <c r="D56" s="116">
        <f>'Schedule 4 Adjustments'!F55</f>
        <v>0</v>
      </c>
      <c r="E56" s="410">
        <v>0.72</v>
      </c>
      <c r="F56" s="47">
        <f t="shared" si="4"/>
        <v>0</v>
      </c>
      <c r="G56" s="21">
        <f t="shared" si="0"/>
        <v>81.449490519385535</v>
      </c>
      <c r="H56" s="150">
        <f>'Schedule 4 Adjustments'!N55</f>
        <v>0</v>
      </c>
      <c r="I56" s="410">
        <v>0.66</v>
      </c>
      <c r="J56" s="47">
        <f t="shared" si="3"/>
        <v>0</v>
      </c>
      <c r="K56" s="21">
        <f t="shared" si="2"/>
        <v>74.662032976103418</v>
      </c>
    </row>
    <row r="57" spans="1:11" s="22" customFormat="1" x14ac:dyDescent="0.35">
      <c r="A57" s="19">
        <v>44</v>
      </c>
      <c r="B57" s="19">
        <v>98968</v>
      </c>
      <c r="C57" s="20" t="s">
        <v>344</v>
      </c>
      <c r="D57" s="116">
        <f>'Schedule 4 Adjustments'!F56</f>
        <v>0</v>
      </c>
      <c r="E57" s="410">
        <v>0.99</v>
      </c>
      <c r="F57" s="47">
        <f t="shared" si="4"/>
        <v>0</v>
      </c>
      <c r="G57" s="21">
        <f t="shared" si="0"/>
        <v>111.99304946415512</v>
      </c>
      <c r="H57" s="150">
        <f>'Schedule 4 Adjustments'!N56</f>
        <v>0</v>
      </c>
      <c r="I57" s="410">
        <v>0.92</v>
      </c>
      <c r="J57" s="47">
        <f t="shared" si="3"/>
        <v>0</v>
      </c>
      <c r="K57" s="21">
        <f t="shared" si="2"/>
        <v>104.07434899699264</v>
      </c>
    </row>
    <row r="58" spans="1:11" s="22" customFormat="1" x14ac:dyDescent="0.35">
      <c r="A58" s="19">
        <v>45</v>
      </c>
      <c r="B58" s="19">
        <v>99202</v>
      </c>
      <c r="C58" s="20" t="s">
        <v>154</v>
      </c>
      <c r="D58" s="116">
        <f>'Schedule 4 Adjustments'!F57</f>
        <v>0</v>
      </c>
      <c r="E58" s="410">
        <v>2.17</v>
      </c>
      <c r="F58" s="47">
        <f t="shared" si="4"/>
        <v>0</v>
      </c>
      <c r="G58" s="21">
        <f t="shared" si="0"/>
        <v>245.47971448203697</v>
      </c>
      <c r="H58" s="150">
        <f>'Schedule 4 Adjustments'!N57</f>
        <v>5</v>
      </c>
      <c r="I58" s="410">
        <v>1.41</v>
      </c>
      <c r="J58" s="47">
        <f t="shared" si="3"/>
        <v>7.05</v>
      </c>
      <c r="K58" s="21">
        <f t="shared" si="2"/>
        <v>159.50525226713</v>
      </c>
    </row>
    <row r="59" spans="1:11" s="22" customFormat="1" x14ac:dyDescent="0.35">
      <c r="A59" s="19">
        <v>46</v>
      </c>
      <c r="B59" s="19">
        <v>99203</v>
      </c>
      <c r="C59" s="20" t="s">
        <v>154</v>
      </c>
      <c r="D59" s="116">
        <f>'Schedule 4 Adjustments'!F58</f>
        <v>3</v>
      </c>
      <c r="E59" s="410">
        <v>3.35</v>
      </c>
      <c r="F59" s="47">
        <f t="shared" si="4"/>
        <v>10.050000000000001</v>
      </c>
      <c r="G59" s="21">
        <f t="shared" si="0"/>
        <v>378.96637949991884</v>
      </c>
      <c r="H59" s="150">
        <f>'Schedule 4 Adjustments'!N58</f>
        <v>149</v>
      </c>
      <c r="I59" s="410">
        <v>2.44</v>
      </c>
      <c r="J59" s="47">
        <f t="shared" si="3"/>
        <v>363.56</v>
      </c>
      <c r="K59" s="21">
        <f t="shared" si="2"/>
        <v>276.02327342680655</v>
      </c>
    </row>
    <row r="60" spans="1:11" s="22" customFormat="1" x14ac:dyDescent="0.35">
      <c r="A60" s="19">
        <v>47</v>
      </c>
      <c r="B60" s="19">
        <v>99204</v>
      </c>
      <c r="C60" s="20" t="s">
        <v>154</v>
      </c>
      <c r="D60" s="116">
        <f>'Schedule 4 Adjustments'!F59</f>
        <v>3</v>
      </c>
      <c r="E60" s="410">
        <v>5.0199999999999996</v>
      </c>
      <c r="F60" s="47">
        <f t="shared" si="4"/>
        <v>15.059999999999999</v>
      </c>
      <c r="G60" s="21">
        <f t="shared" si="0"/>
        <v>567.88394778793804</v>
      </c>
      <c r="H60" s="150">
        <f>'Schedule 4 Adjustments'!N59</f>
        <v>638</v>
      </c>
      <c r="I60" s="410">
        <v>3.97</v>
      </c>
      <c r="J60" s="47">
        <f t="shared" si="3"/>
        <v>2532.86</v>
      </c>
      <c r="K60" s="21">
        <f t="shared" si="2"/>
        <v>449.10344078050082</v>
      </c>
    </row>
    <row r="61" spans="1:11" s="22" customFormat="1" x14ac:dyDescent="0.35">
      <c r="A61" s="19">
        <v>48</v>
      </c>
      <c r="B61" s="19">
        <v>99205</v>
      </c>
      <c r="C61" s="20" t="s">
        <v>154</v>
      </c>
      <c r="D61" s="116">
        <f>'Schedule 4 Adjustments'!F60</f>
        <v>0</v>
      </c>
      <c r="E61" s="410">
        <v>6.62</v>
      </c>
      <c r="F61" s="47">
        <f t="shared" si="4"/>
        <v>0</v>
      </c>
      <c r="G61" s="21">
        <f t="shared" si="0"/>
        <v>748.88281560879489</v>
      </c>
      <c r="H61" s="150">
        <f>'Schedule 4 Adjustments'!N60</f>
        <v>24</v>
      </c>
      <c r="I61" s="410">
        <v>5.4</v>
      </c>
      <c r="J61" s="47">
        <f t="shared" si="3"/>
        <v>129.60000000000002</v>
      </c>
      <c r="K61" s="21">
        <f t="shared" si="2"/>
        <v>610.87117889539161</v>
      </c>
    </row>
    <row r="62" spans="1:11" s="22" customFormat="1" ht="43.5" x14ac:dyDescent="0.35">
      <c r="A62" s="19">
        <v>49</v>
      </c>
      <c r="B62" s="19">
        <v>99211</v>
      </c>
      <c r="C62" s="20" t="s">
        <v>345</v>
      </c>
      <c r="D62" s="116">
        <f>'Schedule 4 Adjustments'!F61</f>
        <v>1</v>
      </c>
      <c r="E62" s="410">
        <v>0.7</v>
      </c>
      <c r="F62" s="47">
        <f t="shared" si="4"/>
        <v>0.7</v>
      </c>
      <c r="G62" s="21">
        <f t="shared" si="0"/>
        <v>79.18700467162482</v>
      </c>
      <c r="H62" s="150">
        <f>'Schedule 4 Adjustments'!N61</f>
        <v>69</v>
      </c>
      <c r="I62" s="410">
        <v>0.26</v>
      </c>
      <c r="J62" s="47">
        <f t="shared" si="3"/>
        <v>17.940000000000001</v>
      </c>
      <c r="K62" s="21">
        <f t="shared" si="2"/>
        <v>29.412316020889225</v>
      </c>
    </row>
    <row r="63" spans="1:11" s="22" customFormat="1" x14ac:dyDescent="0.35">
      <c r="A63" s="19">
        <v>50</v>
      </c>
      <c r="B63" s="19">
        <v>99212</v>
      </c>
      <c r="C63" s="20" t="s">
        <v>155</v>
      </c>
      <c r="D63" s="116">
        <f>'Schedule 4 Adjustments'!F62</f>
        <v>55</v>
      </c>
      <c r="E63" s="410">
        <v>1.7</v>
      </c>
      <c r="F63" s="47">
        <f t="shared" si="4"/>
        <v>93.5</v>
      </c>
      <c r="G63" s="21">
        <f t="shared" si="0"/>
        <v>192.31129705966029</v>
      </c>
      <c r="H63" s="150">
        <f>'Schedule 4 Adjustments'!N62</f>
        <v>151</v>
      </c>
      <c r="I63" s="410">
        <v>1.05</v>
      </c>
      <c r="J63" s="47">
        <f t="shared" si="3"/>
        <v>158.55000000000001</v>
      </c>
      <c r="K63" s="21">
        <f t="shared" si="2"/>
        <v>118.78050700743725</v>
      </c>
    </row>
    <row r="64" spans="1:11" s="22" customFormat="1" x14ac:dyDescent="0.35">
      <c r="A64" s="19">
        <v>51</v>
      </c>
      <c r="B64" s="19">
        <v>99213</v>
      </c>
      <c r="C64" s="20" t="s">
        <v>155</v>
      </c>
      <c r="D64" s="116">
        <f>'Schedule 4 Adjustments'!F63</f>
        <v>1624</v>
      </c>
      <c r="E64" s="410">
        <v>2.73</v>
      </c>
      <c r="F64" s="47">
        <f t="shared" si="4"/>
        <v>4433.5199999999995</v>
      </c>
      <c r="G64" s="21">
        <f t="shared" si="0"/>
        <v>308.82931821933681</v>
      </c>
      <c r="H64" s="150">
        <f>'Schedule 4 Adjustments'!N63</f>
        <v>3640</v>
      </c>
      <c r="I64" s="410">
        <v>1.96</v>
      </c>
      <c r="J64" s="47">
        <f t="shared" si="3"/>
        <v>7134.4</v>
      </c>
      <c r="K64" s="21">
        <f t="shared" si="2"/>
        <v>221.72361308054951</v>
      </c>
    </row>
    <row r="65" spans="1:11" s="22" customFormat="1" x14ac:dyDescent="0.35">
      <c r="A65" s="19">
        <v>52</v>
      </c>
      <c r="B65" s="19">
        <v>99214</v>
      </c>
      <c r="C65" s="20" t="s">
        <v>155</v>
      </c>
      <c r="D65" s="116">
        <f>'Schedule 4 Adjustments'!F64</f>
        <v>5296</v>
      </c>
      <c r="E65" s="410">
        <v>3.85</v>
      </c>
      <c r="F65" s="47">
        <f t="shared" si="4"/>
        <v>20389.600000000002</v>
      </c>
      <c r="G65" s="21">
        <f t="shared" si="0"/>
        <v>435.52852569393656</v>
      </c>
      <c r="H65" s="150">
        <f>'Schedule 4 Adjustments'!N64</f>
        <v>10281</v>
      </c>
      <c r="I65" s="410">
        <v>2.89</v>
      </c>
      <c r="J65" s="47">
        <f t="shared" si="3"/>
        <v>29712.09</v>
      </c>
      <c r="K65" s="21">
        <f t="shared" si="2"/>
        <v>326.92920500142253</v>
      </c>
    </row>
    <row r="66" spans="1:11" s="22" customFormat="1" x14ac:dyDescent="0.35">
      <c r="A66" s="19">
        <v>53</v>
      </c>
      <c r="B66" s="19">
        <v>99215</v>
      </c>
      <c r="C66" s="20" t="s">
        <v>155</v>
      </c>
      <c r="D66" s="116">
        <f>'Schedule 4 Adjustments'!F65</f>
        <v>1055</v>
      </c>
      <c r="E66" s="410">
        <v>5.42</v>
      </c>
      <c r="F66" s="47">
        <f t="shared" si="4"/>
        <v>5718.1</v>
      </c>
      <c r="G66" s="21">
        <f t="shared" si="0"/>
        <v>613.13366474315228</v>
      </c>
      <c r="H66" s="150">
        <f>'Schedule 4 Adjustments'!N65</f>
        <v>739</v>
      </c>
      <c r="I66" s="410">
        <v>4.29</v>
      </c>
      <c r="J66" s="47">
        <f t="shared" si="3"/>
        <v>3170.31</v>
      </c>
      <c r="K66" s="21">
        <f t="shared" si="2"/>
        <v>485.3032143446722</v>
      </c>
    </row>
    <row r="67" spans="1:11" s="22" customFormat="1" x14ac:dyDescent="0.35">
      <c r="A67" s="19">
        <v>54</v>
      </c>
      <c r="B67" s="19">
        <v>99221</v>
      </c>
      <c r="C67" s="20" t="s">
        <v>121</v>
      </c>
      <c r="D67" s="116">
        <f>'Schedule 4 Adjustments'!F66</f>
        <v>0</v>
      </c>
      <c r="E67" s="410">
        <v>2.46</v>
      </c>
      <c r="F67" s="47">
        <f t="shared" si="4"/>
        <v>0</v>
      </c>
      <c r="G67" s="21">
        <f t="shared" si="0"/>
        <v>278.28575927456723</v>
      </c>
      <c r="H67" s="150">
        <f>'Schedule 4 Adjustments'!N66</f>
        <v>0</v>
      </c>
      <c r="I67" s="410">
        <v>2.46</v>
      </c>
      <c r="J67" s="47">
        <f t="shared" si="3"/>
        <v>0</v>
      </c>
      <c r="K67" s="21">
        <f t="shared" si="2"/>
        <v>278.28575927456723</v>
      </c>
    </row>
    <row r="68" spans="1:11" s="22" customFormat="1" x14ac:dyDescent="0.35">
      <c r="A68" s="19">
        <v>55</v>
      </c>
      <c r="B68" s="19">
        <v>99222</v>
      </c>
      <c r="C68" s="20" t="s">
        <v>122</v>
      </c>
      <c r="D68" s="116">
        <f>'Schedule 4 Adjustments'!F67</f>
        <v>0</v>
      </c>
      <c r="E68" s="410">
        <v>3.88</v>
      </c>
      <c r="F68" s="47">
        <f t="shared" si="4"/>
        <v>0</v>
      </c>
      <c r="G68" s="21">
        <f t="shared" si="0"/>
        <v>438.92225446557762</v>
      </c>
      <c r="H68" s="150">
        <f>'Schedule 4 Adjustments'!N67</f>
        <v>0</v>
      </c>
      <c r="I68" s="410">
        <v>3.88</v>
      </c>
      <c r="J68" s="47">
        <f t="shared" si="3"/>
        <v>0</v>
      </c>
      <c r="K68" s="21">
        <f t="shared" si="2"/>
        <v>438.92225446557762</v>
      </c>
    </row>
    <row r="69" spans="1:11" s="22" customFormat="1" x14ac:dyDescent="0.35">
      <c r="A69" s="19">
        <v>56</v>
      </c>
      <c r="B69" s="19">
        <v>99223</v>
      </c>
      <c r="C69" s="20" t="s">
        <v>123</v>
      </c>
      <c r="D69" s="116">
        <f>'Schedule 4 Adjustments'!F68</f>
        <v>0</v>
      </c>
      <c r="E69" s="410">
        <v>5.14</v>
      </c>
      <c r="F69" s="47">
        <f t="shared" si="4"/>
        <v>0</v>
      </c>
      <c r="G69" s="21">
        <f t="shared" si="0"/>
        <v>581.4588628745023</v>
      </c>
      <c r="H69" s="150">
        <f>'Schedule 4 Adjustments'!N68</f>
        <v>0</v>
      </c>
      <c r="I69" s="410">
        <v>5.14</v>
      </c>
      <c r="J69" s="47">
        <f t="shared" si="3"/>
        <v>0</v>
      </c>
      <c r="K69" s="21">
        <f t="shared" si="2"/>
        <v>581.4588628745023</v>
      </c>
    </row>
    <row r="70" spans="1:11" s="22" customFormat="1" x14ac:dyDescent="0.35">
      <c r="A70" s="19">
        <v>57</v>
      </c>
      <c r="B70" s="19">
        <v>99231</v>
      </c>
      <c r="C70" s="20" t="s">
        <v>124</v>
      </c>
      <c r="D70" s="116">
        <f>'Schedule 4 Adjustments'!F69</f>
        <v>0</v>
      </c>
      <c r="E70" s="410">
        <v>1.47</v>
      </c>
      <c r="F70" s="47">
        <f t="shared" si="4"/>
        <v>0</v>
      </c>
      <c r="G70" s="21">
        <f t="shared" si="0"/>
        <v>166.29270981041213</v>
      </c>
      <c r="H70" s="150">
        <f>'Schedule 4 Adjustments'!N69</f>
        <v>0</v>
      </c>
      <c r="I70" s="410">
        <v>1.47</v>
      </c>
      <c r="J70" s="47">
        <f t="shared" si="3"/>
        <v>0</v>
      </c>
      <c r="K70" s="21">
        <f t="shared" si="2"/>
        <v>166.29270981041213</v>
      </c>
    </row>
    <row r="71" spans="1:11" s="22" customFormat="1" x14ac:dyDescent="0.35">
      <c r="A71" s="19">
        <v>58</v>
      </c>
      <c r="B71" s="19">
        <v>99232</v>
      </c>
      <c r="C71" s="20" t="s">
        <v>125</v>
      </c>
      <c r="D71" s="116">
        <f>'Schedule 4 Adjustments'!F70</f>
        <v>0</v>
      </c>
      <c r="E71" s="410">
        <v>2.34</v>
      </c>
      <c r="F71" s="47">
        <f t="shared" si="4"/>
        <v>0</v>
      </c>
      <c r="G71" s="21">
        <f t="shared" si="0"/>
        <v>264.71084418800297</v>
      </c>
      <c r="H71" s="150">
        <f>'Schedule 4 Adjustments'!N70</f>
        <v>0</v>
      </c>
      <c r="I71" s="410">
        <v>2.34</v>
      </c>
      <c r="J71" s="47">
        <f t="shared" si="3"/>
        <v>0</v>
      </c>
      <c r="K71" s="21">
        <f t="shared" si="2"/>
        <v>264.71084418800297</v>
      </c>
    </row>
    <row r="72" spans="1:11" s="22" customFormat="1" x14ac:dyDescent="0.35">
      <c r="A72" s="19">
        <v>59</v>
      </c>
      <c r="B72" s="19">
        <v>99233</v>
      </c>
      <c r="C72" s="20" t="s">
        <v>126</v>
      </c>
      <c r="D72" s="116">
        <f>'Schedule 4 Adjustments'!F71</f>
        <v>0</v>
      </c>
      <c r="E72" s="410">
        <v>3.52</v>
      </c>
      <c r="F72" s="47">
        <f t="shared" si="4"/>
        <v>0</v>
      </c>
      <c r="G72" s="21">
        <f t="shared" si="0"/>
        <v>398.19750920588484</v>
      </c>
      <c r="H72" s="150">
        <f>'Schedule 4 Adjustments'!N71</f>
        <v>0</v>
      </c>
      <c r="I72" s="410">
        <v>3.52</v>
      </c>
      <c r="J72" s="47">
        <f t="shared" si="3"/>
        <v>0</v>
      </c>
      <c r="K72" s="21">
        <f t="shared" si="2"/>
        <v>398.19750920588484</v>
      </c>
    </row>
    <row r="73" spans="1:11" s="22" customFormat="1" ht="29" x14ac:dyDescent="0.35">
      <c r="A73" s="19">
        <v>60</v>
      </c>
      <c r="B73" s="19">
        <v>99234</v>
      </c>
      <c r="C73" s="20" t="s">
        <v>360</v>
      </c>
      <c r="D73" s="116">
        <f>'Schedule 4 Adjustments'!F72</f>
        <v>0</v>
      </c>
      <c r="E73" s="410">
        <v>2.9</v>
      </c>
      <c r="F73" s="47">
        <f t="shared" si="4"/>
        <v>0</v>
      </c>
      <c r="G73" s="21">
        <f t="shared" si="0"/>
        <v>328.06044792530287</v>
      </c>
      <c r="H73" s="150">
        <f>'Schedule 4 Adjustments'!N72</f>
        <v>0</v>
      </c>
      <c r="I73" s="410">
        <v>2.9</v>
      </c>
      <c r="J73" s="47">
        <f t="shared" si="3"/>
        <v>0</v>
      </c>
      <c r="K73" s="21">
        <f t="shared" si="2"/>
        <v>328.06044792530287</v>
      </c>
    </row>
    <row r="74" spans="1:11" s="22" customFormat="1" ht="29" x14ac:dyDescent="0.35">
      <c r="A74" s="19">
        <v>61</v>
      </c>
      <c r="B74" s="19">
        <v>99235</v>
      </c>
      <c r="C74" s="20" t="s">
        <v>361</v>
      </c>
      <c r="D74" s="116">
        <f>'Schedule 4 Adjustments'!F73</f>
        <v>0</v>
      </c>
      <c r="E74" s="410">
        <v>4.7300000000000004</v>
      </c>
      <c r="F74" s="47">
        <f t="shared" si="4"/>
        <v>0</v>
      </c>
      <c r="G74" s="21">
        <f t="shared" si="0"/>
        <v>535.07790299540784</v>
      </c>
      <c r="H74" s="150">
        <f>'Schedule 4 Adjustments'!N73</f>
        <v>0</v>
      </c>
      <c r="I74" s="410">
        <v>4.7300000000000004</v>
      </c>
      <c r="J74" s="47">
        <f t="shared" si="3"/>
        <v>0</v>
      </c>
      <c r="K74" s="21">
        <f t="shared" si="2"/>
        <v>535.07790299540784</v>
      </c>
    </row>
    <row r="75" spans="1:11" s="22" customFormat="1" ht="29" x14ac:dyDescent="0.35">
      <c r="A75" s="19">
        <v>62</v>
      </c>
      <c r="B75" s="19">
        <v>99236</v>
      </c>
      <c r="C75" s="20" t="s">
        <v>362</v>
      </c>
      <c r="D75" s="116">
        <f>'Schedule 4 Adjustments'!F74</f>
        <v>0</v>
      </c>
      <c r="E75" s="410">
        <v>6.18</v>
      </c>
      <c r="F75" s="47">
        <f t="shared" si="4"/>
        <v>0</v>
      </c>
      <c r="G75" s="21">
        <f t="shared" si="0"/>
        <v>699.10812695805919</v>
      </c>
      <c r="H75" s="150">
        <f>'Schedule 4 Adjustments'!N74</f>
        <v>0</v>
      </c>
      <c r="I75" s="410">
        <v>6.18</v>
      </c>
      <c r="J75" s="47">
        <f t="shared" si="3"/>
        <v>0</v>
      </c>
      <c r="K75" s="21">
        <f t="shared" si="2"/>
        <v>699.10812695805919</v>
      </c>
    </row>
    <row r="76" spans="1:11" s="22" customFormat="1" x14ac:dyDescent="0.35">
      <c r="A76" s="19">
        <v>63</v>
      </c>
      <c r="B76" s="19">
        <v>99238</v>
      </c>
      <c r="C76" s="20" t="s">
        <v>346</v>
      </c>
      <c r="D76" s="116">
        <f>'Schedule 4 Adjustments'!F75</f>
        <v>0</v>
      </c>
      <c r="E76" s="410">
        <v>2.41</v>
      </c>
      <c r="F76" s="47">
        <f t="shared" si="4"/>
        <v>0</v>
      </c>
      <c r="G76" s="21">
        <f t="shared" si="0"/>
        <v>272.62954465516549</v>
      </c>
      <c r="H76" s="150">
        <f>'Schedule 4 Adjustments'!N75</f>
        <v>0</v>
      </c>
      <c r="I76" s="410">
        <v>2.41</v>
      </c>
      <c r="J76" s="47">
        <f t="shared" si="3"/>
        <v>0</v>
      </c>
      <c r="K76" s="21">
        <f t="shared" si="2"/>
        <v>272.62954465516549</v>
      </c>
    </row>
    <row r="77" spans="1:11" s="22" customFormat="1" x14ac:dyDescent="0.35">
      <c r="A77" s="19">
        <v>64</v>
      </c>
      <c r="B77" s="19">
        <v>99239</v>
      </c>
      <c r="C77" s="20" t="s">
        <v>127</v>
      </c>
      <c r="D77" s="116">
        <f>'Schedule 4 Adjustments'!F76</f>
        <v>0</v>
      </c>
      <c r="E77" s="410">
        <v>3.4</v>
      </c>
      <c r="F77" s="47">
        <f t="shared" si="4"/>
        <v>0</v>
      </c>
      <c r="G77" s="21">
        <f t="shared" si="0"/>
        <v>384.62259411932058</v>
      </c>
      <c r="H77" s="150">
        <f>'Schedule 4 Adjustments'!N76</f>
        <v>0</v>
      </c>
      <c r="I77" s="410">
        <v>3.4</v>
      </c>
      <c r="J77" s="47">
        <f t="shared" si="3"/>
        <v>0</v>
      </c>
      <c r="K77" s="21">
        <f t="shared" si="2"/>
        <v>384.62259411932058</v>
      </c>
    </row>
    <row r="78" spans="1:11" s="22" customFormat="1" x14ac:dyDescent="0.35">
      <c r="A78" s="19">
        <v>65</v>
      </c>
      <c r="B78" s="19">
        <v>99242</v>
      </c>
      <c r="C78" s="20" t="s">
        <v>347</v>
      </c>
      <c r="D78" s="116">
        <f>'Schedule 4 Adjustments'!F77</f>
        <v>0</v>
      </c>
      <c r="E78" s="410">
        <v>2.25</v>
      </c>
      <c r="F78" s="148">
        <f t="shared" si="4"/>
        <v>0</v>
      </c>
      <c r="G78" s="149">
        <f t="shared" si="0"/>
        <v>254.5296578730798</v>
      </c>
      <c r="H78" s="150">
        <f>'Schedule 4 Adjustments'!N77</f>
        <v>0</v>
      </c>
      <c r="I78" s="410">
        <v>1.66</v>
      </c>
      <c r="J78" s="47">
        <f t="shared" si="3"/>
        <v>0</v>
      </c>
      <c r="K78" s="21">
        <f t="shared" si="2"/>
        <v>187.78632536413886</v>
      </c>
    </row>
    <row r="79" spans="1:11" s="22" customFormat="1" x14ac:dyDescent="0.35">
      <c r="A79" s="19">
        <v>66</v>
      </c>
      <c r="B79" s="19">
        <v>99243</v>
      </c>
      <c r="C79" s="20" t="s">
        <v>348</v>
      </c>
      <c r="D79" s="116">
        <f>'Schedule 4 Adjustments'!F78</f>
        <v>0</v>
      </c>
      <c r="E79" s="410">
        <v>3.37</v>
      </c>
      <c r="F79" s="47">
        <f t="shared" si="4"/>
        <v>0</v>
      </c>
      <c r="G79" s="21">
        <f t="shared" si="0"/>
        <v>381.22886534767957</v>
      </c>
      <c r="H79" s="150">
        <f>'Schedule 4 Adjustments'!N78</f>
        <v>0</v>
      </c>
      <c r="I79" s="410">
        <v>2.62</v>
      </c>
      <c r="J79" s="47">
        <f t="shared" si="3"/>
        <v>0</v>
      </c>
      <c r="K79" s="21">
        <f t="shared" si="2"/>
        <v>296.38564605665294</v>
      </c>
    </row>
    <row r="80" spans="1:11" s="22" customFormat="1" x14ac:dyDescent="0.35">
      <c r="A80" s="19">
        <v>67</v>
      </c>
      <c r="B80" s="19">
        <v>99244</v>
      </c>
      <c r="C80" s="20" t="s">
        <v>349</v>
      </c>
      <c r="D80" s="116">
        <f>'Schedule 4 Adjustments'!F79</f>
        <v>0</v>
      </c>
      <c r="E80" s="410">
        <v>4.8099999999999996</v>
      </c>
      <c r="F80" s="47">
        <f t="shared" si="4"/>
        <v>0</v>
      </c>
      <c r="G80" s="21">
        <f t="shared" si="0"/>
        <v>544.12784638645053</v>
      </c>
      <c r="H80" s="150">
        <f>'Schedule 4 Adjustments'!N79</f>
        <v>0</v>
      </c>
      <c r="I80" s="410">
        <v>3.99</v>
      </c>
      <c r="J80" s="47">
        <f t="shared" si="3"/>
        <v>0</v>
      </c>
      <c r="K80" s="21">
        <f t="shared" si="2"/>
        <v>451.36592662826155</v>
      </c>
    </row>
    <row r="81" spans="1:11" s="22" customFormat="1" x14ac:dyDescent="0.35">
      <c r="A81" s="19">
        <v>68</v>
      </c>
      <c r="B81" s="19">
        <v>99245</v>
      </c>
      <c r="C81" s="20" t="s">
        <v>350</v>
      </c>
      <c r="D81" s="116">
        <f>'Schedule 4 Adjustments'!F80</f>
        <v>0</v>
      </c>
      <c r="E81" s="410">
        <v>6.28</v>
      </c>
      <c r="F81" s="47">
        <f t="shared" si="4"/>
        <v>0</v>
      </c>
      <c r="G81" s="21">
        <f t="shared" si="0"/>
        <v>710.42055619686278</v>
      </c>
      <c r="H81" s="150">
        <f>'Schedule 4 Adjustments'!N80</f>
        <v>0</v>
      </c>
      <c r="I81" s="410">
        <v>5.36</v>
      </c>
      <c r="J81" s="47">
        <f t="shared" si="3"/>
        <v>0</v>
      </c>
      <c r="K81" s="21">
        <f t="shared" si="2"/>
        <v>606.34620719987015</v>
      </c>
    </row>
    <row r="82" spans="1:11" s="22" customFormat="1" x14ac:dyDescent="0.35">
      <c r="A82" s="19">
        <v>69</v>
      </c>
      <c r="B82" s="19">
        <v>99252</v>
      </c>
      <c r="C82" s="20" t="s">
        <v>351</v>
      </c>
      <c r="D82" s="116">
        <f>'Schedule 4 Adjustments'!F81</f>
        <v>0</v>
      </c>
      <c r="E82" s="410">
        <v>2.11</v>
      </c>
      <c r="F82" s="47">
        <f t="shared" si="4"/>
        <v>0</v>
      </c>
      <c r="G82" s="21">
        <f t="shared" si="0"/>
        <v>238.69225693875484</v>
      </c>
      <c r="H82" s="150">
        <f>'Schedule 4 Adjustments'!N81</f>
        <v>0</v>
      </c>
      <c r="I82" s="410">
        <v>2.11</v>
      </c>
      <c r="J82" s="47">
        <f t="shared" si="3"/>
        <v>0</v>
      </c>
      <c r="K82" s="21">
        <f t="shared" si="2"/>
        <v>238.69225693875484</v>
      </c>
    </row>
    <row r="83" spans="1:11" s="22" customFormat="1" x14ac:dyDescent="0.35">
      <c r="A83" s="19">
        <v>70</v>
      </c>
      <c r="B83" s="19">
        <v>99253</v>
      </c>
      <c r="C83" s="20" t="s">
        <v>352</v>
      </c>
      <c r="D83" s="116">
        <f>'Schedule 4 Adjustments'!F82</f>
        <v>0</v>
      </c>
      <c r="E83" s="410">
        <v>2.96</v>
      </c>
      <c r="F83" s="47">
        <f t="shared" si="4"/>
        <v>0</v>
      </c>
      <c r="G83" s="21">
        <f t="shared" ref="G83:G146" si="5">E83*$F$13</f>
        <v>334.847905468585</v>
      </c>
      <c r="H83" s="150">
        <f>'Schedule 4 Adjustments'!N82</f>
        <v>0</v>
      </c>
      <c r="I83" s="410">
        <v>2.96</v>
      </c>
      <c r="J83" s="47">
        <f t="shared" si="3"/>
        <v>0</v>
      </c>
      <c r="K83" s="21">
        <f t="shared" ref="K83:K146" si="6">I83*$F$13</f>
        <v>334.847905468585</v>
      </c>
    </row>
    <row r="84" spans="1:11" s="22" customFormat="1" x14ac:dyDescent="0.35">
      <c r="A84" s="19">
        <v>71</v>
      </c>
      <c r="B84" s="19">
        <v>99254</v>
      </c>
      <c r="C84" s="20" t="s">
        <v>353</v>
      </c>
      <c r="D84" s="116">
        <f>'Schedule 4 Adjustments'!F83</f>
        <v>0</v>
      </c>
      <c r="E84" s="410">
        <v>4.1100000000000003</v>
      </c>
      <c r="F84" s="47">
        <f t="shared" si="4"/>
        <v>0</v>
      </c>
      <c r="G84" s="21">
        <f t="shared" si="5"/>
        <v>464.94084171482581</v>
      </c>
      <c r="H84" s="150">
        <f>'Schedule 4 Adjustments'!N83</f>
        <v>0</v>
      </c>
      <c r="I84" s="410">
        <v>4.1100000000000003</v>
      </c>
      <c r="J84" s="47">
        <f t="shared" ref="J84:J147" si="7">H84*I84</f>
        <v>0</v>
      </c>
      <c r="K84" s="21">
        <f t="shared" si="6"/>
        <v>464.94084171482581</v>
      </c>
    </row>
    <row r="85" spans="1:11" s="22" customFormat="1" x14ac:dyDescent="0.35">
      <c r="A85" s="19">
        <v>72</v>
      </c>
      <c r="B85" s="19">
        <v>99255</v>
      </c>
      <c r="C85" s="20" t="s">
        <v>354</v>
      </c>
      <c r="D85" s="116">
        <f>'Schedule 4 Adjustments'!F84</f>
        <v>0</v>
      </c>
      <c r="E85" s="410">
        <v>5.53</v>
      </c>
      <c r="F85" s="47">
        <f t="shared" ref="F85:F148" si="8">D85*E85</f>
        <v>0</v>
      </c>
      <c r="G85" s="21">
        <f t="shared" si="5"/>
        <v>625.57733690583621</v>
      </c>
      <c r="H85" s="150">
        <f>'Schedule 4 Adjustments'!N84</f>
        <v>0</v>
      </c>
      <c r="I85" s="410">
        <v>5.53</v>
      </c>
      <c r="J85" s="47">
        <f t="shared" si="7"/>
        <v>0</v>
      </c>
      <c r="K85" s="21">
        <f t="shared" si="6"/>
        <v>625.57733690583621</v>
      </c>
    </row>
    <row r="86" spans="1:11" s="22" customFormat="1" x14ac:dyDescent="0.35">
      <c r="A86" s="19">
        <v>73</v>
      </c>
      <c r="B86" s="19">
        <v>99281</v>
      </c>
      <c r="C86" s="20" t="s">
        <v>355</v>
      </c>
      <c r="D86" s="116">
        <f>'Schedule 4 Adjustments'!F85</f>
        <v>0</v>
      </c>
      <c r="E86" s="410">
        <v>0.34</v>
      </c>
      <c r="F86" s="47">
        <f t="shared" si="8"/>
        <v>0</v>
      </c>
      <c r="G86" s="21">
        <f t="shared" si="5"/>
        <v>38.46225941193206</v>
      </c>
      <c r="H86" s="150">
        <f>'Schedule 4 Adjustments'!N85</f>
        <v>0</v>
      </c>
      <c r="I86" s="410">
        <v>0.34</v>
      </c>
      <c r="J86" s="47">
        <f t="shared" si="7"/>
        <v>0</v>
      </c>
      <c r="K86" s="21">
        <f t="shared" si="6"/>
        <v>38.46225941193206</v>
      </c>
    </row>
    <row r="87" spans="1:11" s="22" customFormat="1" x14ac:dyDescent="0.35">
      <c r="A87" s="19">
        <v>74</v>
      </c>
      <c r="B87" s="19">
        <v>99282</v>
      </c>
      <c r="C87" s="20" t="s">
        <v>356</v>
      </c>
      <c r="D87" s="116">
        <f>'Schedule 4 Adjustments'!F86</f>
        <v>0</v>
      </c>
      <c r="E87" s="410">
        <v>1.24</v>
      </c>
      <c r="F87" s="47">
        <f t="shared" si="8"/>
        <v>0</v>
      </c>
      <c r="G87" s="21">
        <f t="shared" si="5"/>
        <v>140.27412256116398</v>
      </c>
      <c r="H87" s="150">
        <f>'Schedule 4 Adjustments'!N86</f>
        <v>0</v>
      </c>
      <c r="I87" s="410">
        <v>1.24</v>
      </c>
      <c r="J87" s="47">
        <f t="shared" si="7"/>
        <v>0</v>
      </c>
      <c r="K87" s="21">
        <f t="shared" si="6"/>
        <v>140.27412256116398</v>
      </c>
    </row>
    <row r="88" spans="1:11" s="22" customFormat="1" x14ac:dyDescent="0.35">
      <c r="A88" s="19">
        <v>75</v>
      </c>
      <c r="B88" s="19">
        <v>99283</v>
      </c>
      <c r="C88" s="20" t="s">
        <v>357</v>
      </c>
      <c r="D88" s="116">
        <f>'Schedule 4 Adjustments'!F87</f>
        <v>0</v>
      </c>
      <c r="E88" s="410">
        <v>2.11</v>
      </c>
      <c r="F88" s="47">
        <f t="shared" si="8"/>
        <v>0</v>
      </c>
      <c r="G88" s="21">
        <f t="shared" si="5"/>
        <v>238.69225693875484</v>
      </c>
      <c r="H88" s="150">
        <f>'Schedule 4 Adjustments'!N87</f>
        <v>0</v>
      </c>
      <c r="I88" s="410">
        <v>2.11</v>
      </c>
      <c r="J88" s="47">
        <f t="shared" si="7"/>
        <v>0</v>
      </c>
      <c r="K88" s="21">
        <f t="shared" si="6"/>
        <v>238.69225693875484</v>
      </c>
    </row>
    <row r="89" spans="1:11" s="22" customFormat="1" x14ac:dyDescent="0.35">
      <c r="A89" s="19">
        <v>76</v>
      </c>
      <c r="B89" s="19">
        <v>99284</v>
      </c>
      <c r="C89" s="20" t="s">
        <v>358</v>
      </c>
      <c r="D89" s="116">
        <f>'Schedule 4 Adjustments'!F88</f>
        <v>0</v>
      </c>
      <c r="E89" s="410">
        <v>3.59</v>
      </c>
      <c r="F89" s="47">
        <f t="shared" si="8"/>
        <v>0</v>
      </c>
      <c r="G89" s="21">
        <f t="shared" si="5"/>
        <v>406.11620967304731</v>
      </c>
      <c r="H89" s="150">
        <f>'Schedule 4 Adjustments'!N88</f>
        <v>0</v>
      </c>
      <c r="I89" s="410">
        <v>3.59</v>
      </c>
      <c r="J89" s="47">
        <f t="shared" si="7"/>
        <v>0</v>
      </c>
      <c r="K89" s="21">
        <f t="shared" si="6"/>
        <v>406.11620967304731</v>
      </c>
    </row>
    <row r="90" spans="1:11" s="22" customFormat="1" x14ac:dyDescent="0.35">
      <c r="A90" s="19">
        <v>77</v>
      </c>
      <c r="B90" s="19">
        <v>99285</v>
      </c>
      <c r="C90" s="20" t="s">
        <v>359</v>
      </c>
      <c r="D90" s="116">
        <f>'Schedule 4 Adjustments'!F89</f>
        <v>0</v>
      </c>
      <c r="E90" s="410">
        <v>5.2</v>
      </c>
      <c r="F90" s="47">
        <f t="shared" si="8"/>
        <v>0</v>
      </c>
      <c r="G90" s="21">
        <f t="shared" si="5"/>
        <v>588.24632041778443</v>
      </c>
      <c r="H90" s="150">
        <f>'Schedule 4 Adjustments'!N89</f>
        <v>0</v>
      </c>
      <c r="I90" s="410">
        <v>5.2</v>
      </c>
      <c r="J90" s="47">
        <f t="shared" si="7"/>
        <v>0</v>
      </c>
      <c r="K90" s="21">
        <f t="shared" si="6"/>
        <v>588.24632041778443</v>
      </c>
    </row>
    <row r="91" spans="1:11" s="22" customFormat="1" x14ac:dyDescent="0.35">
      <c r="A91" s="19">
        <v>78</v>
      </c>
      <c r="B91" s="19">
        <v>99304</v>
      </c>
      <c r="C91" s="20" t="s">
        <v>363</v>
      </c>
      <c r="D91" s="116">
        <f>'Schedule 4 Adjustments'!F90</f>
        <v>0</v>
      </c>
      <c r="E91" s="410">
        <v>2.39</v>
      </c>
      <c r="F91" s="47">
        <f t="shared" si="8"/>
        <v>0</v>
      </c>
      <c r="G91" s="21">
        <f t="shared" si="5"/>
        <v>270.36705880740482</v>
      </c>
      <c r="H91" s="150">
        <f>'Schedule 4 Adjustments'!N90</f>
        <v>0</v>
      </c>
      <c r="I91" s="410">
        <v>2.39</v>
      </c>
      <c r="J91" s="47">
        <f t="shared" si="7"/>
        <v>0</v>
      </c>
      <c r="K91" s="21">
        <f t="shared" si="6"/>
        <v>270.36705880740482</v>
      </c>
    </row>
    <row r="92" spans="1:11" s="22" customFormat="1" x14ac:dyDescent="0.35">
      <c r="A92" s="19">
        <v>79</v>
      </c>
      <c r="B92" s="19">
        <v>99305</v>
      </c>
      <c r="C92" s="20" t="s">
        <v>364</v>
      </c>
      <c r="D92" s="116">
        <f>'Schedule 4 Adjustments'!F91</f>
        <v>0</v>
      </c>
      <c r="E92" s="410">
        <v>3.97</v>
      </c>
      <c r="F92" s="47">
        <f t="shared" si="8"/>
        <v>0</v>
      </c>
      <c r="G92" s="21">
        <f t="shared" si="5"/>
        <v>449.10344078050082</v>
      </c>
      <c r="H92" s="150">
        <f>'Schedule 4 Adjustments'!N91</f>
        <v>0</v>
      </c>
      <c r="I92" s="410">
        <v>3.97</v>
      </c>
      <c r="J92" s="47">
        <f t="shared" si="7"/>
        <v>0</v>
      </c>
      <c r="K92" s="21">
        <f t="shared" si="6"/>
        <v>449.10344078050082</v>
      </c>
    </row>
    <row r="93" spans="1:11" s="22" customFormat="1" x14ac:dyDescent="0.35">
      <c r="A93" s="19">
        <v>80</v>
      </c>
      <c r="B93" s="19">
        <v>99306</v>
      </c>
      <c r="C93" s="20" t="s">
        <v>365</v>
      </c>
      <c r="D93" s="116">
        <f>'Schedule 4 Adjustments'!F92</f>
        <v>0</v>
      </c>
      <c r="E93" s="410">
        <v>5.42</v>
      </c>
      <c r="F93" s="47">
        <f t="shared" si="8"/>
        <v>0</v>
      </c>
      <c r="G93" s="21">
        <f t="shared" si="5"/>
        <v>613.13366474315228</v>
      </c>
      <c r="H93" s="150">
        <f>'Schedule 4 Adjustments'!N92</f>
        <v>0</v>
      </c>
      <c r="I93" s="410">
        <v>5.42</v>
      </c>
      <c r="J93" s="47">
        <f t="shared" si="7"/>
        <v>0</v>
      </c>
      <c r="K93" s="21">
        <f t="shared" si="6"/>
        <v>613.13366474315228</v>
      </c>
    </row>
    <row r="94" spans="1:11" s="22" customFormat="1" x14ac:dyDescent="0.35">
      <c r="A94" s="19">
        <v>81</v>
      </c>
      <c r="B94" s="19">
        <v>99307</v>
      </c>
      <c r="C94" s="20" t="s">
        <v>366</v>
      </c>
      <c r="D94" s="116">
        <f>'Schedule 4 Adjustments'!F93</f>
        <v>0</v>
      </c>
      <c r="E94" s="410">
        <v>1.2</v>
      </c>
      <c r="F94" s="47">
        <f t="shared" si="8"/>
        <v>0</v>
      </c>
      <c r="G94" s="21">
        <f t="shared" si="5"/>
        <v>135.74915086564255</v>
      </c>
      <c r="H94" s="150">
        <f>'Schedule 4 Adjustments'!N93</f>
        <v>0</v>
      </c>
      <c r="I94" s="410">
        <v>1.2</v>
      </c>
      <c r="J94" s="47">
        <f t="shared" si="7"/>
        <v>0</v>
      </c>
      <c r="K94" s="21">
        <f t="shared" si="6"/>
        <v>135.74915086564255</v>
      </c>
    </row>
    <row r="95" spans="1:11" s="22" customFormat="1" x14ac:dyDescent="0.35">
      <c r="A95" s="19">
        <v>82</v>
      </c>
      <c r="B95" s="19">
        <v>99308</v>
      </c>
      <c r="C95" s="20" t="s">
        <v>367</v>
      </c>
      <c r="D95" s="116">
        <f>'Schedule 4 Adjustments'!F94</f>
        <v>0</v>
      </c>
      <c r="E95" s="410">
        <v>2.2200000000000002</v>
      </c>
      <c r="F95" s="47">
        <f t="shared" si="8"/>
        <v>0</v>
      </c>
      <c r="G95" s="21">
        <f t="shared" si="5"/>
        <v>251.13592910143876</v>
      </c>
      <c r="H95" s="150">
        <f>'Schedule 4 Adjustments'!N94</f>
        <v>0</v>
      </c>
      <c r="I95" s="410">
        <v>2.2200000000000002</v>
      </c>
      <c r="J95" s="47">
        <f t="shared" si="7"/>
        <v>0</v>
      </c>
      <c r="K95" s="21">
        <f t="shared" si="6"/>
        <v>251.13592910143876</v>
      </c>
    </row>
    <row r="96" spans="1:11" s="22" customFormat="1" x14ac:dyDescent="0.35">
      <c r="A96" s="19">
        <v>83</v>
      </c>
      <c r="B96" s="19">
        <v>99309</v>
      </c>
      <c r="C96" s="20" t="s">
        <v>368</v>
      </c>
      <c r="D96" s="116">
        <f>'Schedule 4 Adjustments'!F95</f>
        <v>2</v>
      </c>
      <c r="E96" s="410">
        <v>3.21</v>
      </c>
      <c r="F96" s="47">
        <f t="shared" si="8"/>
        <v>6.42</v>
      </c>
      <c r="G96" s="21">
        <f t="shared" si="5"/>
        <v>363.12897856559385</v>
      </c>
      <c r="H96" s="150">
        <f>'Schedule 4 Adjustments'!N95</f>
        <v>0</v>
      </c>
      <c r="I96" s="410">
        <v>3.21</v>
      </c>
      <c r="J96" s="47">
        <f t="shared" si="7"/>
        <v>0</v>
      </c>
      <c r="K96" s="21">
        <f t="shared" si="6"/>
        <v>363.12897856559385</v>
      </c>
    </row>
    <row r="97" spans="1:11" s="22" customFormat="1" x14ac:dyDescent="0.35">
      <c r="A97" s="19">
        <v>84</v>
      </c>
      <c r="B97" s="19">
        <v>99310</v>
      </c>
      <c r="C97" s="20" t="s">
        <v>369</v>
      </c>
      <c r="D97" s="116">
        <f>'Schedule 4 Adjustments'!F96</f>
        <v>1</v>
      </c>
      <c r="E97" s="410">
        <v>4.58</v>
      </c>
      <c r="F97" s="47">
        <f t="shared" si="8"/>
        <v>4.58</v>
      </c>
      <c r="G97" s="21">
        <f t="shared" si="5"/>
        <v>518.10925913720246</v>
      </c>
      <c r="H97" s="150">
        <f>'Schedule 4 Adjustments'!N96</f>
        <v>0</v>
      </c>
      <c r="I97" s="410">
        <v>4.58</v>
      </c>
      <c r="J97" s="47">
        <f t="shared" si="7"/>
        <v>0</v>
      </c>
      <c r="K97" s="21">
        <f t="shared" si="6"/>
        <v>518.10925913720246</v>
      </c>
    </row>
    <row r="98" spans="1:11" s="22" customFormat="1" x14ac:dyDescent="0.35">
      <c r="A98" s="19">
        <v>85</v>
      </c>
      <c r="B98" s="19">
        <v>99315</v>
      </c>
      <c r="C98" s="20" t="s">
        <v>370</v>
      </c>
      <c r="D98" s="116">
        <f>'Schedule 4 Adjustments'!F97</f>
        <v>0</v>
      </c>
      <c r="E98" s="410">
        <v>2.4300000000000002</v>
      </c>
      <c r="F98" s="47">
        <f t="shared" si="8"/>
        <v>0</v>
      </c>
      <c r="G98" s="21">
        <f t="shared" si="5"/>
        <v>274.89203050292622</v>
      </c>
      <c r="H98" s="150">
        <f>'Schedule 4 Adjustments'!N97</f>
        <v>0</v>
      </c>
      <c r="I98" s="410">
        <v>2.4300000000000002</v>
      </c>
      <c r="J98" s="47">
        <f t="shared" si="7"/>
        <v>0</v>
      </c>
      <c r="K98" s="21">
        <f t="shared" si="6"/>
        <v>274.89203050292622</v>
      </c>
    </row>
    <row r="99" spans="1:11" s="22" customFormat="1" x14ac:dyDescent="0.35">
      <c r="A99" s="19">
        <v>86</v>
      </c>
      <c r="B99" s="19">
        <v>99316</v>
      </c>
      <c r="C99" s="20" t="s">
        <v>128</v>
      </c>
      <c r="D99" s="116">
        <f>'Schedule 4 Adjustments'!F98</f>
        <v>0</v>
      </c>
      <c r="E99" s="410">
        <v>3.9</v>
      </c>
      <c r="F99" s="47">
        <f t="shared" si="8"/>
        <v>0</v>
      </c>
      <c r="G99" s="21">
        <f t="shared" si="5"/>
        <v>441.18474031333835</v>
      </c>
      <c r="H99" s="150">
        <f>'Schedule 4 Adjustments'!N98</f>
        <v>0</v>
      </c>
      <c r="I99" s="410">
        <v>3.9</v>
      </c>
      <c r="J99" s="47">
        <f t="shared" si="7"/>
        <v>0</v>
      </c>
      <c r="K99" s="21">
        <f t="shared" si="6"/>
        <v>441.18474031333835</v>
      </c>
    </row>
    <row r="100" spans="1:11" s="22" customFormat="1" x14ac:dyDescent="0.35">
      <c r="A100" s="19">
        <v>87</v>
      </c>
      <c r="B100" s="19">
        <v>99341</v>
      </c>
      <c r="C100" s="20" t="s">
        <v>371</v>
      </c>
      <c r="D100" s="116">
        <f>'Schedule 4 Adjustments'!F99</f>
        <v>0</v>
      </c>
      <c r="E100" s="410">
        <v>1.47</v>
      </c>
      <c r="F100" s="47">
        <f t="shared" si="8"/>
        <v>0</v>
      </c>
      <c r="G100" s="21">
        <f t="shared" si="5"/>
        <v>166.29270981041213</v>
      </c>
      <c r="H100" s="150">
        <f>'Schedule 4 Adjustments'!N99</f>
        <v>0</v>
      </c>
      <c r="I100" s="410">
        <v>1.47</v>
      </c>
      <c r="J100" s="47">
        <f t="shared" si="7"/>
        <v>0</v>
      </c>
      <c r="K100" s="21">
        <f t="shared" si="6"/>
        <v>166.29270981041213</v>
      </c>
    </row>
    <row r="101" spans="1:11" s="22" customFormat="1" x14ac:dyDescent="0.35">
      <c r="A101" s="19">
        <v>88</v>
      </c>
      <c r="B101" s="19">
        <v>99342</v>
      </c>
      <c r="C101" s="20" t="s">
        <v>372</v>
      </c>
      <c r="D101" s="116">
        <f>'Schedule 4 Adjustments'!F100</f>
        <v>0</v>
      </c>
      <c r="E101" s="410">
        <v>2.33</v>
      </c>
      <c r="F101" s="47">
        <f t="shared" si="8"/>
        <v>0</v>
      </c>
      <c r="G101" s="21">
        <f t="shared" si="5"/>
        <v>263.57960126412263</v>
      </c>
      <c r="H101" s="150">
        <f>'Schedule 4 Adjustments'!N100</f>
        <v>0</v>
      </c>
      <c r="I101" s="410">
        <v>2.33</v>
      </c>
      <c r="J101" s="47">
        <f t="shared" si="7"/>
        <v>0</v>
      </c>
      <c r="K101" s="21">
        <f t="shared" si="6"/>
        <v>263.57960126412263</v>
      </c>
    </row>
    <row r="102" spans="1:11" s="22" customFormat="1" x14ac:dyDescent="0.35">
      <c r="A102" s="19">
        <v>89</v>
      </c>
      <c r="B102" s="19">
        <v>99344</v>
      </c>
      <c r="C102" s="20" t="s">
        <v>373</v>
      </c>
      <c r="D102" s="116">
        <f>'Schedule 4 Adjustments'!F101</f>
        <v>0</v>
      </c>
      <c r="E102" s="410">
        <v>4.2300000000000004</v>
      </c>
      <c r="F102" s="47">
        <f t="shared" si="8"/>
        <v>0</v>
      </c>
      <c r="G102" s="21">
        <f t="shared" si="5"/>
        <v>478.51575680139007</v>
      </c>
      <c r="H102" s="150">
        <f>'Schedule 4 Adjustments'!N101</f>
        <v>0</v>
      </c>
      <c r="I102" s="410">
        <v>4.2300000000000004</v>
      </c>
      <c r="J102" s="47">
        <f t="shared" si="7"/>
        <v>0</v>
      </c>
      <c r="K102" s="21">
        <f t="shared" si="6"/>
        <v>478.51575680139007</v>
      </c>
    </row>
    <row r="103" spans="1:11" s="22" customFormat="1" x14ac:dyDescent="0.35">
      <c r="A103" s="19">
        <v>90</v>
      </c>
      <c r="B103" s="19">
        <v>99345</v>
      </c>
      <c r="C103" s="20" t="s">
        <v>374</v>
      </c>
      <c r="D103" s="116">
        <f>'Schedule 4 Adjustments'!F102</f>
        <v>0</v>
      </c>
      <c r="E103" s="410">
        <v>6.01</v>
      </c>
      <c r="F103" s="47">
        <f t="shared" si="8"/>
        <v>0</v>
      </c>
      <c r="G103" s="21">
        <f t="shared" si="5"/>
        <v>679.87699725209313</v>
      </c>
      <c r="H103" s="150">
        <f>'Schedule 4 Adjustments'!N102</f>
        <v>0</v>
      </c>
      <c r="I103" s="410">
        <v>6.01</v>
      </c>
      <c r="J103" s="47">
        <f t="shared" si="7"/>
        <v>0</v>
      </c>
      <c r="K103" s="21">
        <f t="shared" si="6"/>
        <v>679.87699725209313</v>
      </c>
    </row>
    <row r="104" spans="1:11" s="22" customFormat="1" x14ac:dyDescent="0.35">
      <c r="A104" s="19">
        <v>91</v>
      </c>
      <c r="B104" s="19">
        <v>99347</v>
      </c>
      <c r="C104" s="20" t="s">
        <v>375</v>
      </c>
      <c r="D104" s="116">
        <f>'Schedule 4 Adjustments'!F103</f>
        <v>0</v>
      </c>
      <c r="E104" s="410">
        <v>1.35</v>
      </c>
      <c r="F104" s="47">
        <f t="shared" si="8"/>
        <v>0</v>
      </c>
      <c r="G104" s="21">
        <f t="shared" si="5"/>
        <v>152.7177947238479</v>
      </c>
      <c r="H104" s="150">
        <f>'Schedule 4 Adjustments'!N103</f>
        <v>0</v>
      </c>
      <c r="I104" s="410">
        <v>1.35</v>
      </c>
      <c r="J104" s="47">
        <f t="shared" si="7"/>
        <v>0</v>
      </c>
      <c r="K104" s="21">
        <f t="shared" si="6"/>
        <v>152.7177947238479</v>
      </c>
    </row>
    <row r="105" spans="1:11" s="22" customFormat="1" x14ac:dyDescent="0.35">
      <c r="A105" s="19">
        <v>92</v>
      </c>
      <c r="B105" s="19">
        <v>99348</v>
      </c>
      <c r="C105" s="20" t="s">
        <v>376</v>
      </c>
      <c r="D105" s="116">
        <f>'Schedule 4 Adjustments'!F104</f>
        <v>0</v>
      </c>
      <c r="E105" s="410">
        <v>2.2799999999999998</v>
      </c>
      <c r="F105" s="47">
        <f t="shared" si="8"/>
        <v>0</v>
      </c>
      <c r="G105" s="21">
        <f t="shared" si="5"/>
        <v>257.92338664472084</v>
      </c>
      <c r="H105" s="150">
        <f>'Schedule 4 Adjustments'!N104</f>
        <v>0</v>
      </c>
      <c r="I105" s="410">
        <v>2.2799999999999998</v>
      </c>
      <c r="J105" s="47">
        <f t="shared" si="7"/>
        <v>0</v>
      </c>
      <c r="K105" s="21">
        <f t="shared" si="6"/>
        <v>257.92338664472084</v>
      </c>
    </row>
    <row r="106" spans="1:11" s="22" customFormat="1" x14ac:dyDescent="0.35">
      <c r="A106" s="19">
        <v>93</v>
      </c>
      <c r="B106" s="19">
        <v>99349</v>
      </c>
      <c r="C106" s="20" t="s">
        <v>377</v>
      </c>
      <c r="D106" s="116">
        <f>'Schedule 4 Adjustments'!F105</f>
        <v>0</v>
      </c>
      <c r="E106" s="410">
        <v>3.79</v>
      </c>
      <c r="F106" s="47">
        <f t="shared" si="8"/>
        <v>0</v>
      </c>
      <c r="G106" s="21">
        <f t="shared" si="5"/>
        <v>428.74106815065443</v>
      </c>
      <c r="H106" s="150">
        <f>'Schedule 4 Adjustments'!N105</f>
        <v>0</v>
      </c>
      <c r="I106" s="410">
        <v>3.79</v>
      </c>
      <c r="J106" s="47">
        <f t="shared" si="7"/>
        <v>0</v>
      </c>
      <c r="K106" s="21">
        <f t="shared" si="6"/>
        <v>428.74106815065443</v>
      </c>
    </row>
    <row r="107" spans="1:11" s="22" customFormat="1" x14ac:dyDescent="0.35">
      <c r="A107" s="19">
        <v>94</v>
      </c>
      <c r="B107" s="19">
        <v>99350</v>
      </c>
      <c r="C107" s="20" t="s">
        <v>378</v>
      </c>
      <c r="D107" s="116">
        <f>'Schedule 4 Adjustments'!F106</f>
        <v>0</v>
      </c>
      <c r="E107" s="410">
        <v>5.52</v>
      </c>
      <c r="F107" s="47">
        <f t="shared" si="8"/>
        <v>0</v>
      </c>
      <c r="G107" s="21">
        <f t="shared" si="5"/>
        <v>624.44609398195576</v>
      </c>
      <c r="H107" s="150">
        <f>'Schedule 4 Adjustments'!N106</f>
        <v>0</v>
      </c>
      <c r="I107" s="410">
        <v>5.52</v>
      </c>
      <c r="J107" s="47">
        <f t="shared" si="7"/>
        <v>0</v>
      </c>
      <c r="K107" s="21">
        <f t="shared" si="6"/>
        <v>624.44609398195576</v>
      </c>
    </row>
    <row r="108" spans="1:11" s="22" customFormat="1" x14ac:dyDescent="0.35">
      <c r="A108" s="19">
        <v>95</v>
      </c>
      <c r="B108" s="19">
        <v>99366</v>
      </c>
      <c r="C108" s="20" t="s">
        <v>379</v>
      </c>
      <c r="D108" s="116">
        <f>'Schedule 4 Adjustments'!F107</f>
        <v>0</v>
      </c>
      <c r="E108" s="410">
        <v>1.22</v>
      </c>
      <c r="F108" s="47">
        <f t="shared" si="8"/>
        <v>0</v>
      </c>
      <c r="G108" s="21">
        <f t="shared" si="5"/>
        <v>138.01163671340328</v>
      </c>
      <c r="H108" s="150">
        <f>'Schedule 4 Adjustments'!N107</f>
        <v>0</v>
      </c>
      <c r="I108" s="410">
        <v>1.19</v>
      </c>
      <c r="J108" s="47">
        <f t="shared" si="7"/>
        <v>0</v>
      </c>
      <c r="K108" s="21">
        <f t="shared" si="6"/>
        <v>134.61790794176221</v>
      </c>
    </row>
    <row r="109" spans="1:11" s="22" customFormat="1" x14ac:dyDescent="0.35">
      <c r="A109" s="19">
        <v>96</v>
      </c>
      <c r="B109" s="19">
        <v>99367</v>
      </c>
      <c r="C109" s="20" t="s">
        <v>380</v>
      </c>
      <c r="D109" s="116">
        <f>'Schedule 4 Adjustments'!F108</f>
        <v>0</v>
      </c>
      <c r="E109" s="410">
        <v>1.6</v>
      </c>
      <c r="F109" s="47">
        <f t="shared" si="8"/>
        <v>0</v>
      </c>
      <c r="G109" s="21">
        <f t="shared" si="5"/>
        <v>180.99886782085676</v>
      </c>
      <c r="H109" s="150">
        <f>'Schedule 4 Adjustments'!N108</f>
        <v>0</v>
      </c>
      <c r="I109" s="410">
        <v>1.6</v>
      </c>
      <c r="J109" s="47">
        <f t="shared" si="7"/>
        <v>0</v>
      </c>
      <c r="K109" s="21">
        <f t="shared" si="6"/>
        <v>180.99886782085676</v>
      </c>
    </row>
    <row r="110" spans="1:11" s="22" customFormat="1" x14ac:dyDescent="0.35">
      <c r="A110" s="19">
        <v>97</v>
      </c>
      <c r="B110" s="19">
        <v>99368</v>
      </c>
      <c r="C110" s="20" t="s">
        <v>381</v>
      </c>
      <c r="D110" s="116">
        <f>'Schedule 4 Adjustments'!F109</f>
        <v>0</v>
      </c>
      <c r="E110" s="410">
        <v>1.04</v>
      </c>
      <c r="F110" s="47">
        <f t="shared" si="8"/>
        <v>0</v>
      </c>
      <c r="G110" s="21">
        <f t="shared" si="5"/>
        <v>117.6492640835569</v>
      </c>
      <c r="H110" s="150">
        <f>'Schedule 4 Adjustments'!N109</f>
        <v>0</v>
      </c>
      <c r="I110" s="410">
        <v>1.04</v>
      </c>
      <c r="J110" s="47">
        <f t="shared" si="7"/>
        <v>0</v>
      </c>
      <c r="K110" s="21">
        <f t="shared" si="6"/>
        <v>117.6492640835569</v>
      </c>
    </row>
    <row r="111" spans="1:11" s="22" customFormat="1" x14ac:dyDescent="0.35">
      <c r="A111" s="19">
        <v>98</v>
      </c>
      <c r="B111" s="19">
        <v>99441</v>
      </c>
      <c r="C111" s="20" t="s">
        <v>382</v>
      </c>
      <c r="D111" s="116">
        <f>'Schedule 4 Adjustments'!F110</f>
        <v>26</v>
      </c>
      <c r="E111" s="410">
        <v>1.69</v>
      </c>
      <c r="F111" s="47">
        <f t="shared" si="8"/>
        <v>43.94</v>
      </c>
      <c r="G111" s="21">
        <f t="shared" si="5"/>
        <v>191.18005413577993</v>
      </c>
      <c r="H111" s="150">
        <f>'Schedule 4 Adjustments'!N110</f>
        <v>3</v>
      </c>
      <c r="I111" s="410">
        <v>1.04</v>
      </c>
      <c r="J111" s="47">
        <f t="shared" si="7"/>
        <v>3.12</v>
      </c>
      <c r="K111" s="21">
        <f t="shared" si="6"/>
        <v>117.6492640835569</v>
      </c>
    </row>
    <row r="112" spans="1:11" s="22" customFormat="1" x14ac:dyDescent="0.35">
      <c r="A112" s="19">
        <v>99</v>
      </c>
      <c r="B112" s="19">
        <v>99442</v>
      </c>
      <c r="C112" s="20" t="s">
        <v>383</v>
      </c>
      <c r="D112" s="116">
        <f>'Schedule 4 Adjustments'!F111</f>
        <v>8</v>
      </c>
      <c r="E112" s="410">
        <v>2.72</v>
      </c>
      <c r="F112" s="47">
        <f t="shared" si="8"/>
        <v>21.76</v>
      </c>
      <c r="G112" s="21">
        <f t="shared" si="5"/>
        <v>307.69807529545648</v>
      </c>
      <c r="H112" s="150">
        <f>'Schedule 4 Adjustments'!N111</f>
        <v>2</v>
      </c>
      <c r="I112" s="410">
        <v>1.95</v>
      </c>
      <c r="J112" s="47">
        <f t="shared" si="7"/>
        <v>3.9</v>
      </c>
      <c r="K112" s="21">
        <f t="shared" si="6"/>
        <v>220.59237015666918</v>
      </c>
    </row>
    <row r="113" spans="1:11" s="22" customFormat="1" x14ac:dyDescent="0.35">
      <c r="A113" s="19">
        <v>100</v>
      </c>
      <c r="B113" s="19">
        <v>99443</v>
      </c>
      <c r="C113" s="20" t="s">
        <v>384</v>
      </c>
      <c r="D113" s="116">
        <f>'Schedule 4 Adjustments'!F112</f>
        <v>3</v>
      </c>
      <c r="E113" s="410">
        <v>3.85</v>
      </c>
      <c r="F113" s="47">
        <f t="shared" si="8"/>
        <v>11.55</v>
      </c>
      <c r="G113" s="21">
        <f t="shared" si="5"/>
        <v>435.52852569393656</v>
      </c>
      <c r="H113" s="150">
        <f>'Schedule 4 Adjustments'!N112</f>
        <v>1</v>
      </c>
      <c r="I113" s="410">
        <v>2.89</v>
      </c>
      <c r="J113" s="47">
        <f t="shared" si="7"/>
        <v>2.89</v>
      </c>
      <c r="K113" s="21">
        <f t="shared" si="6"/>
        <v>326.92920500142253</v>
      </c>
    </row>
    <row r="114" spans="1:11" s="22" customFormat="1" ht="34.5" customHeight="1" x14ac:dyDescent="0.35">
      <c r="A114" s="19">
        <v>101</v>
      </c>
      <c r="B114" s="19" t="s">
        <v>42</v>
      </c>
      <c r="C114" s="20" t="s">
        <v>385</v>
      </c>
      <c r="D114" s="116">
        <f>'Schedule 4 Adjustments'!F113</f>
        <v>0</v>
      </c>
      <c r="E114" s="410">
        <v>1.27</v>
      </c>
      <c r="F114" s="47">
        <f t="shared" si="8"/>
        <v>0</v>
      </c>
      <c r="G114" s="21">
        <f t="shared" si="5"/>
        <v>143.66785133280504</v>
      </c>
      <c r="H114" s="150">
        <f>'Schedule 4 Adjustments'!N113</f>
        <v>0</v>
      </c>
      <c r="I114" s="410">
        <v>1.1100000000000001</v>
      </c>
      <c r="J114" s="47">
        <f t="shared" si="7"/>
        <v>0</v>
      </c>
      <c r="K114" s="21">
        <f t="shared" si="6"/>
        <v>125.56796455071938</v>
      </c>
    </row>
    <row r="115" spans="1:11" s="22" customFormat="1" ht="29" x14ac:dyDescent="0.35">
      <c r="A115" s="19">
        <v>102</v>
      </c>
      <c r="B115" s="19" t="s">
        <v>43</v>
      </c>
      <c r="C115" s="20" t="s">
        <v>386</v>
      </c>
      <c r="D115" s="116">
        <f>'Schedule 4 Adjustments'!F114</f>
        <v>0</v>
      </c>
      <c r="E115" s="410">
        <v>0.75</v>
      </c>
      <c r="F115" s="47">
        <f t="shared" si="8"/>
        <v>0</v>
      </c>
      <c r="G115" s="21">
        <f t="shared" si="5"/>
        <v>84.8432192910266</v>
      </c>
      <c r="H115" s="150">
        <f>'Schedule 4 Adjustments'!N114</f>
        <v>0</v>
      </c>
      <c r="I115" s="410">
        <v>0.37</v>
      </c>
      <c r="J115" s="47">
        <f t="shared" si="7"/>
        <v>0</v>
      </c>
      <c r="K115" s="21">
        <f t="shared" si="6"/>
        <v>41.855988183573125</v>
      </c>
    </row>
    <row r="116" spans="1:11" s="22" customFormat="1" x14ac:dyDescent="0.35">
      <c r="A116" s="19">
        <v>103</v>
      </c>
      <c r="B116" s="19" t="s">
        <v>44</v>
      </c>
      <c r="C116" s="20" t="s">
        <v>129</v>
      </c>
      <c r="D116" s="116">
        <f>'Schedule 4 Adjustments'!F115</f>
        <v>2</v>
      </c>
      <c r="E116" s="410">
        <v>5.17</v>
      </c>
      <c r="F116" s="47">
        <f t="shared" si="8"/>
        <v>10.34</v>
      </c>
      <c r="G116" s="21">
        <f t="shared" si="5"/>
        <v>584.85259164614342</v>
      </c>
      <c r="H116" s="150">
        <f>'Schedule 4 Adjustments'!N115</f>
        <v>27</v>
      </c>
      <c r="I116" s="410">
        <v>4.43</v>
      </c>
      <c r="J116" s="47">
        <f t="shared" si="7"/>
        <v>119.60999999999999</v>
      </c>
      <c r="K116" s="21">
        <f t="shared" si="6"/>
        <v>501.14061527899713</v>
      </c>
    </row>
    <row r="117" spans="1:11" s="22" customFormat="1" x14ac:dyDescent="0.35">
      <c r="A117" s="19">
        <v>104</v>
      </c>
      <c r="B117" s="19" t="s">
        <v>45</v>
      </c>
      <c r="C117" s="20" t="s">
        <v>387</v>
      </c>
      <c r="D117" s="116">
        <f>'Schedule 4 Adjustments'!F116</f>
        <v>2628</v>
      </c>
      <c r="E117" s="410">
        <v>0.72</v>
      </c>
      <c r="F117" s="47">
        <f t="shared" si="8"/>
        <v>1892.1599999999999</v>
      </c>
      <c r="G117" s="21">
        <f t="shared" si="5"/>
        <v>81.449490519385535</v>
      </c>
      <c r="H117" s="150">
        <f>'Schedule 4 Adjustments'!N116</f>
        <v>7912</v>
      </c>
      <c r="I117" s="410">
        <v>0.66</v>
      </c>
      <c r="J117" s="47">
        <f t="shared" si="7"/>
        <v>5221.92</v>
      </c>
      <c r="K117" s="21">
        <f t="shared" si="6"/>
        <v>74.662032976103418</v>
      </c>
    </row>
    <row r="118" spans="1:11" s="22" customFormat="1" ht="29" x14ac:dyDescent="0.35">
      <c r="A118" s="19">
        <v>105</v>
      </c>
      <c r="B118" s="19" t="s">
        <v>19</v>
      </c>
      <c r="C118" s="20" t="s">
        <v>39</v>
      </c>
      <c r="D118" s="116">
        <f>'Schedule 4 Adjustments'!F117</f>
        <v>0</v>
      </c>
      <c r="E118" s="410">
        <v>0</v>
      </c>
      <c r="F118" s="47">
        <f t="shared" si="8"/>
        <v>0</v>
      </c>
      <c r="G118" s="21">
        <f t="shared" si="5"/>
        <v>0</v>
      </c>
      <c r="H118" s="150">
        <f>'Schedule 4 Adjustments'!N117</f>
        <v>0</v>
      </c>
      <c r="I118" s="410">
        <v>0</v>
      </c>
      <c r="J118" s="47">
        <f t="shared" si="7"/>
        <v>0</v>
      </c>
      <c r="K118" s="21">
        <f t="shared" si="6"/>
        <v>0</v>
      </c>
    </row>
    <row r="119" spans="1:11" s="22" customFormat="1" x14ac:dyDescent="0.35">
      <c r="A119" s="19">
        <v>106</v>
      </c>
      <c r="B119" s="19" t="s">
        <v>46</v>
      </c>
      <c r="C119" s="20" t="s">
        <v>130</v>
      </c>
      <c r="D119" s="116">
        <f>'Schedule 4 Adjustments'!F118</f>
        <v>11980</v>
      </c>
      <c r="E119" s="410">
        <v>1.18</v>
      </c>
      <c r="F119" s="47">
        <f t="shared" si="8"/>
        <v>14136.4</v>
      </c>
      <c r="G119" s="21">
        <f t="shared" si="5"/>
        <v>133.48666501788185</v>
      </c>
      <c r="H119" s="150">
        <f>'Schedule 4 Adjustments'!N118</f>
        <v>13463</v>
      </c>
      <c r="I119" s="410">
        <v>1.03</v>
      </c>
      <c r="J119" s="47">
        <f t="shared" si="7"/>
        <v>13866.890000000001</v>
      </c>
      <c r="K119" s="21">
        <f t="shared" si="6"/>
        <v>116.51802115967654</v>
      </c>
    </row>
    <row r="120" spans="1:11" s="22" customFormat="1" x14ac:dyDescent="0.35">
      <c r="A120" s="19">
        <v>107</v>
      </c>
      <c r="B120" s="19" t="s">
        <v>47</v>
      </c>
      <c r="C120" s="20" t="s">
        <v>131</v>
      </c>
      <c r="D120" s="116">
        <f>'Schedule 4 Adjustments'!F119</f>
        <v>2087</v>
      </c>
      <c r="E120" s="410">
        <v>0.83</v>
      </c>
      <c r="F120" s="47">
        <f t="shared" si="8"/>
        <v>1732.2099999999998</v>
      </c>
      <c r="G120" s="21">
        <f t="shared" si="5"/>
        <v>93.893162682069431</v>
      </c>
      <c r="H120" s="150">
        <f>'Schedule 4 Adjustments'!N119</f>
        <v>3739</v>
      </c>
      <c r="I120" s="410">
        <v>0.72</v>
      </c>
      <c r="J120" s="47">
        <f t="shared" si="7"/>
        <v>2692.08</v>
      </c>
      <c r="K120" s="21">
        <f t="shared" si="6"/>
        <v>81.449490519385535</v>
      </c>
    </row>
    <row r="121" spans="1:11" s="22" customFormat="1" x14ac:dyDescent="0.35">
      <c r="A121" s="19">
        <v>108</v>
      </c>
      <c r="B121" s="19" t="s">
        <v>48</v>
      </c>
      <c r="C121" s="20" t="s">
        <v>132</v>
      </c>
      <c r="D121" s="116">
        <f>'Schedule 4 Adjustments'!F120</f>
        <v>45</v>
      </c>
      <c r="E121" s="410">
        <v>0.64</v>
      </c>
      <c r="F121" s="47">
        <f t="shared" si="8"/>
        <v>28.8</v>
      </c>
      <c r="G121" s="21">
        <f t="shared" si="5"/>
        <v>72.399547128342704</v>
      </c>
      <c r="H121" s="150">
        <f>'Schedule 4 Adjustments'!N120</f>
        <v>246</v>
      </c>
      <c r="I121" s="410">
        <v>0.6</v>
      </c>
      <c r="J121" s="47">
        <f t="shared" si="7"/>
        <v>147.6</v>
      </c>
      <c r="K121" s="21">
        <f t="shared" si="6"/>
        <v>67.874575432821274</v>
      </c>
    </row>
    <row r="122" spans="1:11" s="22" customFormat="1" x14ac:dyDescent="0.35">
      <c r="A122" s="19">
        <v>109</v>
      </c>
      <c r="B122" s="19" t="s">
        <v>21</v>
      </c>
      <c r="C122" s="20" t="s">
        <v>24</v>
      </c>
      <c r="D122" s="116">
        <f>'Schedule 4 Adjustments'!F121</f>
        <v>0</v>
      </c>
      <c r="E122" s="410">
        <v>0</v>
      </c>
      <c r="F122" s="47">
        <f t="shared" si="8"/>
        <v>0</v>
      </c>
      <c r="G122" s="21">
        <f t="shared" si="5"/>
        <v>0</v>
      </c>
      <c r="H122" s="150">
        <f>'Schedule 4 Adjustments'!N121</f>
        <v>0</v>
      </c>
      <c r="I122" s="410">
        <v>0</v>
      </c>
      <c r="J122" s="47">
        <f t="shared" si="7"/>
        <v>0</v>
      </c>
      <c r="K122" s="21">
        <f t="shared" si="6"/>
        <v>0</v>
      </c>
    </row>
    <row r="123" spans="1:11" s="22" customFormat="1" ht="29" x14ac:dyDescent="0.35">
      <c r="A123" s="19">
        <v>110</v>
      </c>
      <c r="B123" s="19" t="s">
        <v>49</v>
      </c>
      <c r="C123" s="20" t="s">
        <v>388</v>
      </c>
      <c r="D123" s="116">
        <f>'Schedule 4 Adjustments'!F122</f>
        <v>0</v>
      </c>
      <c r="E123" s="410">
        <v>0</v>
      </c>
      <c r="F123" s="47">
        <f t="shared" si="8"/>
        <v>0</v>
      </c>
      <c r="G123" s="21">
        <f t="shared" si="5"/>
        <v>0</v>
      </c>
      <c r="H123" s="150">
        <f>'Schedule 4 Adjustments'!N122</f>
        <v>0</v>
      </c>
      <c r="I123" s="410">
        <v>0</v>
      </c>
      <c r="J123" s="47">
        <f t="shared" si="7"/>
        <v>0</v>
      </c>
      <c r="K123" s="21">
        <f t="shared" si="6"/>
        <v>0</v>
      </c>
    </row>
    <row r="124" spans="1:11" s="22" customFormat="1" ht="29" x14ac:dyDescent="0.35">
      <c r="A124" s="19">
        <v>111</v>
      </c>
      <c r="B124" s="19" t="s">
        <v>33</v>
      </c>
      <c r="C124" s="20" t="s">
        <v>389</v>
      </c>
      <c r="D124" s="116">
        <f>'Schedule 4 Adjustments'!F123</f>
        <v>0</v>
      </c>
      <c r="E124" s="410">
        <v>0</v>
      </c>
      <c r="F124" s="47">
        <f t="shared" si="8"/>
        <v>0</v>
      </c>
      <c r="G124" s="21">
        <f t="shared" si="5"/>
        <v>0</v>
      </c>
      <c r="H124" s="150">
        <f>'Schedule 4 Adjustments'!N123</f>
        <v>0</v>
      </c>
      <c r="I124" s="410">
        <v>0</v>
      </c>
      <c r="J124" s="47">
        <f t="shared" si="7"/>
        <v>0</v>
      </c>
      <c r="K124" s="21">
        <f t="shared" si="6"/>
        <v>0</v>
      </c>
    </row>
    <row r="125" spans="1:11" s="22" customFormat="1" x14ac:dyDescent="0.35">
      <c r="A125" s="19">
        <v>112</v>
      </c>
      <c r="B125" s="19" t="s">
        <v>50</v>
      </c>
      <c r="C125" s="20" t="s">
        <v>390</v>
      </c>
      <c r="D125" s="116">
        <f>'Schedule 4 Adjustments'!F124</f>
        <v>0</v>
      </c>
      <c r="E125" s="410">
        <v>2.64</v>
      </c>
      <c r="F125" s="47">
        <f t="shared" si="8"/>
        <v>0</v>
      </c>
      <c r="G125" s="21">
        <f t="shared" si="5"/>
        <v>298.64813190441367</v>
      </c>
      <c r="H125" s="150">
        <f>'Schedule 4 Adjustments'!N124</f>
        <v>0</v>
      </c>
      <c r="I125" s="410">
        <v>2.64</v>
      </c>
      <c r="J125" s="47">
        <f t="shared" si="7"/>
        <v>0</v>
      </c>
      <c r="K125" s="21">
        <f t="shared" si="6"/>
        <v>298.64813190441367</v>
      </c>
    </row>
    <row r="126" spans="1:11" s="22" customFormat="1" x14ac:dyDescent="0.35">
      <c r="A126" s="19">
        <v>113</v>
      </c>
      <c r="B126" s="19" t="s">
        <v>51</v>
      </c>
      <c r="C126" s="20" t="s">
        <v>133</v>
      </c>
      <c r="D126" s="116">
        <f>'Schedule 4 Adjustments'!F125</f>
        <v>0</v>
      </c>
      <c r="E126" s="410">
        <v>0</v>
      </c>
      <c r="F126" s="47">
        <f t="shared" si="8"/>
        <v>0</v>
      </c>
      <c r="G126" s="21">
        <f t="shared" si="5"/>
        <v>0</v>
      </c>
      <c r="H126" s="150">
        <f>'Schedule 4 Adjustments'!N125</f>
        <v>1986</v>
      </c>
      <c r="I126" s="410">
        <v>0</v>
      </c>
      <c r="J126" s="47">
        <f t="shared" si="7"/>
        <v>0</v>
      </c>
      <c r="K126" s="21">
        <f t="shared" si="6"/>
        <v>0</v>
      </c>
    </row>
    <row r="127" spans="1:11" s="22" customFormat="1" x14ac:dyDescent="0.35">
      <c r="A127" s="19">
        <v>114</v>
      </c>
      <c r="B127" s="19" t="s">
        <v>52</v>
      </c>
      <c r="C127" s="20" t="s">
        <v>134</v>
      </c>
      <c r="D127" s="116">
        <f>'Schedule 4 Adjustments'!F126</f>
        <v>0</v>
      </c>
      <c r="E127" s="410">
        <v>0</v>
      </c>
      <c r="F127" s="47">
        <f t="shared" si="8"/>
        <v>0</v>
      </c>
      <c r="G127" s="21">
        <f t="shared" si="5"/>
        <v>0</v>
      </c>
      <c r="H127" s="150">
        <f>'Schedule 4 Adjustments'!N126</f>
        <v>0</v>
      </c>
      <c r="I127" s="410">
        <v>0</v>
      </c>
      <c r="J127" s="47">
        <f t="shared" si="7"/>
        <v>0</v>
      </c>
      <c r="K127" s="21">
        <f t="shared" si="6"/>
        <v>0</v>
      </c>
    </row>
    <row r="128" spans="1:11" s="22" customFormat="1" x14ac:dyDescent="0.35">
      <c r="A128" s="19">
        <v>115</v>
      </c>
      <c r="B128" s="19" t="s">
        <v>53</v>
      </c>
      <c r="C128" s="20" t="s">
        <v>135</v>
      </c>
      <c r="D128" s="116">
        <f>'Schedule 4 Adjustments'!F127</f>
        <v>0</v>
      </c>
      <c r="E128" s="410">
        <v>0</v>
      </c>
      <c r="F128" s="47">
        <f t="shared" si="8"/>
        <v>0</v>
      </c>
      <c r="G128" s="21">
        <f t="shared" si="5"/>
        <v>0</v>
      </c>
      <c r="H128" s="150">
        <f>'Schedule 4 Adjustments'!N127</f>
        <v>0</v>
      </c>
      <c r="I128" s="410">
        <v>0</v>
      </c>
      <c r="J128" s="47">
        <f t="shared" si="7"/>
        <v>0</v>
      </c>
      <c r="K128" s="21">
        <f t="shared" si="6"/>
        <v>0</v>
      </c>
    </row>
    <row r="129" spans="1:11" s="22" customFormat="1" ht="29" x14ac:dyDescent="0.35">
      <c r="A129" s="19">
        <v>116</v>
      </c>
      <c r="B129" s="19" t="s">
        <v>54</v>
      </c>
      <c r="C129" s="20" t="s">
        <v>391</v>
      </c>
      <c r="D129" s="116">
        <f>'Schedule 4 Adjustments'!F128</f>
        <v>8185</v>
      </c>
      <c r="E129" s="410">
        <v>1.02</v>
      </c>
      <c r="F129" s="47">
        <f t="shared" si="8"/>
        <v>8348.7000000000007</v>
      </c>
      <c r="G129" s="21">
        <f t="shared" si="5"/>
        <v>115.38677823579619</v>
      </c>
      <c r="H129" s="150">
        <f>'Schedule 4 Adjustments'!N128</f>
        <v>13709</v>
      </c>
      <c r="I129" s="410">
        <v>0.94</v>
      </c>
      <c r="J129" s="47">
        <f t="shared" si="7"/>
        <v>12886.46</v>
      </c>
      <c r="K129" s="21">
        <f t="shared" si="6"/>
        <v>106.33683484475334</v>
      </c>
    </row>
    <row r="130" spans="1:11" s="22" customFormat="1" x14ac:dyDescent="0.35">
      <c r="A130" s="19">
        <v>117</v>
      </c>
      <c r="B130" s="19" t="s">
        <v>22</v>
      </c>
      <c r="C130" s="20" t="s">
        <v>25</v>
      </c>
      <c r="D130" s="116">
        <f>'Schedule 4 Adjustments'!F129</f>
        <v>0</v>
      </c>
      <c r="E130" s="410">
        <v>0</v>
      </c>
      <c r="F130" s="47">
        <f t="shared" si="8"/>
        <v>0</v>
      </c>
      <c r="G130" s="21">
        <f t="shared" si="5"/>
        <v>0</v>
      </c>
      <c r="H130" s="150">
        <f>'Schedule 4 Adjustments'!N129</f>
        <v>0</v>
      </c>
      <c r="I130" s="410">
        <v>0</v>
      </c>
      <c r="J130" s="47">
        <f t="shared" si="7"/>
        <v>0</v>
      </c>
      <c r="K130" s="21">
        <f t="shared" si="6"/>
        <v>0</v>
      </c>
    </row>
    <row r="131" spans="1:11" s="22" customFormat="1" x14ac:dyDescent="0.35">
      <c r="A131" s="19">
        <v>118</v>
      </c>
      <c r="B131" s="19" t="s">
        <v>55</v>
      </c>
      <c r="C131" s="20" t="s">
        <v>392</v>
      </c>
      <c r="D131" s="116">
        <f>'Schedule 4 Adjustments'!F130</f>
        <v>0</v>
      </c>
      <c r="E131" s="410">
        <v>0.12</v>
      </c>
      <c r="F131" s="47">
        <f t="shared" si="8"/>
        <v>0</v>
      </c>
      <c r="G131" s="21">
        <f t="shared" si="5"/>
        <v>13.574915086564255</v>
      </c>
      <c r="H131" s="150">
        <f>'Schedule 4 Adjustments'!N130</f>
        <v>36122</v>
      </c>
      <c r="I131" s="410">
        <v>0.09</v>
      </c>
      <c r="J131" s="47">
        <f t="shared" si="7"/>
        <v>3250.98</v>
      </c>
      <c r="K131" s="21">
        <f t="shared" si="6"/>
        <v>10.181186314923192</v>
      </c>
    </row>
    <row r="132" spans="1:11" s="22" customFormat="1" x14ac:dyDescent="0.35">
      <c r="A132" s="19">
        <v>119</v>
      </c>
      <c r="B132" s="19" t="s">
        <v>56</v>
      </c>
      <c r="C132" s="20" t="s">
        <v>393</v>
      </c>
      <c r="D132" s="116">
        <f>'Schedule 4 Adjustments'!F131</f>
        <v>8597</v>
      </c>
      <c r="E132" s="410">
        <v>0.59</v>
      </c>
      <c r="F132" s="47">
        <f t="shared" si="8"/>
        <v>5072.2299999999996</v>
      </c>
      <c r="G132" s="21">
        <f t="shared" si="5"/>
        <v>66.743332508940924</v>
      </c>
      <c r="H132" s="150">
        <f>'Schedule 4 Adjustments'!N131</f>
        <v>11088</v>
      </c>
      <c r="I132" s="410">
        <v>0.55000000000000004</v>
      </c>
      <c r="J132" s="47">
        <f t="shared" si="7"/>
        <v>6098.4000000000005</v>
      </c>
      <c r="K132" s="21">
        <f t="shared" si="6"/>
        <v>62.218360813419515</v>
      </c>
    </row>
    <row r="133" spans="1:11" s="22" customFormat="1" ht="29" x14ac:dyDescent="0.35">
      <c r="A133" s="19">
        <v>120</v>
      </c>
      <c r="B133" s="19" t="s">
        <v>57</v>
      </c>
      <c r="C133" s="20" t="s">
        <v>136</v>
      </c>
      <c r="D133" s="116">
        <f>'Schedule 4 Adjustments'!F132</f>
        <v>0</v>
      </c>
      <c r="E133" s="410">
        <v>0.75</v>
      </c>
      <c r="F133" s="47">
        <f t="shared" si="8"/>
        <v>0</v>
      </c>
      <c r="G133" s="21">
        <f t="shared" si="5"/>
        <v>84.8432192910266</v>
      </c>
      <c r="H133" s="150">
        <f>'Schedule 4 Adjustments'!N132</f>
        <v>0</v>
      </c>
      <c r="I133" s="410">
        <v>0.37</v>
      </c>
      <c r="J133" s="47">
        <f t="shared" si="7"/>
        <v>0</v>
      </c>
      <c r="K133" s="21">
        <f t="shared" si="6"/>
        <v>41.855988183573125</v>
      </c>
    </row>
    <row r="134" spans="1:11" s="22" customFormat="1" ht="29" x14ac:dyDescent="0.35">
      <c r="A134" s="19">
        <v>121</v>
      </c>
      <c r="B134" s="19" t="s">
        <v>58</v>
      </c>
      <c r="C134" s="20" t="s">
        <v>137</v>
      </c>
      <c r="D134" s="116">
        <f>'Schedule 4 Adjustments'!F133</f>
        <v>0</v>
      </c>
      <c r="E134" s="410">
        <v>0.75</v>
      </c>
      <c r="F134" s="47">
        <f t="shared" si="8"/>
        <v>0</v>
      </c>
      <c r="G134" s="21">
        <f t="shared" si="5"/>
        <v>84.8432192910266</v>
      </c>
      <c r="H134" s="150">
        <f>'Schedule 4 Adjustments'!N133</f>
        <v>7</v>
      </c>
      <c r="I134" s="410">
        <v>0.37</v>
      </c>
      <c r="J134" s="47">
        <f t="shared" si="7"/>
        <v>2.59</v>
      </c>
      <c r="K134" s="21">
        <f t="shared" si="6"/>
        <v>41.855988183573125</v>
      </c>
    </row>
    <row r="135" spans="1:11" s="22" customFormat="1" ht="43.5" x14ac:dyDescent="0.35">
      <c r="A135" s="19">
        <v>122</v>
      </c>
      <c r="B135" s="19" t="s">
        <v>15</v>
      </c>
      <c r="C135" s="20" t="s">
        <v>18</v>
      </c>
      <c r="D135" s="116">
        <f>'Schedule 4 Adjustments'!F134</f>
        <v>0</v>
      </c>
      <c r="E135" s="410">
        <v>0</v>
      </c>
      <c r="F135" s="47">
        <f t="shared" si="8"/>
        <v>0</v>
      </c>
      <c r="G135" s="21">
        <f t="shared" si="5"/>
        <v>0</v>
      </c>
      <c r="H135" s="150">
        <f>'Schedule 4 Adjustments'!N134</f>
        <v>0</v>
      </c>
      <c r="I135" s="410">
        <v>0</v>
      </c>
      <c r="J135" s="47">
        <f t="shared" si="7"/>
        <v>0</v>
      </c>
      <c r="K135" s="21">
        <f t="shared" si="6"/>
        <v>0</v>
      </c>
    </row>
    <row r="136" spans="1:11" s="22" customFormat="1" ht="29" x14ac:dyDescent="0.35">
      <c r="A136" s="19">
        <v>123</v>
      </c>
      <c r="B136" s="19" t="s">
        <v>16</v>
      </c>
      <c r="C136" s="20" t="s">
        <v>138</v>
      </c>
      <c r="D136" s="116">
        <f>'Schedule 4 Adjustments'!F135</f>
        <v>0</v>
      </c>
      <c r="E136" s="410">
        <v>0</v>
      </c>
      <c r="F136" s="47">
        <f t="shared" si="8"/>
        <v>0</v>
      </c>
      <c r="G136" s="21">
        <f t="shared" si="5"/>
        <v>0</v>
      </c>
      <c r="H136" s="150">
        <f>'Schedule 4 Adjustments'!N135</f>
        <v>0</v>
      </c>
      <c r="I136" s="410">
        <v>0</v>
      </c>
      <c r="J136" s="47">
        <f t="shared" si="7"/>
        <v>0</v>
      </c>
      <c r="K136" s="21">
        <f t="shared" si="6"/>
        <v>0</v>
      </c>
    </row>
    <row r="137" spans="1:11" s="22" customFormat="1" ht="29" x14ac:dyDescent="0.35">
      <c r="A137" s="19">
        <v>124</v>
      </c>
      <c r="B137" s="19" t="s">
        <v>17</v>
      </c>
      <c r="C137" s="20" t="s">
        <v>139</v>
      </c>
      <c r="D137" s="116">
        <f>'Schedule 4 Adjustments'!F136</f>
        <v>0</v>
      </c>
      <c r="E137" s="410">
        <v>0</v>
      </c>
      <c r="F137" s="47">
        <f t="shared" si="8"/>
        <v>0</v>
      </c>
      <c r="G137" s="21">
        <f t="shared" si="5"/>
        <v>0</v>
      </c>
      <c r="H137" s="150">
        <f>'Schedule 4 Adjustments'!N136</f>
        <v>0</v>
      </c>
      <c r="I137" s="410">
        <v>0</v>
      </c>
      <c r="J137" s="47">
        <f t="shared" si="7"/>
        <v>0</v>
      </c>
      <c r="K137" s="21">
        <f t="shared" si="6"/>
        <v>0</v>
      </c>
    </row>
    <row r="138" spans="1:11" s="22" customFormat="1" x14ac:dyDescent="0.35">
      <c r="A138" s="19">
        <v>125</v>
      </c>
      <c r="B138" s="19" t="s">
        <v>23</v>
      </c>
      <c r="C138" s="20" t="s">
        <v>140</v>
      </c>
      <c r="D138" s="116">
        <f>'Schedule 4 Adjustments'!F137</f>
        <v>0</v>
      </c>
      <c r="E138" s="410">
        <v>0</v>
      </c>
      <c r="F138" s="47">
        <f t="shared" si="8"/>
        <v>0</v>
      </c>
      <c r="G138" s="21">
        <f t="shared" si="5"/>
        <v>0</v>
      </c>
      <c r="H138" s="150">
        <f>'Schedule 4 Adjustments'!N137</f>
        <v>0</v>
      </c>
      <c r="I138" s="410">
        <v>0</v>
      </c>
      <c r="J138" s="47">
        <f t="shared" si="7"/>
        <v>0</v>
      </c>
      <c r="K138" s="21">
        <f t="shared" si="6"/>
        <v>0</v>
      </c>
    </row>
    <row r="139" spans="1:11" s="22" customFormat="1" x14ac:dyDescent="0.35">
      <c r="A139" s="19">
        <v>126</v>
      </c>
      <c r="B139" s="19" t="s">
        <v>59</v>
      </c>
      <c r="C139" s="20" t="s">
        <v>395</v>
      </c>
      <c r="D139" s="116">
        <f>'Schedule 4 Adjustments'!F138</f>
        <v>45</v>
      </c>
      <c r="E139" s="410">
        <v>3.27</v>
      </c>
      <c r="F139" s="47">
        <f t="shared" si="8"/>
        <v>147.15</v>
      </c>
      <c r="G139" s="21">
        <f t="shared" si="5"/>
        <v>369.91643610887598</v>
      </c>
      <c r="H139" s="150">
        <f>'Schedule 4 Adjustments'!N138</f>
        <v>60</v>
      </c>
      <c r="I139" s="410">
        <v>2.17</v>
      </c>
      <c r="J139" s="47">
        <f t="shared" si="7"/>
        <v>130.19999999999999</v>
      </c>
      <c r="K139" s="21">
        <f t="shared" si="6"/>
        <v>245.47971448203697</v>
      </c>
    </row>
    <row r="140" spans="1:11" s="22" customFormat="1" x14ac:dyDescent="0.35">
      <c r="A140" s="19">
        <v>127</v>
      </c>
      <c r="B140" s="19" t="s">
        <v>60</v>
      </c>
      <c r="C140" s="20" t="s">
        <v>394</v>
      </c>
      <c r="D140" s="116">
        <f>'Schedule 4 Adjustments'!F139</f>
        <v>2913</v>
      </c>
      <c r="E140" s="410">
        <v>1.1499999999999999</v>
      </c>
      <c r="F140" s="47">
        <f t="shared" si="8"/>
        <v>3349.95</v>
      </c>
      <c r="G140" s="21">
        <f t="shared" si="5"/>
        <v>130.09293624624078</v>
      </c>
      <c r="H140" s="150">
        <f>'Schedule 4 Adjustments'!N139</f>
        <v>7313</v>
      </c>
      <c r="I140" s="410">
        <v>0.7</v>
      </c>
      <c r="J140" s="47">
        <f t="shared" si="7"/>
        <v>5119.0999999999995</v>
      </c>
      <c r="K140" s="21">
        <f t="shared" si="6"/>
        <v>79.18700467162482</v>
      </c>
    </row>
    <row r="141" spans="1:11" s="22" customFormat="1" x14ac:dyDescent="0.35">
      <c r="A141" s="19">
        <v>128</v>
      </c>
      <c r="B141" s="19" t="s">
        <v>61</v>
      </c>
      <c r="C141" s="20" t="s">
        <v>141</v>
      </c>
      <c r="D141" s="116">
        <f>'Schedule 4 Adjustments'!F140</f>
        <v>5798</v>
      </c>
      <c r="E141" s="410">
        <v>0.44</v>
      </c>
      <c r="F141" s="47">
        <f t="shared" si="8"/>
        <v>2551.12</v>
      </c>
      <c r="G141" s="21">
        <f t="shared" si="5"/>
        <v>49.774688650735605</v>
      </c>
      <c r="H141" s="150">
        <f>'Schedule 4 Adjustments'!N140</f>
        <v>30</v>
      </c>
      <c r="I141" s="410">
        <v>0.44</v>
      </c>
      <c r="J141" s="47">
        <f t="shared" si="7"/>
        <v>13.2</v>
      </c>
      <c r="K141" s="21">
        <f t="shared" si="6"/>
        <v>49.774688650735605</v>
      </c>
    </row>
    <row r="142" spans="1:11" s="22" customFormat="1" x14ac:dyDescent="0.35">
      <c r="A142" s="19">
        <v>129</v>
      </c>
      <c r="B142" s="19" t="s">
        <v>62</v>
      </c>
      <c r="C142" s="20" t="s">
        <v>396</v>
      </c>
      <c r="D142" s="116">
        <f>'Schedule 4 Adjustments'!F141</f>
        <v>3637</v>
      </c>
      <c r="E142" s="410">
        <v>0.92</v>
      </c>
      <c r="F142" s="47">
        <f t="shared" si="8"/>
        <v>3346.04</v>
      </c>
      <c r="G142" s="21">
        <f t="shared" si="5"/>
        <v>104.07434899699264</v>
      </c>
      <c r="H142" s="150">
        <f>'Schedule 4 Adjustments'!N141</f>
        <v>16974</v>
      </c>
      <c r="I142" s="410">
        <v>0.92</v>
      </c>
      <c r="J142" s="47">
        <f t="shared" si="7"/>
        <v>15616.08</v>
      </c>
      <c r="K142" s="21">
        <f t="shared" si="6"/>
        <v>104.07434899699264</v>
      </c>
    </row>
    <row r="143" spans="1:11" s="22" customFormat="1" x14ac:dyDescent="0.35">
      <c r="A143" s="19">
        <v>130</v>
      </c>
      <c r="B143" s="19" t="s">
        <v>63</v>
      </c>
      <c r="C143" s="20" t="s">
        <v>397</v>
      </c>
      <c r="D143" s="116">
        <f>'Schedule 4 Adjustments'!F142</f>
        <v>0</v>
      </c>
      <c r="E143" s="410">
        <v>5.28</v>
      </c>
      <c r="F143" s="47">
        <f t="shared" si="8"/>
        <v>0</v>
      </c>
      <c r="G143" s="21">
        <f t="shared" si="5"/>
        <v>597.29626380882735</v>
      </c>
      <c r="H143" s="150">
        <f>'Schedule 4 Adjustments'!N142</f>
        <v>0</v>
      </c>
      <c r="I143" s="410">
        <v>5.28</v>
      </c>
      <c r="J143" s="47">
        <f t="shared" si="7"/>
        <v>0</v>
      </c>
      <c r="K143" s="21">
        <f t="shared" si="6"/>
        <v>597.29626380882735</v>
      </c>
    </row>
    <row r="144" spans="1:11" s="22" customFormat="1" x14ac:dyDescent="0.35">
      <c r="A144" s="19">
        <v>131</v>
      </c>
      <c r="B144" s="19" t="s">
        <v>64</v>
      </c>
      <c r="C144" s="20" t="s">
        <v>399</v>
      </c>
      <c r="D144" s="116">
        <f>'Schedule 4 Adjustments'!F143</f>
        <v>1953</v>
      </c>
      <c r="E144" s="410">
        <v>0.44</v>
      </c>
      <c r="F144" s="47">
        <f t="shared" si="8"/>
        <v>859.32</v>
      </c>
      <c r="G144" s="21">
        <f t="shared" si="5"/>
        <v>49.774688650735605</v>
      </c>
      <c r="H144" s="150">
        <f>'Schedule 4 Adjustments'!N143</f>
        <v>374</v>
      </c>
      <c r="I144" s="410">
        <v>0.44</v>
      </c>
      <c r="J144" s="47">
        <f t="shared" si="7"/>
        <v>164.56</v>
      </c>
      <c r="K144" s="21">
        <f t="shared" si="6"/>
        <v>49.774688650735605</v>
      </c>
    </row>
    <row r="145" spans="1:11" s="22" customFormat="1" x14ac:dyDescent="0.35">
      <c r="A145" s="19">
        <v>132</v>
      </c>
      <c r="B145" s="19" t="s">
        <v>65</v>
      </c>
      <c r="C145" s="20" t="s">
        <v>398</v>
      </c>
      <c r="D145" s="116">
        <f>'Schedule 4 Adjustments'!F144</f>
        <v>0</v>
      </c>
      <c r="E145" s="410">
        <v>5.28</v>
      </c>
      <c r="F145" s="47">
        <f t="shared" si="8"/>
        <v>0</v>
      </c>
      <c r="G145" s="21">
        <f t="shared" si="5"/>
        <v>597.29626380882735</v>
      </c>
      <c r="H145" s="150">
        <f>'Schedule 4 Adjustments'!N144</f>
        <v>0</v>
      </c>
      <c r="I145" s="410">
        <v>5.28</v>
      </c>
      <c r="J145" s="47">
        <f t="shared" si="7"/>
        <v>0</v>
      </c>
      <c r="K145" s="21">
        <f t="shared" si="6"/>
        <v>597.29626380882735</v>
      </c>
    </row>
    <row r="146" spans="1:11" s="22" customFormat="1" x14ac:dyDescent="0.35">
      <c r="A146" s="19">
        <v>133</v>
      </c>
      <c r="B146" s="19" t="s">
        <v>66</v>
      </c>
      <c r="C146" s="20" t="s">
        <v>142</v>
      </c>
      <c r="D146" s="116">
        <f>'Schedule 4 Adjustments'!F145</f>
        <v>1645</v>
      </c>
      <c r="E146" s="410">
        <v>0.54</v>
      </c>
      <c r="F146" s="47">
        <f t="shared" si="8"/>
        <v>888.30000000000007</v>
      </c>
      <c r="G146" s="21">
        <f t="shared" si="5"/>
        <v>61.087117889539158</v>
      </c>
      <c r="H146" s="150">
        <f>'Schedule 4 Adjustments'!N145</f>
        <v>3952</v>
      </c>
      <c r="I146" s="410">
        <v>0.54</v>
      </c>
      <c r="J146" s="47">
        <f t="shared" si="7"/>
        <v>2134.08</v>
      </c>
      <c r="K146" s="21">
        <f t="shared" si="6"/>
        <v>61.087117889539158</v>
      </c>
    </row>
    <row r="147" spans="1:11" s="22" customFormat="1" x14ac:dyDescent="0.35">
      <c r="A147" s="19">
        <v>134</v>
      </c>
      <c r="B147" s="19" t="s">
        <v>67</v>
      </c>
      <c r="C147" s="20" t="s">
        <v>400</v>
      </c>
      <c r="D147" s="116">
        <f>'Schedule 4 Adjustments'!F146</f>
        <v>1629</v>
      </c>
      <c r="E147" s="410">
        <v>1.29</v>
      </c>
      <c r="F147" s="47">
        <f t="shared" si="8"/>
        <v>2101.41</v>
      </c>
      <c r="G147" s="21">
        <f t="shared" ref="G147:G197" si="9">E147*$F$13</f>
        <v>145.93033718056577</v>
      </c>
      <c r="H147" s="150">
        <f>'Schedule 4 Adjustments'!N146</f>
        <v>261</v>
      </c>
      <c r="I147" s="410">
        <v>1.1299999999999999</v>
      </c>
      <c r="J147" s="47">
        <f t="shared" si="7"/>
        <v>294.92999999999995</v>
      </c>
      <c r="K147" s="21">
        <f t="shared" ref="K147:K197" si="10">I147*$F$13</f>
        <v>127.83045039848007</v>
      </c>
    </row>
    <row r="148" spans="1:11" s="22" customFormat="1" x14ac:dyDescent="0.35">
      <c r="A148" s="19">
        <v>135</v>
      </c>
      <c r="B148" s="19" t="s">
        <v>68</v>
      </c>
      <c r="C148" s="20" t="s">
        <v>401</v>
      </c>
      <c r="D148" s="116">
        <f>'Schedule 4 Adjustments'!F147</f>
        <v>1</v>
      </c>
      <c r="E148" s="410">
        <v>5.28</v>
      </c>
      <c r="F148" s="47">
        <f t="shared" si="8"/>
        <v>5.28</v>
      </c>
      <c r="G148" s="21">
        <f t="shared" si="9"/>
        <v>597.29626380882735</v>
      </c>
      <c r="H148" s="150">
        <f>'Schedule 4 Adjustments'!N147</f>
        <v>0</v>
      </c>
      <c r="I148" s="410">
        <v>5.28</v>
      </c>
      <c r="J148" s="47">
        <f t="shared" ref="J148:J197" si="11">H148*I148</f>
        <v>0</v>
      </c>
      <c r="K148" s="21">
        <f t="shared" si="10"/>
        <v>597.29626380882735</v>
      </c>
    </row>
    <row r="149" spans="1:11" s="22" customFormat="1" x14ac:dyDescent="0.35">
      <c r="A149" s="19">
        <v>136</v>
      </c>
      <c r="B149" s="19" t="s">
        <v>69</v>
      </c>
      <c r="C149" s="20" t="s">
        <v>402</v>
      </c>
      <c r="D149" s="116">
        <f>'Schedule 4 Adjustments'!F148</f>
        <v>0</v>
      </c>
      <c r="E149" s="410">
        <v>0.14000000000000001</v>
      </c>
      <c r="F149" s="47">
        <f t="shared" ref="F149:F197" si="12">D149*E149</f>
        <v>0</v>
      </c>
      <c r="G149" s="21">
        <f t="shared" si="9"/>
        <v>15.837400934324968</v>
      </c>
      <c r="H149" s="150">
        <f>'Schedule 4 Adjustments'!N148</f>
        <v>0</v>
      </c>
      <c r="I149" s="410">
        <v>0.12</v>
      </c>
      <c r="J149" s="47">
        <f t="shared" si="11"/>
        <v>0</v>
      </c>
      <c r="K149" s="21">
        <f t="shared" si="10"/>
        <v>13.574915086564255</v>
      </c>
    </row>
    <row r="150" spans="1:11" s="22" customFormat="1" x14ac:dyDescent="0.35">
      <c r="A150" s="19">
        <v>137</v>
      </c>
      <c r="B150" s="19" t="s">
        <v>70</v>
      </c>
      <c r="C150" s="20" t="s">
        <v>403</v>
      </c>
      <c r="D150" s="116">
        <f>'Schedule 4 Adjustments'!F149</f>
        <v>0</v>
      </c>
      <c r="E150" s="410">
        <v>3.08</v>
      </c>
      <c r="F150" s="47">
        <f t="shared" si="12"/>
        <v>0</v>
      </c>
      <c r="G150" s="21">
        <f t="shared" si="9"/>
        <v>348.42282055514926</v>
      </c>
      <c r="H150" s="150">
        <f>'Schedule 4 Adjustments'!N149</f>
        <v>0</v>
      </c>
      <c r="I150" s="410">
        <v>2.6399999999999997</v>
      </c>
      <c r="J150" s="47">
        <f t="shared" si="11"/>
        <v>0</v>
      </c>
      <c r="K150" s="21">
        <f t="shared" si="10"/>
        <v>298.64813190441362</v>
      </c>
    </row>
    <row r="151" spans="1:11" s="22" customFormat="1" x14ac:dyDescent="0.35">
      <c r="A151" s="19">
        <v>138</v>
      </c>
      <c r="B151" s="19" t="s">
        <v>71</v>
      </c>
      <c r="C151" s="20" t="s">
        <v>404</v>
      </c>
      <c r="D151" s="116">
        <f>'Schedule 4 Adjustments'!F150</f>
        <v>0</v>
      </c>
      <c r="E151" s="410">
        <v>5.28</v>
      </c>
      <c r="F151" s="47">
        <f t="shared" si="12"/>
        <v>0</v>
      </c>
      <c r="G151" s="21">
        <f t="shared" si="9"/>
        <v>597.29626380882735</v>
      </c>
      <c r="H151" s="150">
        <f>'Schedule 4 Adjustments'!N150</f>
        <v>0</v>
      </c>
      <c r="I151" s="410">
        <v>5.28</v>
      </c>
      <c r="J151" s="47">
        <f t="shared" si="11"/>
        <v>0</v>
      </c>
      <c r="K151" s="21">
        <f t="shared" si="10"/>
        <v>597.29626380882735</v>
      </c>
    </row>
    <row r="152" spans="1:11" s="22" customFormat="1" x14ac:dyDescent="0.35">
      <c r="A152" s="19">
        <v>139</v>
      </c>
      <c r="B152" s="19" t="s">
        <v>789</v>
      </c>
      <c r="C152" s="20" t="s">
        <v>790</v>
      </c>
      <c r="D152" s="116">
        <f>'Schedule 4 Adjustments'!F152</f>
        <v>0</v>
      </c>
      <c r="E152" s="410">
        <v>0.12</v>
      </c>
      <c r="F152" s="47">
        <f t="shared" ref="F152" si="13">D152*E152</f>
        <v>0</v>
      </c>
      <c r="G152" s="21">
        <f t="shared" ref="G152" si="14">E152*$F$13</f>
        <v>13.574915086564255</v>
      </c>
      <c r="H152" s="150">
        <f>'Schedule 4 Adjustments'!N151</f>
        <v>38984</v>
      </c>
      <c r="I152" s="410">
        <v>0.09</v>
      </c>
      <c r="J152" s="47">
        <f t="shared" ref="J152" si="15">H152*I152</f>
        <v>3508.56</v>
      </c>
      <c r="K152" s="21">
        <f t="shared" ref="K152" si="16">I152*$F$13</f>
        <v>10.181186314923192</v>
      </c>
    </row>
    <row r="153" spans="1:11" s="22" customFormat="1" x14ac:dyDescent="0.35">
      <c r="A153" s="19">
        <v>140</v>
      </c>
      <c r="B153" s="19" t="s">
        <v>72</v>
      </c>
      <c r="C153" s="20" t="s">
        <v>405</v>
      </c>
      <c r="D153" s="116">
        <f>'Schedule 4 Adjustments'!F152</f>
        <v>0</v>
      </c>
      <c r="E153" s="410">
        <v>1.02</v>
      </c>
      <c r="F153" s="47">
        <f t="shared" si="12"/>
        <v>0</v>
      </c>
      <c r="G153" s="21">
        <f t="shared" si="9"/>
        <v>115.38677823579619</v>
      </c>
      <c r="H153" s="150">
        <f>'Schedule 4 Adjustments'!N152</f>
        <v>0</v>
      </c>
      <c r="I153" s="410">
        <v>0.94</v>
      </c>
      <c r="J153" s="47">
        <f t="shared" si="11"/>
        <v>0</v>
      </c>
      <c r="K153" s="21">
        <f t="shared" si="10"/>
        <v>106.33683484475334</v>
      </c>
    </row>
    <row r="154" spans="1:11" s="22" customFormat="1" x14ac:dyDescent="0.35">
      <c r="A154" s="19">
        <v>141</v>
      </c>
      <c r="B154" s="19" t="s">
        <v>20</v>
      </c>
      <c r="C154" s="20" t="s">
        <v>406</v>
      </c>
      <c r="D154" s="116">
        <f>'Schedule 4 Adjustments'!F153</f>
        <v>0</v>
      </c>
      <c r="E154" s="410">
        <v>0</v>
      </c>
      <c r="F154" s="47">
        <f t="shared" si="12"/>
        <v>0</v>
      </c>
      <c r="G154" s="21">
        <f t="shared" si="9"/>
        <v>0</v>
      </c>
      <c r="H154" s="150">
        <f>'Schedule 4 Adjustments'!N153</f>
        <v>0</v>
      </c>
      <c r="I154" s="410">
        <v>0</v>
      </c>
      <c r="J154" s="47">
        <f t="shared" si="11"/>
        <v>0</v>
      </c>
      <c r="K154" s="21">
        <f t="shared" si="10"/>
        <v>0</v>
      </c>
    </row>
    <row r="155" spans="1:11" s="22" customFormat="1" x14ac:dyDescent="0.35">
      <c r="A155" s="19">
        <v>142</v>
      </c>
      <c r="B155" s="19" t="s">
        <v>73</v>
      </c>
      <c r="C155" s="20" t="s">
        <v>143</v>
      </c>
      <c r="D155" s="116">
        <f>'Schedule 4 Adjustments'!F154</f>
        <v>0</v>
      </c>
      <c r="E155" s="410">
        <v>5.17</v>
      </c>
      <c r="F155" s="47">
        <f t="shared" si="12"/>
        <v>0</v>
      </c>
      <c r="G155" s="21">
        <f t="shared" si="9"/>
        <v>584.85259164614342</v>
      </c>
      <c r="H155" s="150">
        <f>'Schedule 4 Adjustments'!N154</f>
        <v>0</v>
      </c>
      <c r="I155" s="410">
        <v>4.43</v>
      </c>
      <c r="J155" s="47">
        <f t="shared" si="11"/>
        <v>0</v>
      </c>
      <c r="K155" s="21">
        <f t="shared" si="10"/>
        <v>501.14061527899713</v>
      </c>
    </row>
    <row r="156" spans="1:11" s="22" customFormat="1" x14ac:dyDescent="0.35">
      <c r="A156" s="19">
        <v>143</v>
      </c>
      <c r="B156" s="19" t="s">
        <v>74</v>
      </c>
      <c r="C156" s="20" t="s">
        <v>144</v>
      </c>
      <c r="D156" s="116">
        <f>'Schedule 4 Adjustments'!F155</f>
        <v>0</v>
      </c>
      <c r="E156" s="410">
        <v>1.7</v>
      </c>
      <c r="F156" s="47">
        <f t="shared" si="12"/>
        <v>0</v>
      </c>
      <c r="G156" s="21">
        <f t="shared" si="9"/>
        <v>192.31129705966029</v>
      </c>
      <c r="H156" s="150">
        <f>'Schedule 4 Adjustments'!N155</f>
        <v>0</v>
      </c>
      <c r="I156" s="410">
        <v>1.05</v>
      </c>
      <c r="J156" s="47">
        <f t="shared" si="11"/>
        <v>0</v>
      </c>
      <c r="K156" s="21">
        <f t="shared" si="10"/>
        <v>118.78050700743725</v>
      </c>
    </row>
    <row r="157" spans="1:11" s="22" customFormat="1" x14ac:dyDescent="0.35">
      <c r="A157" s="19">
        <v>144</v>
      </c>
      <c r="B157" s="19" t="s">
        <v>26</v>
      </c>
      <c r="C157" s="20" t="s">
        <v>143</v>
      </c>
      <c r="D157" s="116">
        <f>'Schedule 4 Adjustments'!F156</f>
        <v>0</v>
      </c>
      <c r="E157" s="410">
        <v>0</v>
      </c>
      <c r="F157" s="47">
        <f t="shared" si="12"/>
        <v>0</v>
      </c>
      <c r="G157" s="21">
        <f t="shared" si="9"/>
        <v>0</v>
      </c>
      <c r="H157" s="150">
        <f>'Schedule 4 Adjustments'!N156</f>
        <v>0</v>
      </c>
      <c r="I157" s="410">
        <v>0</v>
      </c>
      <c r="J157" s="47">
        <f t="shared" si="11"/>
        <v>0</v>
      </c>
      <c r="K157" s="21">
        <f t="shared" si="10"/>
        <v>0</v>
      </c>
    </row>
    <row r="158" spans="1:11" s="22" customFormat="1" x14ac:dyDescent="0.35">
      <c r="A158" s="19">
        <v>145</v>
      </c>
      <c r="B158" s="19" t="s">
        <v>75</v>
      </c>
      <c r="C158" s="20" t="s">
        <v>145</v>
      </c>
      <c r="D158" s="116">
        <f>'Schedule 4 Adjustments'!F157</f>
        <v>0</v>
      </c>
      <c r="E158" s="410">
        <v>1.35</v>
      </c>
      <c r="F158" s="47">
        <f t="shared" si="12"/>
        <v>0</v>
      </c>
      <c r="G158" s="21">
        <f t="shared" si="9"/>
        <v>152.7177947238479</v>
      </c>
      <c r="H158" s="150">
        <f>'Schedule 4 Adjustments'!N157</f>
        <v>0</v>
      </c>
      <c r="I158" s="410">
        <v>1.35</v>
      </c>
      <c r="J158" s="47">
        <f t="shared" si="11"/>
        <v>0</v>
      </c>
      <c r="K158" s="21">
        <f t="shared" si="10"/>
        <v>152.7177947238479</v>
      </c>
    </row>
    <row r="159" spans="1:11" s="22" customFormat="1" x14ac:dyDescent="0.35">
      <c r="A159" s="19">
        <v>146</v>
      </c>
      <c r="B159" s="19" t="s">
        <v>76</v>
      </c>
      <c r="C159" s="20" t="s">
        <v>146</v>
      </c>
      <c r="D159" s="116">
        <f>'Schedule 4 Adjustments'!F158</f>
        <v>0</v>
      </c>
      <c r="E159" s="410">
        <v>2.56</v>
      </c>
      <c r="F159" s="47">
        <f t="shared" si="12"/>
        <v>0</v>
      </c>
      <c r="G159" s="21">
        <f t="shared" si="9"/>
        <v>289.59818851337081</v>
      </c>
      <c r="H159" s="150">
        <f>'Schedule 4 Adjustments'!N158</f>
        <v>0</v>
      </c>
      <c r="I159" s="410">
        <v>2.14</v>
      </c>
      <c r="J159" s="47">
        <f t="shared" si="11"/>
        <v>0</v>
      </c>
      <c r="K159" s="21">
        <f t="shared" si="10"/>
        <v>242.08598571039593</v>
      </c>
    </row>
    <row r="160" spans="1:11" s="22" customFormat="1" x14ac:dyDescent="0.35">
      <c r="A160" s="19">
        <v>147</v>
      </c>
      <c r="B160" s="19" t="s">
        <v>77</v>
      </c>
      <c r="C160" s="20" t="s">
        <v>407</v>
      </c>
      <c r="D160" s="116">
        <f>'Schedule 4 Adjustments'!F159</f>
        <v>110</v>
      </c>
      <c r="E160" s="410">
        <v>1.6</v>
      </c>
      <c r="F160" s="47">
        <f t="shared" si="12"/>
        <v>176</v>
      </c>
      <c r="G160" s="21">
        <f t="shared" si="9"/>
        <v>180.99886782085676</v>
      </c>
      <c r="H160" s="150">
        <f>'Schedule 4 Adjustments'!N159</f>
        <v>652</v>
      </c>
      <c r="I160" s="410">
        <v>1.6</v>
      </c>
      <c r="J160" s="47">
        <f t="shared" si="11"/>
        <v>1043.2</v>
      </c>
      <c r="K160" s="21">
        <f t="shared" si="10"/>
        <v>180.99886782085676</v>
      </c>
    </row>
    <row r="161" spans="1:11" s="22" customFormat="1" x14ac:dyDescent="0.35">
      <c r="A161" s="19">
        <v>148</v>
      </c>
      <c r="B161" s="19" t="s">
        <v>78</v>
      </c>
      <c r="C161" s="20" t="s">
        <v>408</v>
      </c>
      <c r="D161" s="116">
        <f>'Schedule 4 Adjustments'!F160</f>
        <v>0</v>
      </c>
      <c r="E161" s="410">
        <v>2.64</v>
      </c>
      <c r="F161" s="47">
        <f t="shared" si="12"/>
        <v>0</v>
      </c>
      <c r="G161" s="21">
        <f t="shared" si="9"/>
        <v>298.64813190441367</v>
      </c>
      <c r="H161" s="150">
        <f>'Schedule 4 Adjustments'!N160</f>
        <v>0</v>
      </c>
      <c r="I161" s="410">
        <v>2.64</v>
      </c>
      <c r="J161" s="47">
        <f t="shared" si="11"/>
        <v>0</v>
      </c>
      <c r="K161" s="21">
        <f t="shared" si="10"/>
        <v>298.64813190441367</v>
      </c>
    </row>
    <row r="162" spans="1:11" s="22" customFormat="1" x14ac:dyDescent="0.35">
      <c r="A162" s="19">
        <v>149</v>
      </c>
      <c r="B162" s="19" t="s">
        <v>79</v>
      </c>
      <c r="C162" s="20" t="s">
        <v>409</v>
      </c>
      <c r="D162" s="116">
        <f>'Schedule 4 Adjustments'!F161</f>
        <v>3709</v>
      </c>
      <c r="E162" s="410">
        <v>1.24</v>
      </c>
      <c r="F162" s="47">
        <f t="shared" si="12"/>
        <v>4599.16</v>
      </c>
      <c r="G162" s="21">
        <f t="shared" si="9"/>
        <v>140.27412256116398</v>
      </c>
      <c r="H162" s="150">
        <f>'Schedule 4 Adjustments'!N161</f>
        <v>6148</v>
      </c>
      <c r="I162" s="410">
        <v>1.24</v>
      </c>
      <c r="J162" s="47">
        <f t="shared" si="11"/>
        <v>7623.5199999999995</v>
      </c>
      <c r="K162" s="21">
        <f t="shared" si="10"/>
        <v>140.27412256116398</v>
      </c>
    </row>
    <row r="163" spans="1:11" s="22" customFormat="1" x14ac:dyDescent="0.35">
      <c r="A163" s="19">
        <v>150</v>
      </c>
      <c r="B163" s="19" t="s">
        <v>80</v>
      </c>
      <c r="C163" s="20" t="s">
        <v>410</v>
      </c>
      <c r="D163" s="116">
        <f>'Schedule 4 Adjustments'!F162</f>
        <v>0</v>
      </c>
      <c r="E163" s="410">
        <v>0.83</v>
      </c>
      <c r="F163" s="47">
        <f t="shared" si="12"/>
        <v>0</v>
      </c>
      <c r="G163" s="21">
        <f t="shared" si="9"/>
        <v>93.893162682069431</v>
      </c>
      <c r="H163" s="150">
        <f>'Schedule 4 Adjustments'!N162</f>
        <v>0</v>
      </c>
      <c r="I163" s="410">
        <v>0.72</v>
      </c>
      <c r="J163" s="47">
        <f t="shared" si="11"/>
        <v>0</v>
      </c>
      <c r="K163" s="21">
        <f t="shared" si="10"/>
        <v>81.449490519385535</v>
      </c>
    </row>
    <row r="164" spans="1:11" s="22" customFormat="1" x14ac:dyDescent="0.35">
      <c r="A164" s="19">
        <v>151</v>
      </c>
      <c r="B164" s="19" t="s">
        <v>81</v>
      </c>
      <c r="C164" s="20" t="s">
        <v>411</v>
      </c>
      <c r="D164" s="116">
        <f>'Schedule 4 Adjustments'!F163</f>
        <v>2241</v>
      </c>
      <c r="E164" s="410">
        <v>0.92</v>
      </c>
      <c r="F164" s="47">
        <f t="shared" si="12"/>
        <v>2061.7200000000003</v>
      </c>
      <c r="G164" s="21">
        <f t="shared" si="9"/>
        <v>104.07434899699264</v>
      </c>
      <c r="H164" s="150">
        <f>'Schedule 4 Adjustments'!N163</f>
        <v>10676</v>
      </c>
      <c r="I164" s="410">
        <v>0.92</v>
      </c>
      <c r="J164" s="47">
        <f t="shared" si="11"/>
        <v>9821.92</v>
      </c>
      <c r="K164" s="21">
        <f t="shared" si="10"/>
        <v>104.07434899699264</v>
      </c>
    </row>
    <row r="165" spans="1:11" s="22" customFormat="1" x14ac:dyDescent="0.35">
      <c r="A165" s="19">
        <v>152</v>
      </c>
      <c r="B165" s="19" t="s">
        <v>82</v>
      </c>
      <c r="C165" s="20" t="s">
        <v>412</v>
      </c>
      <c r="D165" s="116">
        <f>'Schedule 4 Adjustments'!F164</f>
        <v>2</v>
      </c>
      <c r="E165" s="410">
        <v>0.14000000000000001</v>
      </c>
      <c r="F165" s="47">
        <f t="shared" si="12"/>
        <v>0.28000000000000003</v>
      </c>
      <c r="G165" s="21">
        <f t="shared" si="9"/>
        <v>15.837400934324968</v>
      </c>
      <c r="H165" s="150">
        <f>'Schedule 4 Adjustments'!N164</f>
        <v>241</v>
      </c>
      <c r="I165" s="410">
        <v>0.12</v>
      </c>
      <c r="J165" s="47">
        <f t="shared" si="11"/>
        <v>28.919999999999998</v>
      </c>
      <c r="K165" s="21">
        <f t="shared" si="10"/>
        <v>13.574915086564255</v>
      </c>
    </row>
    <row r="166" spans="1:11" s="22" customFormat="1" x14ac:dyDescent="0.35">
      <c r="A166" s="19">
        <v>153</v>
      </c>
      <c r="B166" s="19" t="s">
        <v>83</v>
      </c>
      <c r="C166" s="20" t="s">
        <v>417</v>
      </c>
      <c r="D166" s="116">
        <f>'Schedule 4 Adjustments'!F165</f>
        <v>0</v>
      </c>
      <c r="E166" s="410">
        <v>3.3600000000000003</v>
      </c>
      <c r="F166" s="47">
        <f t="shared" si="12"/>
        <v>0</v>
      </c>
      <c r="G166" s="21">
        <f t="shared" si="9"/>
        <v>380.09762242379924</v>
      </c>
      <c r="H166" s="150">
        <f>'Schedule 4 Adjustments'!N165</f>
        <v>0</v>
      </c>
      <c r="I166" s="410">
        <v>2.88</v>
      </c>
      <c r="J166" s="47">
        <f t="shared" si="11"/>
        <v>0</v>
      </c>
      <c r="K166" s="21">
        <f t="shared" si="10"/>
        <v>325.79796207754214</v>
      </c>
    </row>
    <row r="167" spans="1:11" s="22" customFormat="1" x14ac:dyDescent="0.35">
      <c r="A167" s="19">
        <v>154</v>
      </c>
      <c r="B167" s="19" t="s">
        <v>84</v>
      </c>
      <c r="C167" s="20" t="s">
        <v>415</v>
      </c>
      <c r="D167" s="116">
        <f>'Schedule 4 Adjustments'!F166</f>
        <v>493</v>
      </c>
      <c r="E167" s="410">
        <v>0.44</v>
      </c>
      <c r="F167" s="47">
        <f t="shared" si="12"/>
        <v>216.92</v>
      </c>
      <c r="G167" s="21">
        <f t="shared" si="9"/>
        <v>49.774688650735605</v>
      </c>
      <c r="H167" s="150">
        <f>'Schedule 4 Adjustments'!N166</f>
        <v>9948</v>
      </c>
      <c r="I167" s="410">
        <v>0.44</v>
      </c>
      <c r="J167" s="47">
        <f t="shared" si="11"/>
        <v>4377.12</v>
      </c>
      <c r="K167" s="21">
        <f t="shared" si="10"/>
        <v>49.774688650735605</v>
      </c>
    </row>
    <row r="168" spans="1:11" s="22" customFormat="1" x14ac:dyDescent="0.35">
      <c r="A168" s="19">
        <v>155</v>
      </c>
      <c r="B168" s="19" t="s">
        <v>85</v>
      </c>
      <c r="C168" s="20" t="s">
        <v>416</v>
      </c>
      <c r="D168" s="116">
        <f>'Schedule 4 Adjustments'!F167</f>
        <v>0</v>
      </c>
      <c r="E168" s="410">
        <v>5.28</v>
      </c>
      <c r="F168" s="47">
        <f t="shared" si="12"/>
        <v>0</v>
      </c>
      <c r="G168" s="21">
        <f t="shared" si="9"/>
        <v>597.29626380882735</v>
      </c>
      <c r="H168" s="150">
        <f>'Schedule 4 Adjustments'!N167</f>
        <v>0</v>
      </c>
      <c r="I168" s="410">
        <v>5.28</v>
      </c>
      <c r="J168" s="47">
        <f t="shared" si="11"/>
        <v>0</v>
      </c>
      <c r="K168" s="21">
        <f t="shared" si="10"/>
        <v>597.29626380882735</v>
      </c>
    </row>
    <row r="169" spans="1:11" s="22" customFormat="1" x14ac:dyDescent="0.35">
      <c r="A169" s="19">
        <v>156</v>
      </c>
      <c r="B169" s="19" t="s">
        <v>86</v>
      </c>
      <c r="C169" s="20" t="s">
        <v>414</v>
      </c>
      <c r="D169" s="116">
        <f>'Schedule 4 Adjustments'!F168</f>
        <v>0</v>
      </c>
      <c r="E169" s="410">
        <v>0.44</v>
      </c>
      <c r="F169" s="47">
        <f t="shared" si="12"/>
        <v>0</v>
      </c>
      <c r="G169" s="21">
        <f t="shared" si="9"/>
        <v>49.774688650735605</v>
      </c>
      <c r="H169" s="150">
        <f>'Schedule 4 Adjustments'!N168</f>
        <v>0</v>
      </c>
      <c r="I169" s="410">
        <v>0.44</v>
      </c>
      <c r="J169" s="47">
        <f t="shared" si="11"/>
        <v>0</v>
      </c>
      <c r="K169" s="21">
        <f t="shared" si="10"/>
        <v>49.774688650735605</v>
      </c>
    </row>
    <row r="170" spans="1:11" s="22" customFormat="1" x14ac:dyDescent="0.35">
      <c r="A170" s="19">
        <v>157</v>
      </c>
      <c r="B170" s="19" t="s">
        <v>87</v>
      </c>
      <c r="C170" s="20" t="s">
        <v>413</v>
      </c>
      <c r="D170" s="116">
        <f>'Schedule 4 Adjustments'!F169</f>
        <v>0</v>
      </c>
      <c r="E170" s="410">
        <v>5.28</v>
      </c>
      <c r="F170" s="47">
        <f t="shared" si="12"/>
        <v>0</v>
      </c>
      <c r="G170" s="21">
        <f t="shared" si="9"/>
        <v>597.29626380882735</v>
      </c>
      <c r="H170" s="150">
        <f>'Schedule 4 Adjustments'!N169</f>
        <v>0</v>
      </c>
      <c r="I170" s="410">
        <v>5.28</v>
      </c>
      <c r="J170" s="47">
        <f t="shared" si="11"/>
        <v>0</v>
      </c>
      <c r="K170" s="21">
        <f t="shared" si="10"/>
        <v>597.29626380882735</v>
      </c>
    </row>
    <row r="171" spans="1:11" s="22" customFormat="1" x14ac:dyDescent="0.35">
      <c r="A171" s="19">
        <v>158</v>
      </c>
      <c r="B171" s="19" t="s">
        <v>88</v>
      </c>
      <c r="C171" s="20" t="s">
        <v>418</v>
      </c>
      <c r="D171" s="116">
        <f>'Schedule 4 Adjustments'!F170</f>
        <v>377</v>
      </c>
      <c r="E171" s="410">
        <v>0.14000000000000001</v>
      </c>
      <c r="F171" s="47">
        <f t="shared" si="12"/>
        <v>52.780000000000008</v>
      </c>
      <c r="G171" s="21">
        <f t="shared" si="9"/>
        <v>15.837400934324968</v>
      </c>
      <c r="H171" s="150">
        <f>'Schedule 4 Adjustments'!N170</f>
        <v>449</v>
      </c>
      <c r="I171" s="410">
        <v>0.12</v>
      </c>
      <c r="J171" s="47">
        <f t="shared" si="11"/>
        <v>53.879999999999995</v>
      </c>
      <c r="K171" s="21">
        <f t="shared" si="10"/>
        <v>13.574915086564255</v>
      </c>
    </row>
    <row r="172" spans="1:11" s="22" customFormat="1" x14ac:dyDescent="0.35">
      <c r="A172" s="19">
        <v>159</v>
      </c>
      <c r="B172" s="19" t="s">
        <v>89</v>
      </c>
      <c r="C172" s="20" t="s">
        <v>419</v>
      </c>
      <c r="D172" s="116">
        <f>'Schedule 4 Adjustments'!F171</f>
        <v>0</v>
      </c>
      <c r="E172" s="410">
        <v>3.3600000000000003</v>
      </c>
      <c r="F172" s="47">
        <f t="shared" si="12"/>
        <v>0</v>
      </c>
      <c r="G172" s="21">
        <f t="shared" si="9"/>
        <v>380.09762242379924</v>
      </c>
      <c r="H172" s="150">
        <f>'Schedule 4 Adjustments'!N171</f>
        <v>0</v>
      </c>
      <c r="I172" s="410">
        <v>2.88</v>
      </c>
      <c r="J172" s="47">
        <f t="shared" si="11"/>
        <v>0</v>
      </c>
      <c r="K172" s="21">
        <f t="shared" si="10"/>
        <v>325.79796207754214</v>
      </c>
    </row>
    <row r="173" spans="1:11" s="22" customFormat="1" x14ac:dyDescent="0.35">
      <c r="A173" s="19">
        <v>160</v>
      </c>
      <c r="B173" s="19" t="s">
        <v>90</v>
      </c>
      <c r="C173" s="20" t="s">
        <v>420</v>
      </c>
      <c r="D173" s="116">
        <f>'Schedule 4 Adjustments'!F172</f>
        <v>783</v>
      </c>
      <c r="E173" s="410">
        <v>0.14000000000000001</v>
      </c>
      <c r="F173" s="47">
        <f t="shared" si="12"/>
        <v>109.62</v>
      </c>
      <c r="G173" s="21">
        <f t="shared" si="9"/>
        <v>15.837400934324968</v>
      </c>
      <c r="H173" s="150">
        <f>'Schedule 4 Adjustments'!N172</f>
        <v>88</v>
      </c>
      <c r="I173" s="410">
        <v>0.12</v>
      </c>
      <c r="J173" s="47">
        <f t="shared" si="11"/>
        <v>10.559999999999999</v>
      </c>
      <c r="K173" s="21">
        <f t="shared" si="10"/>
        <v>13.574915086564255</v>
      </c>
    </row>
    <row r="174" spans="1:11" s="22" customFormat="1" x14ac:dyDescent="0.35">
      <c r="A174" s="19">
        <v>161</v>
      </c>
      <c r="B174" s="19" t="s">
        <v>91</v>
      </c>
      <c r="C174" s="20" t="s">
        <v>421</v>
      </c>
      <c r="D174" s="116">
        <f>'Schedule 4 Adjustments'!F173</f>
        <v>0</v>
      </c>
      <c r="E174" s="410">
        <v>3.3600000000000003</v>
      </c>
      <c r="F174" s="47">
        <f t="shared" si="12"/>
        <v>0</v>
      </c>
      <c r="G174" s="21">
        <f t="shared" si="9"/>
        <v>380.09762242379924</v>
      </c>
      <c r="H174" s="150">
        <f>'Schedule 4 Adjustments'!N173</f>
        <v>0</v>
      </c>
      <c r="I174" s="410">
        <v>2.88</v>
      </c>
      <c r="J174" s="47">
        <f t="shared" si="11"/>
        <v>0</v>
      </c>
      <c r="K174" s="21">
        <f t="shared" si="10"/>
        <v>325.79796207754214</v>
      </c>
    </row>
    <row r="175" spans="1:11" s="22" customFormat="1" x14ac:dyDescent="0.35">
      <c r="A175" s="19">
        <v>162</v>
      </c>
      <c r="B175" s="19" t="s">
        <v>92</v>
      </c>
      <c r="C175" s="20" t="s">
        <v>422</v>
      </c>
      <c r="D175" s="116">
        <f>'Schedule 4 Adjustments'!F174</f>
        <v>2157</v>
      </c>
      <c r="E175" s="410">
        <v>0.14000000000000001</v>
      </c>
      <c r="F175" s="47">
        <f t="shared" si="12"/>
        <v>301.98</v>
      </c>
      <c r="G175" s="21">
        <f t="shared" si="9"/>
        <v>15.837400934324968</v>
      </c>
      <c r="H175" s="150">
        <f>'Schedule 4 Adjustments'!N174</f>
        <v>8686</v>
      </c>
      <c r="I175" s="410">
        <v>0.12</v>
      </c>
      <c r="J175" s="47">
        <f t="shared" si="11"/>
        <v>1042.32</v>
      </c>
      <c r="K175" s="21">
        <f t="shared" si="10"/>
        <v>13.574915086564255</v>
      </c>
    </row>
    <row r="176" spans="1:11" s="22" customFormat="1" x14ac:dyDescent="0.35">
      <c r="A176" s="19">
        <v>163</v>
      </c>
      <c r="B176" s="19" t="s">
        <v>93</v>
      </c>
      <c r="C176" s="20" t="s">
        <v>423</v>
      </c>
      <c r="D176" s="116">
        <f>'Schedule 4 Adjustments'!F175</f>
        <v>0</v>
      </c>
      <c r="E176" s="410">
        <v>0.14000000000000001</v>
      </c>
      <c r="F176" s="47">
        <f t="shared" si="12"/>
        <v>0</v>
      </c>
      <c r="G176" s="21">
        <f t="shared" si="9"/>
        <v>15.837400934324968</v>
      </c>
      <c r="H176" s="150">
        <f>'Schedule 4 Adjustments'!N175</f>
        <v>0</v>
      </c>
      <c r="I176" s="410">
        <v>0.12</v>
      </c>
      <c r="J176" s="47">
        <f t="shared" si="11"/>
        <v>0</v>
      </c>
      <c r="K176" s="21">
        <f t="shared" si="10"/>
        <v>13.574915086564255</v>
      </c>
    </row>
    <row r="177" spans="1:11" s="22" customFormat="1" x14ac:dyDescent="0.35">
      <c r="A177" s="19">
        <v>164</v>
      </c>
      <c r="B177" s="19" t="s">
        <v>94</v>
      </c>
      <c r="C177" s="20" t="s">
        <v>424</v>
      </c>
      <c r="D177" s="116">
        <f>'Schedule 4 Adjustments'!F176</f>
        <v>0</v>
      </c>
      <c r="E177" s="410">
        <v>3.3600000000000003</v>
      </c>
      <c r="F177" s="47">
        <f t="shared" si="12"/>
        <v>0</v>
      </c>
      <c r="G177" s="21">
        <f t="shared" si="9"/>
        <v>380.09762242379924</v>
      </c>
      <c r="H177" s="150">
        <f>'Schedule 4 Adjustments'!N176</f>
        <v>0</v>
      </c>
      <c r="I177" s="410">
        <v>2.88</v>
      </c>
      <c r="J177" s="47">
        <f t="shared" si="11"/>
        <v>0</v>
      </c>
      <c r="K177" s="21">
        <f t="shared" si="10"/>
        <v>325.79796207754214</v>
      </c>
    </row>
    <row r="178" spans="1:11" s="22" customFormat="1" x14ac:dyDescent="0.35">
      <c r="A178" s="19">
        <v>165</v>
      </c>
      <c r="B178" s="19" t="s">
        <v>95</v>
      </c>
      <c r="C178" s="20" t="s">
        <v>425</v>
      </c>
      <c r="D178" s="116">
        <f>'Schedule 4 Adjustments'!F177</f>
        <v>137</v>
      </c>
      <c r="E178" s="410">
        <v>0.14000000000000001</v>
      </c>
      <c r="F178" s="47">
        <f t="shared" si="12"/>
        <v>19.180000000000003</v>
      </c>
      <c r="G178" s="21">
        <f t="shared" si="9"/>
        <v>15.837400934324968</v>
      </c>
      <c r="H178" s="150">
        <f>'Schedule 4 Adjustments'!N177</f>
        <v>4110</v>
      </c>
      <c r="I178" s="410">
        <v>0.12</v>
      </c>
      <c r="J178" s="47">
        <f t="shared" si="11"/>
        <v>493.2</v>
      </c>
      <c r="K178" s="21">
        <f t="shared" si="10"/>
        <v>13.574915086564255</v>
      </c>
    </row>
    <row r="179" spans="1:11" s="22" customFormat="1" x14ac:dyDescent="0.35">
      <c r="A179" s="19">
        <v>166</v>
      </c>
      <c r="B179" s="19" t="s">
        <v>96</v>
      </c>
      <c r="C179" s="20" t="s">
        <v>426</v>
      </c>
      <c r="D179" s="116">
        <f>'Schedule 4 Adjustments'!F178</f>
        <v>8609</v>
      </c>
      <c r="E179" s="410">
        <v>1.29</v>
      </c>
      <c r="F179" s="47">
        <f t="shared" si="12"/>
        <v>11105.61</v>
      </c>
      <c r="G179" s="21">
        <f t="shared" si="9"/>
        <v>145.93033718056577</v>
      </c>
      <c r="H179" s="150">
        <f>'Schedule 4 Adjustments'!N178</f>
        <v>1196</v>
      </c>
      <c r="I179" s="410">
        <v>1.1299999999999999</v>
      </c>
      <c r="J179" s="47">
        <f t="shared" si="11"/>
        <v>1351.4799999999998</v>
      </c>
      <c r="K179" s="21">
        <f t="shared" si="10"/>
        <v>127.83045039848007</v>
      </c>
    </row>
    <row r="180" spans="1:11" s="22" customFormat="1" x14ac:dyDescent="0.35">
      <c r="A180" s="19">
        <v>167</v>
      </c>
      <c r="B180" s="19" t="s">
        <v>35</v>
      </c>
      <c r="C180" s="20" t="s">
        <v>37</v>
      </c>
      <c r="D180" s="116">
        <f>'Schedule 4 Adjustments'!F179</f>
        <v>0</v>
      </c>
      <c r="E180" s="410">
        <v>0</v>
      </c>
      <c r="F180" s="47">
        <f t="shared" si="12"/>
        <v>0</v>
      </c>
      <c r="G180" s="21">
        <f t="shared" si="9"/>
        <v>0</v>
      </c>
      <c r="H180" s="150">
        <f>'Schedule 4 Adjustments'!N179</f>
        <v>0</v>
      </c>
      <c r="I180" s="410">
        <v>0</v>
      </c>
      <c r="J180" s="47">
        <f t="shared" si="11"/>
        <v>0</v>
      </c>
      <c r="K180" s="21">
        <f t="shared" si="10"/>
        <v>0</v>
      </c>
    </row>
    <row r="181" spans="1:11" s="22" customFormat="1" x14ac:dyDescent="0.35">
      <c r="A181" s="19">
        <v>168</v>
      </c>
      <c r="B181" s="19" t="s">
        <v>97</v>
      </c>
      <c r="C181" s="20" t="s">
        <v>427</v>
      </c>
      <c r="D181" s="116">
        <f>'Schedule 4 Adjustments'!F180</f>
        <v>0</v>
      </c>
      <c r="E181" s="410">
        <v>0</v>
      </c>
      <c r="F181" s="47">
        <f t="shared" si="12"/>
        <v>0</v>
      </c>
      <c r="G181" s="21">
        <f t="shared" si="9"/>
        <v>0</v>
      </c>
      <c r="H181" s="150">
        <f>'Schedule 4 Adjustments'!N180</f>
        <v>0</v>
      </c>
      <c r="I181" s="410">
        <v>0</v>
      </c>
      <c r="J181" s="47">
        <f t="shared" si="11"/>
        <v>0</v>
      </c>
      <c r="K181" s="21">
        <f t="shared" si="10"/>
        <v>0</v>
      </c>
    </row>
    <row r="182" spans="1:11" s="22" customFormat="1" x14ac:dyDescent="0.35">
      <c r="A182" s="19">
        <v>169</v>
      </c>
      <c r="B182" s="19" t="s">
        <v>98</v>
      </c>
      <c r="C182" s="20" t="s">
        <v>428</v>
      </c>
      <c r="D182" s="116">
        <f>'Schedule 4 Adjustments'!F181</f>
        <v>0</v>
      </c>
      <c r="E182" s="410">
        <v>0.22</v>
      </c>
      <c r="F182" s="47">
        <f t="shared" si="12"/>
        <v>0</v>
      </c>
      <c r="G182" s="21">
        <f t="shared" si="9"/>
        <v>24.887344325367803</v>
      </c>
      <c r="H182" s="150">
        <f>'Schedule 4 Adjustments'!N181</f>
        <v>16</v>
      </c>
      <c r="I182" s="410">
        <v>0.22</v>
      </c>
      <c r="J182" s="47">
        <f t="shared" si="11"/>
        <v>3.52</v>
      </c>
      <c r="K182" s="21">
        <f t="shared" si="10"/>
        <v>24.887344325367803</v>
      </c>
    </row>
    <row r="183" spans="1:11" s="22" customFormat="1" x14ac:dyDescent="0.35">
      <c r="A183" s="19">
        <v>170</v>
      </c>
      <c r="B183" s="19" t="s">
        <v>99</v>
      </c>
      <c r="C183" s="20" t="s">
        <v>429</v>
      </c>
      <c r="D183" s="116">
        <f>'Schedule 4 Adjustments'!F182</f>
        <v>0</v>
      </c>
      <c r="E183" s="410">
        <v>4.4000000000000004</v>
      </c>
      <c r="F183" s="47">
        <f t="shared" si="12"/>
        <v>0</v>
      </c>
      <c r="G183" s="21">
        <f t="shared" si="9"/>
        <v>497.74688650735612</v>
      </c>
      <c r="H183" s="150">
        <f>'Schedule 4 Adjustments'!N182</f>
        <v>1273</v>
      </c>
      <c r="I183" s="410">
        <v>4.4000000000000004</v>
      </c>
      <c r="J183" s="47">
        <f t="shared" si="11"/>
        <v>5601.2000000000007</v>
      </c>
      <c r="K183" s="21">
        <f t="shared" si="10"/>
        <v>497.74688650735612</v>
      </c>
    </row>
    <row r="184" spans="1:11" s="22" customFormat="1" x14ac:dyDescent="0.35">
      <c r="A184" s="19">
        <v>171</v>
      </c>
      <c r="B184" s="19" t="s">
        <v>100</v>
      </c>
      <c r="C184" s="20" t="s">
        <v>147</v>
      </c>
      <c r="D184" s="116">
        <f>'Schedule 4 Adjustments'!F183</f>
        <v>0</v>
      </c>
      <c r="E184" s="410">
        <v>1.02</v>
      </c>
      <c r="F184" s="47">
        <f t="shared" si="12"/>
        <v>0</v>
      </c>
      <c r="G184" s="21">
        <f t="shared" si="9"/>
        <v>115.38677823579619</v>
      </c>
      <c r="H184" s="150">
        <f>'Schedule 4 Adjustments'!N183</f>
        <v>0</v>
      </c>
      <c r="I184" s="410">
        <v>0.94</v>
      </c>
      <c r="J184" s="47">
        <f t="shared" si="11"/>
        <v>0</v>
      </c>
      <c r="K184" s="21">
        <f t="shared" si="10"/>
        <v>106.33683484475334</v>
      </c>
    </row>
    <row r="185" spans="1:11" s="22" customFormat="1" x14ac:dyDescent="0.35">
      <c r="A185" s="19">
        <v>172</v>
      </c>
      <c r="B185" s="19" t="s">
        <v>101</v>
      </c>
      <c r="C185" s="20" t="s">
        <v>148</v>
      </c>
      <c r="D185" s="116">
        <f>'Schedule 4 Adjustments'!F184</f>
        <v>0</v>
      </c>
      <c r="E185" s="410">
        <v>0.75</v>
      </c>
      <c r="F185" s="47">
        <f t="shared" si="12"/>
        <v>0</v>
      </c>
      <c r="G185" s="21">
        <f t="shared" si="9"/>
        <v>84.8432192910266</v>
      </c>
      <c r="H185" s="150">
        <f>'Schedule 4 Adjustments'!N184</f>
        <v>0</v>
      </c>
      <c r="I185" s="410">
        <v>0.37</v>
      </c>
      <c r="J185" s="47">
        <f t="shared" si="11"/>
        <v>0</v>
      </c>
      <c r="K185" s="21">
        <f t="shared" si="10"/>
        <v>41.855988183573125</v>
      </c>
    </row>
    <row r="186" spans="1:11" s="22" customFormat="1" x14ac:dyDescent="0.35">
      <c r="A186" s="19">
        <v>173</v>
      </c>
      <c r="B186" s="19" t="s">
        <v>102</v>
      </c>
      <c r="C186" s="20" t="s">
        <v>430</v>
      </c>
      <c r="D186" s="116">
        <f>'Schedule 4 Adjustments'!F185</f>
        <v>0</v>
      </c>
      <c r="E186" s="410">
        <v>0.75</v>
      </c>
      <c r="F186" s="47">
        <f t="shared" si="12"/>
        <v>0</v>
      </c>
      <c r="G186" s="21">
        <f t="shared" si="9"/>
        <v>84.8432192910266</v>
      </c>
      <c r="H186" s="150">
        <f>'Schedule 4 Adjustments'!N185</f>
        <v>0</v>
      </c>
      <c r="I186" s="410">
        <v>0.37</v>
      </c>
      <c r="J186" s="47">
        <f t="shared" si="11"/>
        <v>0</v>
      </c>
      <c r="K186" s="21">
        <f t="shared" si="10"/>
        <v>41.855988183573125</v>
      </c>
    </row>
    <row r="187" spans="1:11" s="22" customFormat="1" x14ac:dyDescent="0.35">
      <c r="A187" s="19">
        <v>174</v>
      </c>
      <c r="B187" s="19" t="s">
        <v>103</v>
      </c>
      <c r="C187" s="20" t="s">
        <v>431</v>
      </c>
      <c r="D187" s="116">
        <f>'Schedule 4 Adjustments'!F186</f>
        <v>14</v>
      </c>
      <c r="E187" s="410">
        <v>3.96</v>
      </c>
      <c r="F187" s="47">
        <f t="shared" si="12"/>
        <v>55.44</v>
      </c>
      <c r="G187" s="21">
        <f t="shared" si="9"/>
        <v>447.97219785662048</v>
      </c>
      <c r="H187" s="150">
        <f>'Schedule 4 Adjustments'!N186</f>
        <v>2507</v>
      </c>
      <c r="I187" s="410">
        <v>3.96</v>
      </c>
      <c r="J187" s="47">
        <f t="shared" si="11"/>
        <v>9927.7199999999993</v>
      </c>
      <c r="K187" s="21">
        <f t="shared" si="10"/>
        <v>447.97219785662048</v>
      </c>
    </row>
    <row r="188" spans="1:11" s="22" customFormat="1" x14ac:dyDescent="0.35">
      <c r="A188" s="19">
        <v>175</v>
      </c>
      <c r="B188" s="19" t="s">
        <v>104</v>
      </c>
      <c r="C188" s="20" t="s">
        <v>432</v>
      </c>
      <c r="D188" s="116">
        <f>'Schedule 4 Adjustments'!F187</f>
        <v>0</v>
      </c>
      <c r="E188" s="410">
        <v>3.59</v>
      </c>
      <c r="F188" s="47">
        <f t="shared" si="12"/>
        <v>0</v>
      </c>
      <c r="G188" s="21">
        <f t="shared" si="9"/>
        <v>406.11620967304731</v>
      </c>
      <c r="H188" s="150">
        <f>'Schedule 4 Adjustments'!N187</f>
        <v>9</v>
      </c>
      <c r="I188" s="410">
        <v>3.59</v>
      </c>
      <c r="J188" s="47">
        <f t="shared" si="11"/>
        <v>32.31</v>
      </c>
      <c r="K188" s="21">
        <f t="shared" si="10"/>
        <v>406.11620967304731</v>
      </c>
    </row>
    <row r="189" spans="1:11" s="22" customFormat="1" x14ac:dyDescent="0.35">
      <c r="A189" s="19">
        <v>176</v>
      </c>
      <c r="B189" s="19" t="s">
        <v>36</v>
      </c>
      <c r="C189" s="20" t="s">
        <v>38</v>
      </c>
      <c r="D189" s="116">
        <f>'Schedule 4 Adjustments'!F188</f>
        <v>0</v>
      </c>
      <c r="E189" s="410">
        <v>0</v>
      </c>
      <c r="F189" s="47">
        <f t="shared" si="12"/>
        <v>0</v>
      </c>
      <c r="G189" s="21">
        <f t="shared" si="9"/>
        <v>0</v>
      </c>
      <c r="H189" s="150">
        <f>'Schedule 4 Adjustments'!N188</f>
        <v>0</v>
      </c>
      <c r="I189" s="410">
        <v>0</v>
      </c>
      <c r="J189" s="47">
        <f t="shared" si="11"/>
        <v>0</v>
      </c>
      <c r="K189" s="21">
        <f t="shared" si="10"/>
        <v>0</v>
      </c>
    </row>
    <row r="190" spans="1:11" s="22" customFormat="1" x14ac:dyDescent="0.35">
      <c r="A190" s="19">
        <v>177</v>
      </c>
      <c r="B190" s="19" t="s">
        <v>105</v>
      </c>
      <c r="C190" s="20" t="s">
        <v>433</v>
      </c>
      <c r="D190" s="116">
        <f>'Schedule 4 Adjustments'!F189</f>
        <v>0</v>
      </c>
      <c r="E190" s="410">
        <v>0.28999999999999998</v>
      </c>
      <c r="F190" s="47">
        <f t="shared" si="12"/>
        <v>0</v>
      </c>
      <c r="G190" s="21">
        <f t="shared" si="9"/>
        <v>32.806044792530287</v>
      </c>
      <c r="H190" s="150">
        <f>'Schedule 4 Adjustments'!N189</f>
        <v>23431</v>
      </c>
      <c r="I190" s="410">
        <v>0.28999999999999998</v>
      </c>
      <c r="J190" s="47">
        <f t="shared" si="11"/>
        <v>6794.99</v>
      </c>
      <c r="K190" s="21">
        <f t="shared" si="10"/>
        <v>32.806044792530287</v>
      </c>
    </row>
    <row r="191" spans="1:11" s="22" customFormat="1" x14ac:dyDescent="0.35">
      <c r="A191" s="19">
        <v>178</v>
      </c>
      <c r="B191" s="19" t="s">
        <v>106</v>
      </c>
      <c r="C191" s="20" t="s">
        <v>149</v>
      </c>
      <c r="D191" s="116">
        <f>'Schedule 4 Adjustments'!F190</f>
        <v>0</v>
      </c>
      <c r="E191" s="410">
        <v>3.07</v>
      </c>
      <c r="F191" s="47">
        <f t="shared" si="12"/>
        <v>0</v>
      </c>
      <c r="G191" s="21">
        <f t="shared" si="9"/>
        <v>347.29157763126886</v>
      </c>
      <c r="H191" s="150">
        <f>'Schedule 4 Adjustments'!N190</f>
        <v>0</v>
      </c>
      <c r="I191" s="410">
        <v>3.05</v>
      </c>
      <c r="J191" s="47">
        <f t="shared" si="11"/>
        <v>0</v>
      </c>
      <c r="K191" s="21">
        <f t="shared" si="10"/>
        <v>345.02909178350819</v>
      </c>
    </row>
    <row r="192" spans="1:11" s="22" customFormat="1" ht="29" x14ac:dyDescent="0.35">
      <c r="A192" s="19">
        <v>179</v>
      </c>
      <c r="B192" s="19" t="s">
        <v>27</v>
      </c>
      <c r="C192" s="20" t="s">
        <v>30</v>
      </c>
      <c r="D192" s="116">
        <f>'Schedule 4 Adjustments'!F191</f>
        <v>0</v>
      </c>
      <c r="E192" s="410">
        <v>0</v>
      </c>
      <c r="F192" s="47">
        <f t="shared" si="12"/>
        <v>0</v>
      </c>
      <c r="G192" s="21">
        <f t="shared" si="9"/>
        <v>0</v>
      </c>
      <c r="H192" s="150">
        <f>'Schedule 4 Adjustments'!N191</f>
        <v>0</v>
      </c>
      <c r="I192" s="410">
        <v>0</v>
      </c>
      <c r="J192" s="47">
        <f t="shared" si="11"/>
        <v>0</v>
      </c>
      <c r="K192" s="21">
        <f t="shared" si="10"/>
        <v>0</v>
      </c>
    </row>
    <row r="193" spans="1:11" s="22" customFormat="1" x14ac:dyDescent="0.35">
      <c r="A193" s="19">
        <v>180</v>
      </c>
      <c r="B193" s="19" t="s">
        <v>107</v>
      </c>
      <c r="C193" s="20" t="s">
        <v>150</v>
      </c>
      <c r="D193" s="116">
        <f>'Schedule 4 Adjustments'!F192</f>
        <v>0</v>
      </c>
      <c r="E193" s="410">
        <v>0.59</v>
      </c>
      <c r="F193" s="47">
        <f t="shared" si="12"/>
        <v>0</v>
      </c>
      <c r="G193" s="21">
        <f t="shared" si="9"/>
        <v>66.743332508940924</v>
      </c>
      <c r="H193" s="150">
        <f>'Schedule 4 Adjustments'!N192</f>
        <v>0</v>
      </c>
      <c r="I193" s="410">
        <v>0.55000000000000004</v>
      </c>
      <c r="J193" s="47">
        <f t="shared" si="11"/>
        <v>0</v>
      </c>
      <c r="K193" s="21">
        <f t="shared" si="10"/>
        <v>62.218360813419515</v>
      </c>
    </row>
    <row r="194" spans="1:11" s="22" customFormat="1" x14ac:dyDescent="0.35">
      <c r="A194" s="19">
        <v>181</v>
      </c>
      <c r="B194" s="19" t="s">
        <v>28</v>
      </c>
      <c r="C194" s="20" t="s">
        <v>31</v>
      </c>
      <c r="D194" s="116">
        <f>'Schedule 4 Adjustments'!F193</f>
        <v>0</v>
      </c>
      <c r="E194" s="410">
        <v>0</v>
      </c>
      <c r="F194" s="47">
        <f t="shared" si="12"/>
        <v>0</v>
      </c>
      <c r="G194" s="21">
        <f t="shared" si="9"/>
        <v>0</v>
      </c>
      <c r="H194" s="150">
        <f>'Schedule 4 Adjustments'!N193</f>
        <v>0</v>
      </c>
      <c r="I194" s="410">
        <v>0</v>
      </c>
      <c r="J194" s="47">
        <f t="shared" si="11"/>
        <v>0</v>
      </c>
      <c r="K194" s="21">
        <f t="shared" si="10"/>
        <v>0</v>
      </c>
    </row>
    <row r="195" spans="1:11" s="22" customFormat="1" x14ac:dyDescent="0.35">
      <c r="A195" s="19">
        <v>182</v>
      </c>
      <c r="B195" s="19" t="s">
        <v>108</v>
      </c>
      <c r="C195" s="20" t="s">
        <v>434</v>
      </c>
      <c r="D195" s="116">
        <f>'Schedule 4 Adjustments'!F194</f>
        <v>0</v>
      </c>
      <c r="E195" s="410">
        <v>0.64</v>
      </c>
      <c r="F195" s="47">
        <f t="shared" si="12"/>
        <v>0</v>
      </c>
      <c r="G195" s="21">
        <f t="shared" si="9"/>
        <v>72.399547128342704</v>
      </c>
      <c r="H195" s="150">
        <f>'Schedule 4 Adjustments'!N194</f>
        <v>0</v>
      </c>
      <c r="I195" s="410">
        <v>0.6</v>
      </c>
      <c r="J195" s="47">
        <f t="shared" si="11"/>
        <v>0</v>
      </c>
      <c r="K195" s="21">
        <f t="shared" si="10"/>
        <v>67.874575432821274</v>
      </c>
    </row>
    <row r="196" spans="1:11" s="22" customFormat="1" x14ac:dyDescent="0.35">
      <c r="A196" s="19">
        <v>183</v>
      </c>
      <c r="B196" s="19" t="s">
        <v>109</v>
      </c>
      <c r="C196" s="20" t="s">
        <v>151</v>
      </c>
      <c r="D196" s="116">
        <f>'Schedule 4 Adjustments'!F195</f>
        <v>3192</v>
      </c>
      <c r="E196" s="410">
        <v>0.65000000000000013</v>
      </c>
      <c r="F196" s="47">
        <f t="shared" si="12"/>
        <v>2074.8000000000006</v>
      </c>
      <c r="G196" s="21">
        <f t="shared" si="9"/>
        <v>73.530790052223068</v>
      </c>
      <c r="H196" s="150">
        <f>'Schedule 4 Adjustments'!N195</f>
        <v>4886</v>
      </c>
      <c r="I196" s="410">
        <v>0.59999999999999987</v>
      </c>
      <c r="J196" s="47">
        <f t="shared" si="11"/>
        <v>2931.5999999999995</v>
      </c>
      <c r="K196" s="21">
        <f t="shared" si="10"/>
        <v>67.874575432821274</v>
      </c>
    </row>
    <row r="197" spans="1:11" s="22" customFormat="1" x14ac:dyDescent="0.35">
      <c r="A197" s="19">
        <v>184</v>
      </c>
      <c r="B197" s="19" t="s">
        <v>29</v>
      </c>
      <c r="C197" s="20" t="s">
        <v>32</v>
      </c>
      <c r="D197" s="116">
        <f>'Schedule 4 Adjustments'!F196</f>
        <v>0</v>
      </c>
      <c r="E197" s="410">
        <v>0</v>
      </c>
      <c r="F197" s="47">
        <f t="shared" si="12"/>
        <v>0</v>
      </c>
      <c r="G197" s="21">
        <f t="shared" si="9"/>
        <v>0</v>
      </c>
      <c r="H197" s="150">
        <f>'Schedule 4 Adjustments'!N196</f>
        <v>0</v>
      </c>
      <c r="I197" s="410">
        <v>0</v>
      </c>
      <c r="J197" s="47">
        <f t="shared" si="11"/>
        <v>0</v>
      </c>
      <c r="K197" s="21">
        <f t="shared" si="10"/>
        <v>0</v>
      </c>
    </row>
    <row r="198" spans="1:11" x14ac:dyDescent="0.35">
      <c r="A198" s="19">
        <v>185</v>
      </c>
      <c r="B198" s="423"/>
      <c r="D198" s="9">
        <f>SUM(D18:D197)</f>
        <v>95678</v>
      </c>
      <c r="E198" s="13"/>
      <c r="F198" s="9">
        <f>SUM(F19:F197)</f>
        <v>149909.44</v>
      </c>
      <c r="H198" s="9">
        <f>SUM(H19:H197)</f>
        <v>272325</v>
      </c>
      <c r="J198" s="9">
        <f>SUM(J19:J197)</f>
        <v>241108.66000000003</v>
      </c>
    </row>
  </sheetData>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
    <mergeCell ref="K5:K7"/>
    <mergeCell ref="L5:L7"/>
    <mergeCell ref="D16:G16"/>
    <mergeCell ref="H16:K16"/>
    <mergeCell ref="J10:J12"/>
    <mergeCell ref="K10:K12"/>
  </mergeCells>
  <pageMargins left="0.7" right="0.7" top="0.75" bottom="0.75" header="0.3" footer="0.3"/>
  <pageSetup orientation="portrait" horizontalDpi="1200" verticalDpi="1200"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rgb="FFF8971D"/>
  </sheetPr>
  <dimension ref="A1:M47"/>
  <sheetViews>
    <sheetView workbookViewId="0"/>
  </sheetViews>
  <sheetFormatPr defaultColWidth="9.1796875" defaultRowHeight="14.5" x14ac:dyDescent="0.35"/>
  <cols>
    <col min="2" max="2" width="16.54296875" customWidth="1"/>
    <col min="3" max="3" width="40.7265625" customWidth="1"/>
    <col min="4" max="4" width="26.7265625" style="100" customWidth="1"/>
    <col min="5" max="5" width="3" customWidth="1"/>
    <col min="6" max="6" width="9.1796875" customWidth="1"/>
    <col min="7" max="7" width="33.26953125" style="48" customWidth="1"/>
    <col min="8" max="8" width="30.26953125" customWidth="1"/>
    <col min="9" max="9" width="23.54296875" customWidth="1"/>
  </cols>
  <sheetData>
    <row r="1" spans="1:13" ht="26" x14ac:dyDescent="0.6">
      <c r="A1" s="3" t="s">
        <v>774</v>
      </c>
      <c r="G1" s="129"/>
    </row>
    <row r="2" spans="1:13" ht="21" x14ac:dyDescent="0.5">
      <c r="A2" s="2" t="s">
        <v>772</v>
      </c>
      <c r="H2" s="40"/>
      <c r="I2" s="40"/>
      <c r="J2" s="40"/>
      <c r="K2" s="40"/>
      <c r="L2" s="40"/>
      <c r="M2" s="40"/>
    </row>
    <row r="3" spans="1:13" ht="21" x14ac:dyDescent="0.5">
      <c r="A3" s="242" t="s">
        <v>902</v>
      </c>
      <c r="G3" s="130"/>
      <c r="H3" s="130"/>
      <c r="I3" s="130"/>
      <c r="J3" s="40"/>
      <c r="K3" s="40"/>
      <c r="L3" s="40"/>
      <c r="M3" s="40"/>
    </row>
    <row r="4" spans="1:13" ht="21" x14ac:dyDescent="0.5">
      <c r="A4" s="243" t="str">
        <f>Results!A4</f>
        <v>Final Adjustments</v>
      </c>
      <c r="G4" s="130"/>
      <c r="H4" s="130"/>
      <c r="I4" s="130"/>
      <c r="J4" s="40"/>
      <c r="K4" s="40"/>
      <c r="L4" s="40"/>
      <c r="M4" s="40"/>
    </row>
    <row r="5" spans="1:13" x14ac:dyDescent="0.35">
      <c r="G5" s="40"/>
      <c r="H5" s="40"/>
      <c r="I5" s="40"/>
      <c r="J5" s="40"/>
      <c r="K5" s="40"/>
      <c r="L5" s="40"/>
      <c r="M5" s="40"/>
    </row>
    <row r="6" spans="1:13" x14ac:dyDescent="0.35">
      <c r="A6" s="1" t="s">
        <v>773</v>
      </c>
      <c r="C6" s="421" t="str">
        <f>Results!$C$6</f>
        <v>Health Solutions</v>
      </c>
      <c r="G6" s="40"/>
      <c r="H6" s="40"/>
      <c r="I6" s="40"/>
      <c r="J6" s="40"/>
      <c r="K6" s="40"/>
      <c r="L6" s="40"/>
      <c r="M6" s="40"/>
    </row>
    <row r="7" spans="1:13" x14ac:dyDescent="0.35">
      <c r="A7" s="1" t="s">
        <v>0</v>
      </c>
      <c r="C7" s="35">
        <f>Results!$C$7</f>
        <v>45473</v>
      </c>
      <c r="G7" s="40"/>
      <c r="H7" s="40"/>
      <c r="I7" s="40"/>
      <c r="J7" s="40"/>
      <c r="K7" s="40"/>
      <c r="L7" s="40"/>
      <c r="M7" s="40"/>
    </row>
    <row r="8" spans="1:13" s="1" customFormat="1" x14ac:dyDescent="0.35">
      <c r="D8" s="100"/>
      <c r="G8" s="40"/>
      <c r="H8" s="40"/>
      <c r="I8" s="40"/>
      <c r="J8" s="40"/>
      <c r="K8" s="40"/>
      <c r="L8" s="40"/>
      <c r="M8" s="40"/>
    </row>
    <row r="9" spans="1:13" x14ac:dyDescent="0.35">
      <c r="D9" s="175">
        <v>1</v>
      </c>
      <c r="G9" s="40"/>
      <c r="H9" s="40"/>
      <c r="I9" s="40"/>
      <c r="J9" s="40"/>
      <c r="K9" s="40"/>
      <c r="L9" s="40"/>
      <c r="M9" s="40"/>
    </row>
    <row r="10" spans="1:13" s="6" customFormat="1" x14ac:dyDescent="0.35">
      <c r="A10" s="97"/>
      <c r="B10" s="492" t="s">
        <v>868</v>
      </c>
      <c r="C10" s="492"/>
      <c r="D10" s="259" t="s">
        <v>903</v>
      </c>
      <c r="G10" s="129"/>
      <c r="H10" s="129"/>
      <c r="I10" s="129"/>
      <c r="J10" s="129"/>
      <c r="K10" s="129"/>
      <c r="L10" s="129"/>
      <c r="M10" s="129"/>
    </row>
    <row r="11" spans="1:13" s="6" customFormat="1" x14ac:dyDescent="0.35">
      <c r="A11" s="97"/>
      <c r="B11" s="152"/>
      <c r="C11" s="153"/>
      <c r="D11" s="154"/>
      <c r="G11" s="129"/>
      <c r="H11" s="129"/>
      <c r="I11" s="129"/>
      <c r="J11" s="129"/>
      <c r="K11" s="129"/>
      <c r="L11" s="129"/>
      <c r="M11" s="129"/>
    </row>
    <row r="12" spans="1:13" s="22" customFormat="1" x14ac:dyDescent="0.35">
      <c r="A12" s="488" t="s">
        <v>870</v>
      </c>
      <c r="B12" s="489"/>
      <c r="C12" s="489"/>
      <c r="D12" s="490"/>
      <c r="G12" s="128"/>
      <c r="H12" s="128"/>
      <c r="I12" s="128"/>
      <c r="J12" s="128"/>
      <c r="K12" s="128"/>
      <c r="L12" s="128"/>
      <c r="M12" s="128"/>
    </row>
    <row r="13" spans="1:13" s="22" customFormat="1" x14ac:dyDescent="0.35">
      <c r="A13" s="155">
        <v>1</v>
      </c>
      <c r="B13" s="479" t="s">
        <v>871</v>
      </c>
      <c r="C13" s="481"/>
      <c r="D13" s="157">
        <f>'Schedule 5 Adjustments'!F12</f>
        <v>36890820</v>
      </c>
      <c r="G13" s="140"/>
    </row>
    <row r="14" spans="1:13" s="22" customFormat="1" x14ac:dyDescent="0.35">
      <c r="A14" s="155">
        <v>2</v>
      </c>
      <c r="B14" s="479" t="s">
        <v>872</v>
      </c>
      <c r="C14" s="481"/>
      <c r="D14" s="157">
        <f>'Schedule 5 Adjustments'!F13</f>
        <v>830585</v>
      </c>
      <c r="G14" s="140"/>
    </row>
    <row r="15" spans="1:13" s="22" customFormat="1" x14ac:dyDescent="0.35">
      <c r="A15" s="155">
        <v>3</v>
      </c>
      <c r="B15" s="173" t="s">
        <v>873</v>
      </c>
      <c r="C15" s="168"/>
      <c r="D15" s="157">
        <f>'Schedule 5 Adjustments'!F14</f>
        <v>175725</v>
      </c>
      <c r="G15" s="140"/>
    </row>
    <row r="16" spans="1:13" s="22" customFormat="1" x14ac:dyDescent="0.35">
      <c r="A16" s="155">
        <v>4</v>
      </c>
      <c r="B16" s="173" t="s">
        <v>874</v>
      </c>
      <c r="C16" s="168"/>
      <c r="D16" s="157">
        <f>'Schedule 5 Adjustments'!F15</f>
        <v>1031386</v>
      </c>
      <c r="G16" s="140"/>
    </row>
    <row r="17" spans="1:7" s="22" customFormat="1" x14ac:dyDescent="0.35">
      <c r="A17" s="155">
        <v>5</v>
      </c>
      <c r="B17" s="173" t="s">
        <v>875</v>
      </c>
      <c r="C17" s="168"/>
      <c r="D17" s="157">
        <f>'Schedule 5 Adjustments'!F16</f>
        <v>778669</v>
      </c>
      <c r="G17" s="140"/>
    </row>
    <row r="18" spans="1:7" s="22" customFormat="1" x14ac:dyDescent="0.35">
      <c r="A18" s="155">
        <v>6</v>
      </c>
      <c r="B18" s="173" t="s">
        <v>876</v>
      </c>
      <c r="C18" s="168"/>
      <c r="D18" s="157">
        <f>'Schedule 5 Adjustments'!F17</f>
        <v>678831</v>
      </c>
      <c r="G18" s="140"/>
    </row>
    <row r="19" spans="1:7" s="22" customFormat="1" x14ac:dyDescent="0.35">
      <c r="A19" s="155">
        <v>7</v>
      </c>
      <c r="B19" s="479" t="s">
        <v>877</v>
      </c>
      <c r="C19" s="481"/>
      <c r="D19" s="157">
        <f>'Schedule 5 Adjustments'!F18</f>
        <v>0</v>
      </c>
      <c r="G19" s="140"/>
    </row>
    <row r="20" spans="1:7" s="22" customFormat="1" x14ac:dyDescent="0.35">
      <c r="A20" s="155">
        <v>8</v>
      </c>
      <c r="B20" s="485" t="s">
        <v>878</v>
      </c>
      <c r="C20" s="487"/>
      <c r="D20" s="160">
        <f>SUM(D13:D19)</f>
        <v>40386016</v>
      </c>
      <c r="G20" s="140"/>
    </row>
    <row r="21" spans="1:7" s="22" customFormat="1" x14ac:dyDescent="0.35">
      <c r="A21" s="161"/>
      <c r="B21" s="162"/>
      <c r="C21" s="162"/>
      <c r="D21" s="164"/>
      <c r="G21" s="140"/>
    </row>
    <row r="22" spans="1:7" s="22" customFormat="1" x14ac:dyDescent="0.35">
      <c r="A22" s="488" t="s">
        <v>879</v>
      </c>
      <c r="B22" s="489"/>
      <c r="C22" s="489"/>
      <c r="D22" s="490"/>
      <c r="E22" s="140"/>
      <c r="F22" s="140"/>
      <c r="G22" s="140"/>
    </row>
    <row r="23" spans="1:7" s="22" customFormat="1" x14ac:dyDescent="0.35">
      <c r="A23" s="155">
        <v>9</v>
      </c>
      <c r="B23" s="479" t="s">
        <v>880</v>
      </c>
      <c r="C23" s="481"/>
      <c r="D23" s="157">
        <f>'Schedule 5 Adjustments'!F22</f>
        <v>2165313</v>
      </c>
      <c r="E23" s="140"/>
      <c r="F23" s="140"/>
      <c r="G23" s="140"/>
    </row>
    <row r="24" spans="1:7" s="22" customFormat="1" x14ac:dyDescent="0.35">
      <c r="A24" s="155">
        <v>10</v>
      </c>
      <c r="B24" s="173" t="s">
        <v>881</v>
      </c>
      <c r="C24" s="168"/>
      <c r="D24" s="157">
        <f>'Schedule 5 Adjustments'!F23</f>
        <v>4273036</v>
      </c>
      <c r="E24" s="140"/>
      <c r="F24" s="140"/>
      <c r="G24" s="140"/>
    </row>
    <row r="25" spans="1:7" s="22" customFormat="1" x14ac:dyDescent="0.35">
      <c r="A25" s="155">
        <v>11</v>
      </c>
      <c r="B25" s="173" t="s">
        <v>882</v>
      </c>
      <c r="C25" s="168"/>
      <c r="D25" s="157">
        <f>'Schedule 5 Adjustments'!F24</f>
        <v>1745607</v>
      </c>
      <c r="E25" s="140"/>
      <c r="F25" s="140"/>
      <c r="G25" s="140"/>
    </row>
    <row r="26" spans="1:7" s="22" customFormat="1" x14ac:dyDescent="0.35">
      <c r="A26" s="155">
        <v>12</v>
      </c>
      <c r="B26" s="173" t="s">
        <v>883</v>
      </c>
      <c r="C26" s="168"/>
      <c r="D26" s="157">
        <f>'Schedule 5 Adjustments'!F25</f>
        <v>733612</v>
      </c>
      <c r="E26" s="140"/>
      <c r="F26" s="140"/>
      <c r="G26" s="140"/>
    </row>
    <row r="27" spans="1:7" s="22" customFormat="1" x14ac:dyDescent="0.35">
      <c r="A27" s="155">
        <v>13</v>
      </c>
      <c r="B27" s="173" t="s">
        <v>884</v>
      </c>
      <c r="C27" s="168"/>
      <c r="D27" s="157">
        <f>'Schedule 5 Adjustments'!F26</f>
        <v>864606</v>
      </c>
      <c r="E27" s="140"/>
      <c r="F27" s="140"/>
      <c r="G27" s="140"/>
    </row>
    <row r="28" spans="1:7" s="22" customFormat="1" x14ac:dyDescent="0.35">
      <c r="A28" s="155">
        <v>14</v>
      </c>
      <c r="B28" s="485" t="s">
        <v>885</v>
      </c>
      <c r="C28" s="487"/>
      <c r="D28" s="160">
        <f>SUM(D23:D27)</f>
        <v>9782174</v>
      </c>
      <c r="E28" s="140"/>
      <c r="F28" s="140"/>
      <c r="G28" s="140"/>
    </row>
    <row r="29" spans="1:7" s="22" customFormat="1" x14ac:dyDescent="0.35">
      <c r="A29" s="161"/>
      <c r="B29" s="162"/>
      <c r="C29" s="162"/>
      <c r="D29" s="164"/>
      <c r="F29" s="140"/>
      <c r="G29" s="140"/>
    </row>
    <row r="30" spans="1:7" s="22" customFormat="1" x14ac:dyDescent="0.35">
      <c r="A30" s="488" t="s">
        <v>886</v>
      </c>
      <c r="B30" s="489"/>
      <c r="C30" s="489"/>
      <c r="D30" s="490"/>
      <c r="F30" s="140"/>
      <c r="G30" s="140"/>
    </row>
    <row r="31" spans="1:7" s="22" customFormat="1" x14ac:dyDescent="0.35">
      <c r="A31" s="155">
        <v>15</v>
      </c>
      <c r="B31" s="479" t="s">
        <v>887</v>
      </c>
      <c r="C31" s="481"/>
      <c r="D31" s="157">
        <f>'Schedule 5 Adjustments'!F30</f>
        <v>0</v>
      </c>
      <c r="G31" s="140"/>
    </row>
    <row r="32" spans="1:7" s="22" customFormat="1" x14ac:dyDescent="0.35">
      <c r="A32" s="155">
        <v>16</v>
      </c>
      <c r="B32" s="173" t="s">
        <v>888</v>
      </c>
      <c r="C32" s="168"/>
      <c r="D32" s="157">
        <f>'Schedule 5 Adjustments'!F31</f>
        <v>0</v>
      </c>
      <c r="G32" s="140"/>
    </row>
    <row r="33" spans="1:7" s="22" customFormat="1" x14ac:dyDescent="0.35">
      <c r="A33" s="155">
        <v>17</v>
      </c>
      <c r="B33" s="173" t="s">
        <v>889</v>
      </c>
      <c r="C33" s="168"/>
      <c r="D33" s="157">
        <f>'Schedule 5 Adjustments'!F32</f>
        <v>0</v>
      </c>
      <c r="G33" s="140"/>
    </row>
    <row r="34" spans="1:7" s="22" customFormat="1" x14ac:dyDescent="0.35">
      <c r="A34" s="155">
        <v>18</v>
      </c>
      <c r="B34" s="173" t="s">
        <v>890</v>
      </c>
      <c r="C34" s="168"/>
      <c r="D34" s="157">
        <f>'Schedule 5 Adjustments'!F33</f>
        <v>0</v>
      </c>
      <c r="G34" s="140"/>
    </row>
    <row r="35" spans="1:7" s="22" customFormat="1" x14ac:dyDescent="0.35">
      <c r="A35" s="155">
        <v>19</v>
      </c>
      <c r="B35" s="173" t="s">
        <v>891</v>
      </c>
      <c r="C35" s="168"/>
      <c r="D35" s="157">
        <f>'Schedule 5 Adjustments'!F34</f>
        <v>3000</v>
      </c>
      <c r="G35" s="140"/>
    </row>
    <row r="36" spans="1:7" s="22" customFormat="1" x14ac:dyDescent="0.35">
      <c r="A36" s="155">
        <v>20</v>
      </c>
      <c r="B36" s="485" t="s">
        <v>892</v>
      </c>
      <c r="C36" s="487"/>
      <c r="D36" s="160">
        <f>SUM(D31:D35)</f>
        <v>3000</v>
      </c>
      <c r="G36" s="140"/>
    </row>
    <row r="37" spans="1:7" s="22" customFormat="1" x14ac:dyDescent="0.35">
      <c r="A37" s="161"/>
      <c r="B37" s="162"/>
      <c r="C37" s="162"/>
      <c r="D37" s="164"/>
      <c r="G37" s="140"/>
    </row>
    <row r="38" spans="1:7" s="22" customFormat="1" x14ac:dyDescent="0.35">
      <c r="A38" s="488" t="s">
        <v>893</v>
      </c>
      <c r="B38" s="489"/>
      <c r="C38" s="489"/>
      <c r="D38" s="490"/>
      <c r="G38" s="140"/>
    </row>
    <row r="39" spans="1:7" s="22" customFormat="1" x14ac:dyDescent="0.35">
      <c r="A39" s="155">
        <v>21</v>
      </c>
      <c r="B39" s="479" t="s">
        <v>304</v>
      </c>
      <c r="C39" s="480"/>
      <c r="D39" s="157">
        <f>'Schedule 5 Adjustments'!F38</f>
        <v>0</v>
      </c>
      <c r="G39" s="140"/>
    </row>
    <row r="40" spans="1:7" s="22" customFormat="1" x14ac:dyDescent="0.35">
      <c r="A40" s="155">
        <v>22</v>
      </c>
      <c r="B40" s="479" t="s">
        <v>894</v>
      </c>
      <c r="C40" s="480"/>
      <c r="D40" s="157">
        <f>'Schedule 5 Adjustments'!F39</f>
        <v>0</v>
      </c>
      <c r="G40" s="140"/>
    </row>
    <row r="41" spans="1:7" s="22" customFormat="1" x14ac:dyDescent="0.35">
      <c r="A41" s="155">
        <v>23</v>
      </c>
      <c r="B41" s="479" t="s">
        <v>895</v>
      </c>
      <c r="C41" s="480"/>
      <c r="D41" s="157">
        <f>'Schedule 5 Adjustments'!F40</f>
        <v>267656</v>
      </c>
      <c r="G41" s="140"/>
    </row>
    <row r="42" spans="1:7" s="22" customFormat="1" x14ac:dyDescent="0.35">
      <c r="A42" s="155">
        <v>24</v>
      </c>
      <c r="B42" s="485" t="s">
        <v>896</v>
      </c>
      <c r="C42" s="486"/>
      <c r="D42" s="160">
        <f>SUM(D39:D41)</f>
        <v>267656</v>
      </c>
      <c r="G42" s="140"/>
    </row>
    <row r="43" spans="1:7" s="22" customFormat="1" x14ac:dyDescent="0.35">
      <c r="A43" s="161"/>
      <c r="B43" s="162"/>
      <c r="C43" s="162"/>
      <c r="D43" s="164"/>
      <c r="G43" s="140"/>
    </row>
    <row r="44" spans="1:7" s="63" customFormat="1" ht="15.5" x14ac:dyDescent="0.35">
      <c r="A44" s="155">
        <v>25</v>
      </c>
      <c r="B44" s="482" t="s">
        <v>897</v>
      </c>
      <c r="C44" s="484"/>
      <c r="D44" s="169">
        <f>SUM(D20,D28,D36,D42)</f>
        <v>50438846</v>
      </c>
      <c r="G44" s="141"/>
    </row>
    <row r="45" spans="1:7" s="22" customFormat="1" x14ac:dyDescent="0.35">
      <c r="A45" s="170"/>
      <c r="B45" s="170"/>
      <c r="C45" s="170"/>
      <c r="D45" s="170"/>
      <c r="G45" s="140"/>
    </row>
    <row r="46" spans="1:7" s="22" customFormat="1" x14ac:dyDescent="0.35">
      <c r="A46" s="155">
        <v>26</v>
      </c>
      <c r="B46" s="478" t="s">
        <v>898</v>
      </c>
      <c r="C46" s="478"/>
      <c r="D46" s="157">
        <f>'Schedule 5 Adjustments'!F45</f>
        <v>50438846</v>
      </c>
      <c r="G46" s="140"/>
    </row>
    <row r="47" spans="1:7" s="22" customFormat="1" ht="15.5" x14ac:dyDescent="0.35">
      <c r="A47" s="155">
        <v>27</v>
      </c>
      <c r="B47" s="478" t="s">
        <v>10</v>
      </c>
      <c r="C47" s="478"/>
      <c r="D47" s="169">
        <f>D44-D46</f>
        <v>0</v>
      </c>
      <c r="E47" s="33" t="str">
        <f>IF(ABS(D47)&gt;1,"Error - This variance should be 0.","")</f>
        <v/>
      </c>
      <c r="G47" s="140"/>
    </row>
  </sheetData>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20">
    <mergeCell ref="B36:C36"/>
    <mergeCell ref="B10:C10"/>
    <mergeCell ref="A12:D12"/>
    <mergeCell ref="B13:C13"/>
    <mergeCell ref="B14:C14"/>
    <mergeCell ref="B19:C19"/>
    <mergeCell ref="B20:C20"/>
    <mergeCell ref="A22:D22"/>
    <mergeCell ref="B23:C23"/>
    <mergeCell ref="B28:C28"/>
    <mergeCell ref="A30:D30"/>
    <mergeCell ref="B31:C31"/>
    <mergeCell ref="B46:C46"/>
    <mergeCell ref="B47:C47"/>
    <mergeCell ref="A38:D38"/>
    <mergeCell ref="B39:C39"/>
    <mergeCell ref="B40:C40"/>
    <mergeCell ref="B41:C41"/>
    <mergeCell ref="B42:C42"/>
    <mergeCell ref="B44:C4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rgb="FF9CC5CA"/>
  </sheetPr>
  <dimension ref="A1:S103"/>
  <sheetViews>
    <sheetView workbookViewId="0"/>
  </sheetViews>
  <sheetFormatPr defaultRowHeight="14.5" x14ac:dyDescent="0.35"/>
  <cols>
    <col min="2" max="2" width="15.81640625" customWidth="1"/>
    <col min="3" max="3" width="43.81640625" customWidth="1"/>
    <col min="4" max="4" width="12.26953125" customWidth="1"/>
    <col min="5" max="10" width="20.26953125" customWidth="1"/>
    <col min="11" max="11" width="3" customWidth="1"/>
    <col min="12" max="12" width="9.1796875" customWidth="1"/>
    <col min="13" max="13" width="33.26953125" style="48" customWidth="1"/>
    <col min="14" max="14" width="30.26953125" customWidth="1"/>
    <col min="15" max="15" width="23.54296875" customWidth="1"/>
  </cols>
  <sheetData>
    <row r="1" spans="1:19" ht="26" x14ac:dyDescent="0.6">
      <c r="A1" s="3" t="s">
        <v>774</v>
      </c>
    </row>
    <row r="2" spans="1:19" ht="21" x14ac:dyDescent="0.5">
      <c r="A2" s="2" t="s">
        <v>772</v>
      </c>
      <c r="N2" s="40"/>
      <c r="O2" s="40"/>
      <c r="P2" s="40"/>
      <c r="Q2" s="40"/>
      <c r="R2" s="40"/>
      <c r="S2" s="40"/>
    </row>
    <row r="3" spans="1:19" ht="25" customHeight="1" x14ac:dyDescent="0.5">
      <c r="A3" s="5" t="s">
        <v>762</v>
      </c>
      <c r="M3" s="130"/>
      <c r="N3" s="130"/>
      <c r="O3" s="130"/>
      <c r="P3" s="40"/>
      <c r="Q3" s="40"/>
      <c r="R3" s="40"/>
      <c r="S3" s="40"/>
    </row>
    <row r="4" spans="1:19" x14ac:dyDescent="0.35">
      <c r="F4" s="36"/>
      <c r="M4" s="40"/>
      <c r="N4" s="40"/>
      <c r="O4" s="40"/>
      <c r="P4" s="40"/>
      <c r="Q4" s="40"/>
      <c r="R4" s="40"/>
      <c r="S4" s="40"/>
    </row>
    <row r="5" spans="1:19" x14ac:dyDescent="0.35">
      <c r="A5" s="1" t="s">
        <v>773</v>
      </c>
      <c r="C5" s="421"/>
      <c r="F5" s="48"/>
      <c r="M5" s="40"/>
      <c r="N5" s="40"/>
      <c r="O5" s="40"/>
      <c r="P5" s="40"/>
      <c r="Q5" s="40"/>
      <c r="R5" s="40"/>
      <c r="S5" s="40"/>
    </row>
    <row r="6" spans="1:19" x14ac:dyDescent="0.35">
      <c r="A6" s="1" t="s">
        <v>0</v>
      </c>
      <c r="C6" s="35">
        <v>45473</v>
      </c>
      <c r="F6" s="40"/>
      <c r="M6" s="40"/>
      <c r="N6" s="40"/>
      <c r="O6" s="40"/>
      <c r="P6" s="40"/>
      <c r="Q6" s="40"/>
      <c r="R6" s="40"/>
      <c r="S6" s="40"/>
    </row>
    <row r="7" spans="1:19" s="1" customFormat="1" x14ac:dyDescent="0.35">
      <c r="E7"/>
      <c r="F7"/>
      <c r="G7" s="48"/>
      <c r="H7"/>
      <c r="M7" s="40"/>
      <c r="N7" s="40"/>
      <c r="O7" s="40"/>
      <c r="P7" s="40"/>
      <c r="Q7" s="40"/>
      <c r="R7" s="40"/>
      <c r="S7" s="40"/>
    </row>
    <row r="8" spans="1:19" x14ac:dyDescent="0.35">
      <c r="D8" s="23">
        <v>1</v>
      </c>
      <c r="E8" s="23">
        <v>2</v>
      </c>
      <c r="F8" s="23">
        <v>3</v>
      </c>
      <c r="G8" s="23">
        <v>4</v>
      </c>
      <c r="H8" s="23">
        <v>5</v>
      </c>
      <c r="I8" s="23">
        <v>6</v>
      </c>
      <c r="J8" s="23">
        <v>7</v>
      </c>
      <c r="M8" s="40"/>
      <c r="N8" s="40"/>
      <c r="O8" s="40"/>
      <c r="P8" s="40"/>
      <c r="Q8" s="40"/>
      <c r="R8" s="40"/>
      <c r="S8" s="40"/>
    </row>
    <row r="9" spans="1:19" s="6" customFormat="1" ht="101.5" x14ac:dyDescent="0.35">
      <c r="A9" s="97"/>
      <c r="B9" s="492" t="s">
        <v>1</v>
      </c>
      <c r="C9" s="492"/>
      <c r="D9" s="151" t="s">
        <v>7</v>
      </c>
      <c r="E9" s="151" t="s">
        <v>6</v>
      </c>
      <c r="F9" s="151" t="s">
        <v>485</v>
      </c>
      <c r="G9" s="151" t="s">
        <v>776</v>
      </c>
      <c r="H9" s="151" t="s">
        <v>486</v>
      </c>
      <c r="I9" s="151" t="s">
        <v>9</v>
      </c>
      <c r="J9" s="151" t="s">
        <v>8</v>
      </c>
      <c r="M9" s="129"/>
      <c r="N9" s="129"/>
      <c r="O9" s="129"/>
      <c r="P9" s="129"/>
      <c r="Q9" s="129"/>
      <c r="R9" s="129"/>
      <c r="S9" s="129"/>
    </row>
    <row r="10" spans="1:19" s="6" customFormat="1" x14ac:dyDescent="0.35">
      <c r="A10" s="97"/>
      <c r="B10" s="152"/>
      <c r="C10" s="153"/>
      <c r="D10" s="154"/>
      <c r="E10" s="154"/>
      <c r="F10" s="154"/>
      <c r="G10" s="154"/>
      <c r="H10" s="154"/>
      <c r="I10" s="154"/>
      <c r="J10" s="154"/>
      <c r="M10" s="129"/>
      <c r="N10" s="129"/>
      <c r="O10" s="129"/>
      <c r="P10" s="129"/>
      <c r="Q10" s="129"/>
      <c r="R10" s="129"/>
      <c r="S10" s="129"/>
    </row>
    <row r="11" spans="1:19" s="22" customFormat="1" x14ac:dyDescent="0.35">
      <c r="A11" s="488" t="s">
        <v>280</v>
      </c>
      <c r="B11" s="489"/>
      <c r="C11" s="489"/>
      <c r="D11" s="489"/>
      <c r="E11" s="489"/>
      <c r="F11" s="489"/>
      <c r="G11" s="489"/>
      <c r="H11" s="489"/>
      <c r="I11" s="489"/>
      <c r="J11" s="490"/>
      <c r="M11" s="128"/>
      <c r="N11" s="128"/>
      <c r="O11" s="128"/>
      <c r="P11" s="128"/>
      <c r="Q11" s="128"/>
      <c r="R11" s="128"/>
      <c r="S11" s="128"/>
    </row>
    <row r="12" spans="1:19" s="22" customFormat="1" x14ac:dyDescent="0.35">
      <c r="A12" s="155">
        <v>1</v>
      </c>
      <c r="B12" s="479" t="s">
        <v>458</v>
      </c>
      <c r="C12" s="481"/>
      <c r="D12" s="150">
        <v>4</v>
      </c>
      <c r="E12" s="150">
        <v>0</v>
      </c>
      <c r="F12" s="150">
        <v>1252517.6711216203</v>
      </c>
      <c r="G12" s="150">
        <v>0</v>
      </c>
      <c r="H12" s="150">
        <v>0</v>
      </c>
      <c r="I12" s="150">
        <v>0</v>
      </c>
      <c r="J12" s="158">
        <f>SUM(E12:I12)</f>
        <v>1252517.6711216203</v>
      </c>
      <c r="M12" s="140"/>
    </row>
    <row r="13" spans="1:19" s="22" customFormat="1" x14ac:dyDescent="0.35">
      <c r="A13" s="155">
        <v>2</v>
      </c>
      <c r="B13" s="479" t="s">
        <v>291</v>
      </c>
      <c r="C13" s="481"/>
      <c r="D13" s="150">
        <v>129</v>
      </c>
      <c r="E13" s="150">
        <v>142862.00714314927</v>
      </c>
      <c r="F13" s="150">
        <v>10372518.064588582</v>
      </c>
      <c r="G13" s="150">
        <v>940574.00711593369</v>
      </c>
      <c r="H13" s="150">
        <v>25800.351698746534</v>
      </c>
      <c r="I13" s="150">
        <v>0</v>
      </c>
      <c r="J13" s="158">
        <f>SUM(E13:I13)</f>
        <v>11481754.430546412</v>
      </c>
      <c r="M13" s="140"/>
    </row>
    <row r="14" spans="1:19" s="22" customFormat="1" x14ac:dyDescent="0.35">
      <c r="A14" s="155">
        <v>3</v>
      </c>
      <c r="B14" s="479" t="s">
        <v>301</v>
      </c>
      <c r="C14" s="481"/>
      <c r="D14" s="150">
        <v>207.62416666666661</v>
      </c>
      <c r="E14" s="150">
        <v>0</v>
      </c>
      <c r="F14" s="150">
        <v>7568591.0528414752</v>
      </c>
      <c r="G14" s="150">
        <v>971995.66099046753</v>
      </c>
      <c r="H14" s="150">
        <v>102845.8952354432</v>
      </c>
      <c r="I14" s="150">
        <v>0</v>
      </c>
      <c r="J14" s="158">
        <f>SUM(E14:I14)</f>
        <v>8643432.609067386</v>
      </c>
      <c r="M14" s="140"/>
    </row>
    <row r="15" spans="1:19" s="22" customFormat="1" x14ac:dyDescent="0.35">
      <c r="A15" s="155">
        <v>4</v>
      </c>
      <c r="B15" s="485" t="s">
        <v>290</v>
      </c>
      <c r="C15" s="487"/>
      <c r="D15" s="159">
        <f t="shared" ref="D15:I15" si="0">SUM(D12:D14)</f>
        <v>340.62416666666661</v>
      </c>
      <c r="E15" s="160">
        <f t="shared" si="0"/>
        <v>142862.00714314927</v>
      </c>
      <c r="F15" s="160">
        <f t="shared" si="0"/>
        <v>19193626.788551677</v>
      </c>
      <c r="G15" s="160">
        <f t="shared" si="0"/>
        <v>1912569.6681064013</v>
      </c>
      <c r="H15" s="160">
        <f t="shared" si="0"/>
        <v>128646.24693418972</v>
      </c>
      <c r="I15" s="160">
        <f t="shared" si="0"/>
        <v>0</v>
      </c>
      <c r="J15" s="160">
        <f>SUM(E15:I15)</f>
        <v>21377704.710735418</v>
      </c>
      <c r="M15" s="140"/>
    </row>
    <row r="16" spans="1:19" s="22" customFormat="1" x14ac:dyDescent="0.35">
      <c r="A16" s="161"/>
      <c r="B16" s="162"/>
      <c r="C16" s="162"/>
      <c r="D16" s="163"/>
      <c r="E16" s="164"/>
      <c r="F16" s="164"/>
      <c r="G16" s="164"/>
      <c r="H16" s="164"/>
      <c r="I16" s="164"/>
      <c r="J16" s="164"/>
      <c r="M16" s="140"/>
    </row>
    <row r="17" spans="1:13" s="22" customFormat="1" x14ac:dyDescent="0.35">
      <c r="A17" s="488" t="s">
        <v>281</v>
      </c>
      <c r="B17" s="489"/>
      <c r="C17" s="489"/>
      <c r="D17" s="489"/>
      <c r="E17" s="489"/>
      <c r="F17" s="489"/>
      <c r="G17" s="489"/>
      <c r="H17" s="489"/>
      <c r="I17" s="489"/>
      <c r="J17" s="490"/>
      <c r="M17" s="140"/>
    </row>
    <row r="18" spans="1:13" s="22" customFormat="1" x14ac:dyDescent="0.35">
      <c r="A18" s="155">
        <v>5</v>
      </c>
      <c r="B18" s="479" t="s">
        <v>221</v>
      </c>
      <c r="C18" s="481"/>
      <c r="D18" s="150">
        <v>6</v>
      </c>
      <c r="E18" s="150">
        <v>1379125.538542239</v>
      </c>
      <c r="F18" s="150">
        <v>254065.66526232229</v>
      </c>
      <c r="G18" s="150">
        <v>0</v>
      </c>
      <c r="H18" s="150">
        <v>0</v>
      </c>
      <c r="I18" s="150">
        <v>0</v>
      </c>
      <c r="J18" s="158">
        <f>SUM(E18:I18)</f>
        <v>1633191.2038045614</v>
      </c>
      <c r="M18" s="140"/>
    </row>
    <row r="19" spans="1:13" s="22" customFormat="1" x14ac:dyDescent="0.35">
      <c r="A19" s="155">
        <v>6</v>
      </c>
      <c r="B19" s="479" t="s">
        <v>293</v>
      </c>
      <c r="C19" s="481"/>
      <c r="D19" s="150">
        <v>65.322499999999991</v>
      </c>
      <c r="E19" s="150">
        <v>3984691.4543146109</v>
      </c>
      <c r="F19" s="150">
        <v>3673179.5461859996</v>
      </c>
      <c r="G19" s="150">
        <v>37087.331893598843</v>
      </c>
      <c r="H19" s="150">
        <v>12280.753065810261</v>
      </c>
      <c r="I19" s="150">
        <v>0</v>
      </c>
      <c r="J19" s="158">
        <f>SUM(E19:I19)</f>
        <v>7707239.0854600193</v>
      </c>
      <c r="M19" s="140"/>
    </row>
    <row r="20" spans="1:13" s="22" customFormat="1" x14ac:dyDescent="0.35">
      <c r="A20" s="155">
        <v>7</v>
      </c>
      <c r="B20" s="485" t="s">
        <v>220</v>
      </c>
      <c r="C20" s="487"/>
      <c r="D20" s="159">
        <f t="shared" ref="D20:I20" si="1">SUM(D18:D19)</f>
        <v>71.322499999999991</v>
      </c>
      <c r="E20" s="160">
        <f t="shared" si="1"/>
        <v>5363816.9928568499</v>
      </c>
      <c r="F20" s="160">
        <f t="shared" si="1"/>
        <v>3927245.2114483221</v>
      </c>
      <c r="G20" s="160">
        <f t="shared" si="1"/>
        <v>37087.331893598843</v>
      </c>
      <c r="H20" s="160">
        <f t="shared" si="1"/>
        <v>12280.753065810261</v>
      </c>
      <c r="I20" s="160">
        <f t="shared" si="1"/>
        <v>0</v>
      </c>
      <c r="J20" s="160">
        <f>SUM(E20:I20)</f>
        <v>9340430.2892645802</v>
      </c>
      <c r="M20" s="140"/>
    </row>
    <row r="21" spans="1:13" s="22" customFormat="1" x14ac:dyDescent="0.35">
      <c r="A21" s="161"/>
      <c r="B21" s="162"/>
      <c r="C21" s="162"/>
      <c r="D21" s="163"/>
      <c r="E21" s="164"/>
      <c r="F21" s="164"/>
      <c r="G21" s="164"/>
      <c r="H21" s="164"/>
      <c r="I21" s="164"/>
      <c r="J21" s="164"/>
      <c r="M21" s="140"/>
    </row>
    <row r="22" spans="1:13" s="22" customFormat="1" x14ac:dyDescent="0.35">
      <c r="A22" s="488" t="s">
        <v>275</v>
      </c>
      <c r="B22" s="489"/>
      <c r="C22" s="489"/>
      <c r="D22" s="489"/>
      <c r="E22" s="489"/>
      <c r="F22" s="489"/>
      <c r="G22" s="489"/>
      <c r="H22" s="489"/>
      <c r="I22" s="489"/>
      <c r="J22" s="490"/>
      <c r="M22" s="140"/>
    </row>
    <row r="23" spans="1:13" s="22" customFormat="1" x14ac:dyDescent="0.35">
      <c r="A23" s="155">
        <v>8</v>
      </c>
      <c r="B23" s="479" t="s">
        <v>276</v>
      </c>
      <c r="C23" s="480"/>
      <c r="D23" s="481"/>
      <c r="E23" s="165">
        <f>'As-Filed Schedule 1A'!H27*-1</f>
        <v>0</v>
      </c>
      <c r="F23" s="165">
        <f>'As-Filed Schedule 1A'!H28*-1</f>
        <v>0</v>
      </c>
      <c r="G23" s="165">
        <f>-'As-Filed Schedule 1A'!H29</f>
        <v>0</v>
      </c>
      <c r="H23" s="165">
        <f>-'As-Filed Schedule 1A'!H30</f>
        <v>0</v>
      </c>
      <c r="I23" s="165">
        <f>-SUM(E23:H23)</f>
        <v>0</v>
      </c>
      <c r="J23" s="158">
        <f>SUM(E23:I23)</f>
        <v>0</v>
      </c>
      <c r="M23" s="140"/>
    </row>
    <row r="24" spans="1:13" s="22" customFormat="1" x14ac:dyDescent="0.35">
      <c r="A24" s="155">
        <v>9</v>
      </c>
      <c r="B24" s="485" t="s">
        <v>222</v>
      </c>
      <c r="C24" s="486"/>
      <c r="D24" s="487"/>
      <c r="E24" s="160">
        <f>SUM(E23:E23)</f>
        <v>0</v>
      </c>
      <c r="F24" s="160">
        <f>SUM(F23:F23)</f>
        <v>0</v>
      </c>
      <c r="G24" s="160">
        <f>SUM(G23:G23)</f>
        <v>0</v>
      </c>
      <c r="H24" s="160">
        <f>SUM(H23:H23)</f>
        <v>0</v>
      </c>
      <c r="I24" s="160">
        <f>SUM(I23:I23)</f>
        <v>0</v>
      </c>
      <c r="J24" s="160">
        <f>SUM(E24:I24)</f>
        <v>0</v>
      </c>
      <c r="M24" s="140"/>
    </row>
    <row r="25" spans="1:13" s="22" customFormat="1" x14ac:dyDescent="0.35">
      <c r="A25" s="161"/>
      <c r="B25" s="162"/>
      <c r="C25" s="162"/>
      <c r="D25" s="163"/>
      <c r="E25" s="164"/>
      <c r="F25" s="164"/>
      <c r="G25" s="164"/>
      <c r="H25" s="164"/>
      <c r="I25" s="164"/>
      <c r="J25" s="164"/>
      <c r="M25" s="140"/>
    </row>
    <row r="26" spans="1:13" s="22" customFormat="1" x14ac:dyDescent="0.35">
      <c r="A26" s="488" t="s">
        <v>235</v>
      </c>
      <c r="B26" s="489"/>
      <c r="C26" s="489"/>
      <c r="D26" s="489"/>
      <c r="E26" s="489"/>
      <c r="F26" s="489"/>
      <c r="G26" s="489"/>
      <c r="H26" s="489"/>
      <c r="I26" s="489"/>
      <c r="J26" s="490"/>
      <c r="M26" s="140"/>
    </row>
    <row r="27" spans="1:13" s="22" customFormat="1" x14ac:dyDescent="0.35">
      <c r="A27" s="155">
        <v>10</v>
      </c>
      <c r="B27" s="479" t="s">
        <v>224</v>
      </c>
      <c r="C27" s="480"/>
      <c r="D27" s="481"/>
      <c r="E27" s="150">
        <v>108369</v>
      </c>
      <c r="F27" s="150">
        <v>29467</v>
      </c>
      <c r="G27" s="150">
        <v>315</v>
      </c>
      <c r="H27" s="150">
        <v>0</v>
      </c>
      <c r="I27" s="150">
        <v>0</v>
      </c>
      <c r="J27" s="158">
        <f>SUM(E27:I27)</f>
        <v>138151</v>
      </c>
      <c r="M27" s="140"/>
    </row>
    <row r="28" spans="1:13" s="22" customFormat="1" x14ac:dyDescent="0.35">
      <c r="A28" s="166">
        <v>11</v>
      </c>
      <c r="B28" s="173" t="s">
        <v>223</v>
      </c>
      <c r="C28" s="167"/>
      <c r="D28" s="168"/>
      <c r="E28" s="150">
        <v>1584874</v>
      </c>
      <c r="F28" s="150">
        <v>6006423</v>
      </c>
      <c r="G28" s="150">
        <v>467047</v>
      </c>
      <c r="H28" s="150">
        <v>30917</v>
      </c>
      <c r="I28" s="150">
        <v>0</v>
      </c>
      <c r="J28" s="158">
        <f>SUM(E28:I28)</f>
        <v>8089261</v>
      </c>
      <c r="K28" s="128"/>
      <c r="M28" s="140"/>
    </row>
    <row r="29" spans="1:13" s="22" customFormat="1" x14ac:dyDescent="0.35">
      <c r="A29" s="155">
        <v>12</v>
      </c>
      <c r="B29" s="479" t="s">
        <v>300</v>
      </c>
      <c r="C29" s="480"/>
      <c r="D29" s="481"/>
      <c r="E29" s="150">
        <v>206198</v>
      </c>
      <c r="F29" s="150">
        <v>114168</v>
      </c>
      <c r="G29" s="150">
        <v>4582</v>
      </c>
      <c r="H29" s="150">
        <v>0</v>
      </c>
      <c r="I29" s="150">
        <v>0</v>
      </c>
      <c r="J29" s="158">
        <f t="shared" ref="J29" si="2">SUM(E29:I29)</f>
        <v>324948</v>
      </c>
      <c r="M29" s="140"/>
    </row>
    <row r="30" spans="1:13" s="22" customFormat="1" x14ac:dyDescent="0.35">
      <c r="A30" s="155">
        <v>13</v>
      </c>
      <c r="B30" s="485" t="s">
        <v>225</v>
      </c>
      <c r="C30" s="486"/>
      <c r="D30" s="487"/>
      <c r="E30" s="160">
        <f>SUM(E27:E29)</f>
        <v>1899441</v>
      </c>
      <c r="F30" s="160">
        <f>SUM(F27:F29)</f>
        <v>6150058</v>
      </c>
      <c r="G30" s="160">
        <f>SUM(G27:G29)</f>
        <v>471944</v>
      </c>
      <c r="H30" s="160">
        <f>SUM(H27:H29)</f>
        <v>30917</v>
      </c>
      <c r="I30" s="160">
        <f>SUM(I27:I29)</f>
        <v>0</v>
      </c>
      <c r="J30" s="160">
        <f>SUM(E30:I30)</f>
        <v>8552360</v>
      </c>
      <c r="M30" s="140"/>
    </row>
    <row r="31" spans="1:13" s="22" customFormat="1" x14ac:dyDescent="0.35">
      <c r="A31" s="161"/>
      <c r="B31" s="162"/>
      <c r="C31" s="162"/>
      <c r="D31" s="163"/>
      <c r="E31" s="164"/>
      <c r="F31" s="164"/>
      <c r="G31" s="164"/>
      <c r="H31" s="164"/>
      <c r="I31" s="164"/>
      <c r="J31" s="164"/>
      <c r="M31" s="140"/>
    </row>
    <row r="32" spans="1:13" s="22" customFormat="1" x14ac:dyDescent="0.35">
      <c r="A32" s="155">
        <v>14</v>
      </c>
      <c r="B32" s="485" t="s">
        <v>228</v>
      </c>
      <c r="C32" s="486"/>
      <c r="D32" s="487"/>
      <c r="E32" s="160">
        <f>E30+E24+E20+E15</f>
        <v>7406119.9999999991</v>
      </c>
      <c r="F32" s="160">
        <f>F30+F24+F20+F15</f>
        <v>29270930</v>
      </c>
      <c r="G32" s="160">
        <f>G30+G24+G20+G15</f>
        <v>2421601</v>
      </c>
      <c r="H32" s="160">
        <f>H30+H24+H20+H15</f>
        <v>171844</v>
      </c>
      <c r="I32" s="160">
        <f>I30+I24+I20+I15</f>
        <v>0</v>
      </c>
      <c r="J32" s="160">
        <f t="shared" ref="J32" si="3">SUM(E32:I32)</f>
        <v>39270495</v>
      </c>
      <c r="M32" s="140"/>
    </row>
    <row r="33" spans="1:13" s="22" customFormat="1" x14ac:dyDescent="0.35">
      <c r="A33" s="161"/>
      <c r="B33" s="162"/>
      <c r="C33" s="162"/>
      <c r="D33" s="163"/>
      <c r="E33" s="164"/>
      <c r="F33" s="164"/>
      <c r="G33" s="164"/>
      <c r="H33" s="164"/>
      <c r="I33" s="164"/>
      <c r="J33" s="164"/>
      <c r="M33" s="140"/>
    </row>
    <row r="34" spans="1:13" s="22" customFormat="1" x14ac:dyDescent="0.35">
      <c r="A34" s="488" t="s">
        <v>234</v>
      </c>
      <c r="B34" s="489"/>
      <c r="C34" s="489"/>
      <c r="D34" s="489"/>
      <c r="E34" s="489"/>
      <c r="F34" s="489"/>
      <c r="G34" s="489"/>
      <c r="H34" s="489"/>
      <c r="I34" s="489"/>
      <c r="J34" s="490"/>
      <c r="M34" s="140"/>
    </row>
    <row r="35" spans="1:13" s="22" customFormat="1" x14ac:dyDescent="0.35">
      <c r="A35" s="155">
        <v>15</v>
      </c>
      <c r="B35" s="479" t="s">
        <v>292</v>
      </c>
      <c r="C35" s="480"/>
      <c r="D35" s="481"/>
      <c r="E35" s="150">
        <v>0</v>
      </c>
      <c r="F35" s="150">
        <v>83095</v>
      </c>
      <c r="G35" s="150">
        <v>5941</v>
      </c>
      <c r="H35" s="150">
        <v>0</v>
      </c>
      <c r="I35" s="150">
        <v>0</v>
      </c>
      <c r="J35" s="158">
        <f>SUM(E35:I35)</f>
        <v>89036</v>
      </c>
      <c r="M35" s="140"/>
    </row>
    <row r="36" spans="1:13" s="22" customFormat="1" x14ac:dyDescent="0.35">
      <c r="A36" s="155">
        <v>16</v>
      </c>
      <c r="B36" s="479" t="s">
        <v>227</v>
      </c>
      <c r="C36" s="480"/>
      <c r="D36" s="481"/>
      <c r="E36" s="150">
        <v>182899</v>
      </c>
      <c r="F36" s="150">
        <v>30197</v>
      </c>
      <c r="G36" s="150">
        <v>11215</v>
      </c>
      <c r="H36" s="150">
        <v>0</v>
      </c>
      <c r="I36" s="150">
        <v>0</v>
      </c>
      <c r="J36" s="158">
        <f>SUM(E36:I36)</f>
        <v>224311</v>
      </c>
    </row>
    <row r="37" spans="1:13" s="22" customFormat="1" x14ac:dyDescent="0.35">
      <c r="A37" s="155">
        <v>17</v>
      </c>
      <c r="B37" s="173" t="s">
        <v>459</v>
      </c>
      <c r="C37" s="167"/>
      <c r="D37" s="168"/>
      <c r="E37" s="150">
        <v>0</v>
      </c>
      <c r="F37" s="150">
        <v>0</v>
      </c>
      <c r="G37" s="150">
        <v>0</v>
      </c>
      <c r="H37" s="150">
        <v>0</v>
      </c>
      <c r="I37" s="150">
        <v>0</v>
      </c>
      <c r="J37" s="158">
        <f>SUM(E37:I37)</f>
        <v>0</v>
      </c>
      <c r="K37" s="128"/>
    </row>
    <row r="38" spans="1:13" s="22" customFormat="1" x14ac:dyDescent="0.35">
      <c r="A38" s="155">
        <v>18</v>
      </c>
      <c r="B38" s="485" t="s">
        <v>226</v>
      </c>
      <c r="C38" s="486"/>
      <c r="D38" s="487"/>
      <c r="E38" s="160">
        <f>SUM(E35:E37)</f>
        <v>182899</v>
      </c>
      <c r="F38" s="160">
        <f t="shared" ref="F38:I38" si="4">SUM(F35:F37)</f>
        <v>113292</v>
      </c>
      <c r="G38" s="160">
        <f t="shared" si="4"/>
        <v>17156</v>
      </c>
      <c r="H38" s="160">
        <f t="shared" si="4"/>
        <v>0</v>
      </c>
      <c r="I38" s="160">
        <f t="shared" si="4"/>
        <v>0</v>
      </c>
      <c r="J38" s="160">
        <f>SUM(E38:I38)</f>
        <v>313347</v>
      </c>
      <c r="M38" s="140"/>
    </row>
    <row r="39" spans="1:13" s="22" customFormat="1" x14ac:dyDescent="0.35">
      <c r="A39" s="161"/>
      <c r="B39" s="162"/>
      <c r="C39" s="162"/>
      <c r="D39" s="163"/>
      <c r="E39" s="164"/>
      <c r="F39" s="164"/>
      <c r="G39" s="164"/>
      <c r="H39" s="164"/>
      <c r="I39" s="164"/>
      <c r="J39" s="164"/>
      <c r="M39" s="140"/>
    </row>
    <row r="40" spans="1:13" s="22" customFormat="1" x14ac:dyDescent="0.35">
      <c r="A40" s="155">
        <v>19</v>
      </c>
      <c r="B40" s="485" t="s">
        <v>229</v>
      </c>
      <c r="C40" s="486"/>
      <c r="D40" s="487"/>
      <c r="E40" s="160">
        <f>E38+E32</f>
        <v>7589018.9999999991</v>
      </c>
      <c r="F40" s="160">
        <f>F38+F32</f>
        <v>29384222</v>
      </c>
      <c r="G40" s="160">
        <f>G38+G32</f>
        <v>2438757</v>
      </c>
      <c r="H40" s="160">
        <f>H38+H32</f>
        <v>171844</v>
      </c>
      <c r="I40" s="160">
        <f>I38+I32</f>
        <v>0</v>
      </c>
      <c r="J40" s="160">
        <f>SUM(E40:I40)</f>
        <v>39583842</v>
      </c>
      <c r="M40" s="140"/>
    </row>
    <row r="41" spans="1:13" s="22" customFormat="1" x14ac:dyDescent="0.35">
      <c r="A41" s="161"/>
      <c r="B41" s="162"/>
      <c r="C41" s="162"/>
      <c r="D41" s="163"/>
      <c r="E41" s="164"/>
      <c r="F41" s="164"/>
      <c r="G41" s="164"/>
      <c r="H41" s="164"/>
      <c r="I41" s="164"/>
      <c r="J41" s="164"/>
      <c r="M41" s="140"/>
    </row>
    <row r="42" spans="1:13" s="22" customFormat="1" x14ac:dyDescent="0.35">
      <c r="A42" s="488" t="s">
        <v>487</v>
      </c>
      <c r="B42" s="489"/>
      <c r="C42" s="489"/>
      <c r="D42" s="489"/>
      <c r="E42" s="489"/>
      <c r="F42" s="489"/>
      <c r="G42" s="489"/>
      <c r="H42" s="489"/>
      <c r="I42" s="489"/>
      <c r="J42" s="490"/>
      <c r="M42" s="140"/>
    </row>
    <row r="43" spans="1:13" s="22" customFormat="1" x14ac:dyDescent="0.35">
      <c r="A43" s="155">
        <v>20</v>
      </c>
      <c r="B43" s="479" t="s">
        <v>283</v>
      </c>
      <c r="C43" s="480"/>
      <c r="D43" s="481"/>
      <c r="E43" s="150">
        <v>0</v>
      </c>
      <c r="F43" s="150">
        <v>29787</v>
      </c>
      <c r="G43" s="150">
        <v>515</v>
      </c>
      <c r="H43" s="150">
        <v>0</v>
      </c>
      <c r="I43" s="150">
        <v>0</v>
      </c>
      <c r="J43" s="158">
        <f>SUM(E43:I43)</f>
        <v>30302</v>
      </c>
      <c r="M43" s="140"/>
    </row>
    <row r="44" spans="1:13" s="22" customFormat="1" x14ac:dyDescent="0.35">
      <c r="A44" s="155">
        <v>21</v>
      </c>
      <c r="B44" s="479" t="s">
        <v>230</v>
      </c>
      <c r="C44" s="480"/>
      <c r="D44" s="481"/>
      <c r="E44" s="150">
        <v>0</v>
      </c>
      <c r="F44" s="150">
        <v>120043</v>
      </c>
      <c r="G44" s="150">
        <v>15</v>
      </c>
      <c r="H44" s="150">
        <v>0</v>
      </c>
      <c r="I44" s="150">
        <v>0</v>
      </c>
      <c r="J44" s="158">
        <f t="shared" ref="J44:J50" si="5">SUM(E44:I44)</f>
        <v>120058</v>
      </c>
      <c r="M44" s="140"/>
    </row>
    <row r="45" spans="1:13" s="22" customFormat="1" x14ac:dyDescent="0.35">
      <c r="A45" s="155">
        <v>22</v>
      </c>
      <c r="B45" s="479" t="s">
        <v>288</v>
      </c>
      <c r="C45" s="480"/>
      <c r="D45" s="481"/>
      <c r="E45" s="150">
        <v>0</v>
      </c>
      <c r="F45" s="150">
        <v>157927.82</v>
      </c>
      <c r="G45" s="150">
        <v>53797</v>
      </c>
      <c r="H45" s="150">
        <v>0</v>
      </c>
      <c r="I45" s="150">
        <v>0</v>
      </c>
      <c r="J45" s="158">
        <f t="shared" si="5"/>
        <v>211724.82</v>
      </c>
      <c r="M45" s="140"/>
    </row>
    <row r="46" spans="1:13" s="22" customFormat="1" x14ac:dyDescent="0.35">
      <c r="A46" s="155">
        <v>23</v>
      </c>
      <c r="B46" s="479" t="s">
        <v>284</v>
      </c>
      <c r="C46" s="480"/>
      <c r="D46" s="481"/>
      <c r="E46" s="150">
        <v>0</v>
      </c>
      <c r="F46" s="150">
        <v>34060</v>
      </c>
      <c r="G46" s="150">
        <v>4277</v>
      </c>
      <c r="H46" s="150">
        <v>17</v>
      </c>
      <c r="I46" s="150">
        <v>0</v>
      </c>
      <c r="J46" s="158">
        <f t="shared" si="5"/>
        <v>38354</v>
      </c>
      <c r="M46" s="140"/>
    </row>
    <row r="47" spans="1:13" s="22" customFormat="1" x14ac:dyDescent="0.35">
      <c r="A47" s="155">
        <v>24</v>
      </c>
      <c r="B47" s="479" t="s">
        <v>314</v>
      </c>
      <c r="C47" s="480"/>
      <c r="D47" s="481"/>
      <c r="E47" s="150">
        <v>0</v>
      </c>
      <c r="F47" s="150">
        <v>0</v>
      </c>
      <c r="G47" s="150">
        <v>0</v>
      </c>
      <c r="H47" s="150">
        <v>139574</v>
      </c>
      <c r="I47" s="150">
        <v>0</v>
      </c>
      <c r="J47" s="158">
        <f t="shared" si="5"/>
        <v>139574</v>
      </c>
      <c r="M47" s="140"/>
    </row>
    <row r="48" spans="1:13" s="22" customFormat="1" x14ac:dyDescent="0.35">
      <c r="A48" s="155">
        <v>25</v>
      </c>
      <c r="B48" s="479" t="s">
        <v>775</v>
      </c>
      <c r="C48" s="480"/>
      <c r="D48" s="481"/>
      <c r="E48" s="150">
        <v>0</v>
      </c>
      <c r="F48" s="150">
        <v>0</v>
      </c>
      <c r="G48" s="150">
        <v>0</v>
      </c>
      <c r="H48" s="150">
        <v>0</v>
      </c>
      <c r="I48" s="150">
        <v>0</v>
      </c>
      <c r="J48" s="158">
        <f>SUM(E48:I48)</f>
        <v>0</v>
      </c>
      <c r="M48" s="140"/>
    </row>
    <row r="49" spans="1:13" s="22" customFormat="1" x14ac:dyDescent="0.35">
      <c r="A49" s="155">
        <v>26</v>
      </c>
      <c r="B49" s="479" t="s">
        <v>452</v>
      </c>
      <c r="C49" s="480"/>
      <c r="D49" s="481"/>
      <c r="E49" s="150">
        <v>0</v>
      </c>
      <c r="F49" s="150">
        <v>154334</v>
      </c>
      <c r="G49" s="150">
        <v>48361</v>
      </c>
      <c r="H49" s="150">
        <v>37296</v>
      </c>
      <c r="I49" s="150">
        <v>0</v>
      </c>
      <c r="J49" s="158">
        <f t="shared" si="5"/>
        <v>239991</v>
      </c>
      <c r="M49" s="140"/>
    </row>
    <row r="50" spans="1:13" s="22" customFormat="1" x14ac:dyDescent="0.35">
      <c r="A50" s="155">
        <v>27</v>
      </c>
      <c r="B50" s="485" t="s">
        <v>238</v>
      </c>
      <c r="C50" s="486"/>
      <c r="D50" s="487"/>
      <c r="E50" s="160">
        <f>SUM(E43:E49)</f>
        <v>0</v>
      </c>
      <c r="F50" s="160">
        <f>SUM(F43:F49)</f>
        <v>496151.82</v>
      </c>
      <c r="G50" s="160">
        <f>SUM(G43:G49)</f>
        <v>106965</v>
      </c>
      <c r="H50" s="160">
        <f>SUM(H43:H49)</f>
        <v>176887</v>
      </c>
      <c r="I50" s="160">
        <f>SUM(I43:I49)</f>
        <v>0</v>
      </c>
      <c r="J50" s="160">
        <f t="shared" si="5"/>
        <v>780003.82000000007</v>
      </c>
      <c r="M50" s="140"/>
    </row>
    <row r="51" spans="1:13" s="22" customFormat="1" x14ac:dyDescent="0.35">
      <c r="A51" s="161"/>
      <c r="B51" s="491"/>
      <c r="C51" s="491"/>
      <c r="D51" s="491"/>
      <c r="E51" s="491"/>
      <c r="F51" s="491"/>
      <c r="G51" s="491"/>
      <c r="H51" s="164"/>
      <c r="I51" s="164"/>
      <c r="J51" s="164"/>
      <c r="M51" s="140"/>
    </row>
    <row r="52" spans="1:13" s="22" customFormat="1" x14ac:dyDescent="0.35">
      <c r="A52" s="488" t="s">
        <v>233</v>
      </c>
      <c r="B52" s="489"/>
      <c r="C52" s="489"/>
      <c r="D52" s="489"/>
      <c r="E52" s="489"/>
      <c r="F52" s="489"/>
      <c r="G52" s="489"/>
      <c r="H52" s="489"/>
      <c r="I52" s="489"/>
      <c r="J52" s="490"/>
      <c r="M52" s="140"/>
    </row>
    <row r="53" spans="1:13" s="22" customFormat="1" x14ac:dyDescent="0.35">
      <c r="A53" s="155">
        <v>28</v>
      </c>
      <c r="B53" s="479" t="s">
        <v>282</v>
      </c>
      <c r="C53" s="480"/>
      <c r="D53" s="481"/>
      <c r="E53" s="150">
        <v>0</v>
      </c>
      <c r="F53" s="150">
        <v>0</v>
      </c>
      <c r="G53" s="150">
        <v>0</v>
      </c>
      <c r="H53" s="150">
        <v>0</v>
      </c>
      <c r="I53" s="150">
        <v>0</v>
      </c>
      <c r="J53" s="158">
        <f>SUM(E53:I53)</f>
        <v>0</v>
      </c>
      <c r="M53" s="140"/>
    </row>
    <row r="54" spans="1:13" s="22" customFormat="1" x14ac:dyDescent="0.35">
      <c r="A54" s="155">
        <v>29</v>
      </c>
      <c r="B54" s="479" t="s">
        <v>294</v>
      </c>
      <c r="C54" s="480"/>
      <c r="D54" s="481"/>
      <c r="E54" s="150">
        <v>171937</v>
      </c>
      <c r="F54" s="150">
        <v>756369</v>
      </c>
      <c r="G54" s="150">
        <v>86270</v>
      </c>
      <c r="H54" s="150">
        <v>4967</v>
      </c>
      <c r="I54" s="150">
        <v>0</v>
      </c>
      <c r="J54" s="158">
        <f>SUM(E54:I54)</f>
        <v>1019543</v>
      </c>
      <c r="M54" s="140"/>
    </row>
    <row r="55" spans="1:13" s="22" customFormat="1" x14ac:dyDescent="0.35">
      <c r="A55" s="155">
        <v>30</v>
      </c>
      <c r="B55" s="479" t="s">
        <v>295</v>
      </c>
      <c r="C55" s="480"/>
      <c r="D55" s="481"/>
      <c r="E55" s="150">
        <v>177638</v>
      </c>
      <c r="F55" s="150">
        <v>196459</v>
      </c>
      <c r="G55" s="150">
        <v>10241</v>
      </c>
      <c r="H55" s="150">
        <v>587</v>
      </c>
      <c r="I55" s="150">
        <v>0</v>
      </c>
      <c r="J55" s="158">
        <f t="shared" ref="J55:J57" si="6">SUM(E55:I55)</f>
        <v>384925</v>
      </c>
      <c r="M55" s="140"/>
    </row>
    <row r="56" spans="1:13" s="22" customFormat="1" x14ac:dyDescent="0.35">
      <c r="A56" s="155">
        <v>31</v>
      </c>
      <c r="B56" s="479" t="s">
        <v>296</v>
      </c>
      <c r="C56" s="480"/>
      <c r="D56" s="481"/>
      <c r="E56" s="150">
        <v>480962</v>
      </c>
      <c r="F56" s="150">
        <v>866631</v>
      </c>
      <c r="G56" s="150">
        <v>85343</v>
      </c>
      <c r="H56" s="150">
        <v>4979</v>
      </c>
      <c r="I56" s="150">
        <v>0</v>
      </c>
      <c r="J56" s="158">
        <f t="shared" si="6"/>
        <v>1437915</v>
      </c>
      <c r="M56" s="140"/>
    </row>
    <row r="57" spans="1:13" s="22" customFormat="1" x14ac:dyDescent="0.35">
      <c r="A57" s="155">
        <v>32</v>
      </c>
      <c r="B57" s="485" t="s">
        <v>231</v>
      </c>
      <c r="C57" s="486"/>
      <c r="D57" s="487"/>
      <c r="E57" s="160">
        <f>SUM(E53:E56)</f>
        <v>830537</v>
      </c>
      <c r="F57" s="160">
        <f>SUM(F53:F56)</f>
        <v>1819459</v>
      </c>
      <c r="G57" s="160">
        <f>SUM(G53:G56)</f>
        <v>181854</v>
      </c>
      <c r="H57" s="160">
        <f>SUM(H53:H56)</f>
        <v>10533</v>
      </c>
      <c r="I57" s="160">
        <f>SUM(I53:I56)</f>
        <v>0</v>
      </c>
      <c r="J57" s="160">
        <f t="shared" si="6"/>
        <v>2842383</v>
      </c>
      <c r="M57" s="140"/>
    </row>
    <row r="58" spans="1:13" s="22" customFormat="1" x14ac:dyDescent="0.35">
      <c r="A58" s="161"/>
      <c r="B58" s="162"/>
      <c r="C58" s="162"/>
      <c r="D58" s="163"/>
      <c r="E58" s="164"/>
      <c r="F58" s="164"/>
      <c r="G58" s="164"/>
      <c r="H58" s="164"/>
      <c r="I58" s="164"/>
      <c r="J58" s="164"/>
      <c r="M58" s="140"/>
    </row>
    <row r="59" spans="1:13" s="22" customFormat="1" x14ac:dyDescent="0.35">
      <c r="A59" s="488" t="s">
        <v>232</v>
      </c>
      <c r="B59" s="489"/>
      <c r="C59" s="489"/>
      <c r="D59" s="489"/>
      <c r="E59" s="489"/>
      <c r="F59" s="489"/>
      <c r="G59" s="489"/>
      <c r="H59" s="489"/>
      <c r="I59" s="489"/>
      <c r="J59" s="490"/>
      <c r="M59" s="140"/>
    </row>
    <row r="60" spans="1:13" s="22" customFormat="1" x14ac:dyDescent="0.35">
      <c r="A60" s="155">
        <v>33</v>
      </c>
      <c r="B60" s="479" t="s">
        <v>297</v>
      </c>
      <c r="C60" s="480"/>
      <c r="D60" s="481"/>
      <c r="E60" s="150">
        <v>865743.56706143974</v>
      </c>
      <c r="F60" s="150">
        <v>601429.43293856026</v>
      </c>
      <c r="G60" s="150">
        <v>2522</v>
      </c>
      <c r="H60" s="150">
        <v>0</v>
      </c>
      <c r="I60" s="150">
        <v>0</v>
      </c>
      <c r="J60" s="158">
        <f>SUM(E60:I60)</f>
        <v>1469695</v>
      </c>
      <c r="M60" s="140"/>
    </row>
    <row r="61" spans="1:13" s="22" customFormat="1" x14ac:dyDescent="0.35">
      <c r="A61" s="155">
        <v>34</v>
      </c>
      <c r="B61" s="479" t="s">
        <v>298</v>
      </c>
      <c r="C61" s="480"/>
      <c r="D61" s="481"/>
      <c r="E61" s="150">
        <v>101145.97474996763</v>
      </c>
      <c r="F61" s="150">
        <v>444093.54681835836</v>
      </c>
      <c r="G61" s="150">
        <v>35818.91348799198</v>
      </c>
      <c r="H61" s="150">
        <v>3143.5649436820304</v>
      </c>
      <c r="I61" s="150">
        <v>0</v>
      </c>
      <c r="J61" s="158">
        <f t="shared" ref="J61:J67" si="7">SUM(E61:I61)</f>
        <v>584202.00000000012</v>
      </c>
      <c r="M61" s="140"/>
    </row>
    <row r="62" spans="1:13" s="22" customFormat="1" x14ac:dyDescent="0.35">
      <c r="A62" s="155">
        <v>35</v>
      </c>
      <c r="B62" s="479" t="s">
        <v>302</v>
      </c>
      <c r="C62" s="480"/>
      <c r="D62" s="481"/>
      <c r="E62" s="150">
        <v>0</v>
      </c>
      <c r="F62" s="150">
        <v>0</v>
      </c>
      <c r="G62" s="150">
        <v>0</v>
      </c>
      <c r="H62" s="150">
        <v>0</v>
      </c>
      <c r="I62" s="150">
        <v>0</v>
      </c>
      <c r="J62" s="158">
        <f t="shared" si="7"/>
        <v>0</v>
      </c>
      <c r="M62" s="140"/>
    </row>
    <row r="63" spans="1:13" s="22" customFormat="1" x14ac:dyDescent="0.35">
      <c r="A63" s="155">
        <v>36</v>
      </c>
      <c r="B63" s="479" t="s">
        <v>315</v>
      </c>
      <c r="C63" s="480"/>
      <c r="D63" s="481"/>
      <c r="E63" s="150">
        <v>314327</v>
      </c>
      <c r="F63" s="150">
        <v>123975</v>
      </c>
      <c r="G63" s="150">
        <v>22885</v>
      </c>
      <c r="H63" s="150">
        <v>0</v>
      </c>
      <c r="I63" s="150">
        <v>0</v>
      </c>
      <c r="J63" s="158">
        <f t="shared" si="7"/>
        <v>461187</v>
      </c>
      <c r="M63" s="140"/>
    </row>
    <row r="64" spans="1:13" s="22" customFormat="1" x14ac:dyDescent="0.35">
      <c r="A64" s="155">
        <v>37</v>
      </c>
      <c r="B64" s="479" t="s">
        <v>316</v>
      </c>
      <c r="C64" s="480"/>
      <c r="D64" s="481"/>
      <c r="E64" s="150">
        <v>274814</v>
      </c>
      <c r="F64" s="150">
        <v>188486</v>
      </c>
      <c r="G64" s="150">
        <v>25292</v>
      </c>
      <c r="H64" s="150">
        <v>0</v>
      </c>
      <c r="I64" s="150">
        <v>0</v>
      </c>
      <c r="J64" s="158">
        <f t="shared" si="7"/>
        <v>488592</v>
      </c>
      <c r="M64" s="140"/>
    </row>
    <row r="65" spans="1:13" s="22" customFormat="1" x14ac:dyDescent="0.35">
      <c r="A65" s="155">
        <v>38</v>
      </c>
      <c r="B65" s="479" t="s">
        <v>317</v>
      </c>
      <c r="C65" s="480"/>
      <c r="D65" s="481"/>
      <c r="E65" s="150">
        <v>658294</v>
      </c>
      <c r="F65" s="150">
        <v>38350</v>
      </c>
      <c r="G65" s="150">
        <v>0</v>
      </c>
      <c r="H65" s="150">
        <v>0</v>
      </c>
      <c r="I65" s="150">
        <v>0</v>
      </c>
      <c r="J65" s="158">
        <f t="shared" si="7"/>
        <v>696644</v>
      </c>
      <c r="M65" s="140"/>
    </row>
    <row r="66" spans="1:13" s="22" customFormat="1" x14ac:dyDescent="0.35">
      <c r="A66" s="155">
        <v>39</v>
      </c>
      <c r="B66" s="479" t="s">
        <v>299</v>
      </c>
      <c r="C66" s="480"/>
      <c r="D66" s="481"/>
      <c r="E66" s="150">
        <v>71783</v>
      </c>
      <c r="F66" s="150">
        <v>52768</v>
      </c>
      <c r="G66" s="150">
        <v>5514</v>
      </c>
      <c r="H66" s="150">
        <v>0</v>
      </c>
      <c r="I66" s="150">
        <v>0</v>
      </c>
      <c r="J66" s="158">
        <f t="shared" ref="J66" si="8">SUM(E66:I66)</f>
        <v>130065</v>
      </c>
      <c r="M66" s="140"/>
    </row>
    <row r="67" spans="1:13" s="22" customFormat="1" x14ac:dyDescent="0.35">
      <c r="A67" s="155">
        <v>40</v>
      </c>
      <c r="B67" s="485" t="s">
        <v>237</v>
      </c>
      <c r="C67" s="486"/>
      <c r="D67" s="487"/>
      <c r="E67" s="160">
        <f>SUM(E60:E66)</f>
        <v>2286107.5418114075</v>
      </c>
      <c r="F67" s="160">
        <f>SUM(F60:F66)</f>
        <v>1449101.9797569187</v>
      </c>
      <c r="G67" s="160">
        <f>SUM(G60:G66)</f>
        <v>92031.913487991987</v>
      </c>
      <c r="H67" s="160">
        <f>SUM(H60:H66)</f>
        <v>3143.5649436820304</v>
      </c>
      <c r="I67" s="160">
        <f>SUM(I60:I66)</f>
        <v>0</v>
      </c>
      <c r="J67" s="160">
        <f t="shared" si="7"/>
        <v>3830385</v>
      </c>
      <c r="M67" s="140"/>
    </row>
    <row r="68" spans="1:13" s="22" customFormat="1" x14ac:dyDescent="0.35">
      <c r="A68" s="161"/>
      <c r="B68" s="162"/>
      <c r="C68" s="162"/>
      <c r="D68" s="163"/>
      <c r="E68" s="164"/>
      <c r="F68" s="164"/>
      <c r="G68" s="164"/>
      <c r="H68" s="164"/>
      <c r="I68" s="164"/>
      <c r="J68" s="164"/>
      <c r="M68" s="140"/>
    </row>
    <row r="69" spans="1:13" s="22" customFormat="1" x14ac:dyDescent="0.35">
      <c r="A69" s="488" t="s">
        <v>236</v>
      </c>
      <c r="B69" s="489"/>
      <c r="C69" s="489"/>
      <c r="D69" s="489"/>
      <c r="E69" s="489"/>
      <c r="F69" s="489"/>
      <c r="G69" s="489"/>
      <c r="H69" s="489"/>
      <c r="I69" s="489"/>
      <c r="J69" s="490"/>
      <c r="M69" s="140"/>
    </row>
    <row r="70" spans="1:13" s="22" customFormat="1" x14ac:dyDescent="0.35">
      <c r="A70" s="155">
        <v>41</v>
      </c>
      <c r="B70" s="479" t="s">
        <v>239</v>
      </c>
      <c r="C70" s="480"/>
      <c r="D70" s="481"/>
      <c r="E70" s="150">
        <v>47285</v>
      </c>
      <c r="F70" s="150">
        <v>8385</v>
      </c>
      <c r="G70" s="150">
        <v>2319</v>
      </c>
      <c r="H70" s="150">
        <v>0</v>
      </c>
      <c r="I70" s="150">
        <v>0</v>
      </c>
      <c r="J70" s="158">
        <f t="shared" ref="J70:J73" si="9">SUM(E70:I70)</f>
        <v>57989</v>
      </c>
      <c r="M70" s="140"/>
    </row>
    <row r="71" spans="1:13" s="22" customFormat="1" x14ac:dyDescent="0.35">
      <c r="A71" s="155">
        <v>42</v>
      </c>
      <c r="B71" s="479" t="s">
        <v>289</v>
      </c>
      <c r="C71" s="480"/>
      <c r="D71" s="481"/>
      <c r="E71" s="150">
        <v>232337</v>
      </c>
      <c r="F71" s="150">
        <v>220547</v>
      </c>
      <c r="G71" s="150">
        <v>21680</v>
      </c>
      <c r="H71" s="150">
        <v>1228</v>
      </c>
      <c r="I71" s="150">
        <v>0</v>
      </c>
      <c r="J71" s="158">
        <f t="shared" si="9"/>
        <v>475792</v>
      </c>
      <c r="M71" s="140"/>
    </row>
    <row r="72" spans="1:13" s="22" customFormat="1" x14ac:dyDescent="0.35">
      <c r="A72" s="155">
        <v>43</v>
      </c>
      <c r="B72" s="479" t="s">
        <v>240</v>
      </c>
      <c r="C72" s="480"/>
      <c r="D72" s="481"/>
      <c r="E72" s="150">
        <v>40784</v>
      </c>
      <c r="F72" s="150">
        <v>0</v>
      </c>
      <c r="G72" s="150">
        <v>0</v>
      </c>
      <c r="H72" s="150">
        <v>0</v>
      </c>
      <c r="I72" s="150">
        <v>0</v>
      </c>
      <c r="J72" s="158">
        <f t="shared" si="9"/>
        <v>40784</v>
      </c>
      <c r="M72" s="140"/>
    </row>
    <row r="73" spans="1:13" s="22" customFormat="1" x14ac:dyDescent="0.35">
      <c r="A73" s="155">
        <v>44</v>
      </c>
      <c r="B73" s="479" t="s">
        <v>308</v>
      </c>
      <c r="C73" s="480"/>
      <c r="D73" s="481"/>
      <c r="E73" s="150">
        <v>192002</v>
      </c>
      <c r="F73" s="150">
        <v>18499</v>
      </c>
      <c r="G73" s="150">
        <v>2769</v>
      </c>
      <c r="H73" s="150">
        <v>0</v>
      </c>
      <c r="I73" s="150">
        <v>9261</v>
      </c>
      <c r="J73" s="158">
        <f t="shared" si="9"/>
        <v>222531</v>
      </c>
      <c r="M73" s="140"/>
    </row>
    <row r="74" spans="1:13" s="22" customFormat="1" x14ac:dyDescent="0.35">
      <c r="A74" s="155">
        <v>45</v>
      </c>
      <c r="B74" s="479" t="s">
        <v>286</v>
      </c>
      <c r="C74" s="480"/>
      <c r="D74" s="481"/>
      <c r="E74" s="150">
        <v>0</v>
      </c>
      <c r="F74" s="150">
        <v>0</v>
      </c>
      <c r="G74" s="150">
        <v>0</v>
      </c>
      <c r="H74" s="150">
        <v>0</v>
      </c>
      <c r="I74" s="150">
        <v>190737</v>
      </c>
      <c r="J74" s="158">
        <f>SUM(E74:I74)</f>
        <v>190737</v>
      </c>
      <c r="M74" s="140"/>
    </row>
    <row r="75" spans="1:13" s="22" customFormat="1" x14ac:dyDescent="0.35">
      <c r="A75" s="155">
        <v>46</v>
      </c>
      <c r="B75" s="479" t="s">
        <v>287</v>
      </c>
      <c r="C75" s="480"/>
      <c r="D75" s="481"/>
      <c r="E75" s="150">
        <v>43740</v>
      </c>
      <c r="F75" s="150">
        <v>0</v>
      </c>
      <c r="G75" s="150">
        <v>0</v>
      </c>
      <c r="H75" s="150">
        <v>0</v>
      </c>
      <c r="I75" s="150">
        <v>0</v>
      </c>
      <c r="J75" s="158">
        <f t="shared" ref="J75:J77" si="10">SUM(E75:I75)</f>
        <v>43740</v>
      </c>
      <c r="M75" s="140"/>
    </row>
    <row r="76" spans="1:13" s="22" customFormat="1" x14ac:dyDescent="0.35">
      <c r="A76" s="155">
        <v>47</v>
      </c>
      <c r="B76" s="479" t="s">
        <v>318</v>
      </c>
      <c r="C76" s="480"/>
      <c r="D76" s="481"/>
      <c r="E76" s="150">
        <v>130872</v>
      </c>
      <c r="F76" s="150">
        <v>279081</v>
      </c>
      <c r="G76" s="150">
        <v>0</v>
      </c>
      <c r="H76" s="150">
        <v>0</v>
      </c>
      <c r="I76" s="150">
        <v>0</v>
      </c>
      <c r="J76" s="158">
        <f t="shared" si="10"/>
        <v>409953</v>
      </c>
      <c r="M76" s="140"/>
    </row>
    <row r="77" spans="1:13" s="22" customFormat="1" x14ac:dyDescent="0.35">
      <c r="A77" s="155">
        <v>48</v>
      </c>
      <c r="B77" s="479" t="s">
        <v>285</v>
      </c>
      <c r="C77" s="480"/>
      <c r="D77" s="481"/>
      <c r="E77" s="150">
        <v>243231</v>
      </c>
      <c r="F77" s="150">
        <v>251299</v>
      </c>
      <c r="G77" s="150">
        <v>17620</v>
      </c>
      <c r="H77" s="150">
        <v>59</v>
      </c>
      <c r="I77" s="150">
        <v>0</v>
      </c>
      <c r="J77" s="158">
        <f t="shared" si="10"/>
        <v>512209</v>
      </c>
      <c r="M77" s="140"/>
    </row>
    <row r="78" spans="1:13" s="22" customFormat="1" x14ac:dyDescent="0.35">
      <c r="A78" s="155">
        <v>49</v>
      </c>
      <c r="B78" s="485" t="s">
        <v>279</v>
      </c>
      <c r="C78" s="486"/>
      <c r="D78" s="487"/>
      <c r="E78" s="160">
        <f>SUM(E70:E77)</f>
        <v>930251</v>
      </c>
      <c r="F78" s="160">
        <f t="shared" ref="F78:I78" si="11">SUM(F70:F77)</f>
        <v>777811</v>
      </c>
      <c r="G78" s="160">
        <f t="shared" si="11"/>
        <v>44388</v>
      </c>
      <c r="H78" s="160">
        <f t="shared" si="11"/>
        <v>1287</v>
      </c>
      <c r="I78" s="160">
        <f t="shared" si="11"/>
        <v>199998</v>
      </c>
      <c r="J78" s="160">
        <f t="shared" ref="J78" si="12">SUM(E78:I78)</f>
        <v>1953735</v>
      </c>
      <c r="M78" s="140"/>
    </row>
    <row r="79" spans="1:13" s="22" customFormat="1" x14ac:dyDescent="0.35">
      <c r="A79" s="161"/>
      <c r="B79" s="162"/>
      <c r="C79" s="162"/>
      <c r="D79" s="163"/>
      <c r="E79" s="164"/>
      <c r="F79" s="164"/>
      <c r="G79" s="164"/>
      <c r="H79" s="164"/>
      <c r="I79" s="164"/>
      <c r="J79" s="164"/>
      <c r="M79" s="140"/>
    </row>
    <row r="80" spans="1:13" s="22" customFormat="1" x14ac:dyDescent="0.35">
      <c r="A80" s="488" t="s">
        <v>303</v>
      </c>
      <c r="B80" s="489"/>
      <c r="C80" s="489"/>
      <c r="D80" s="489"/>
      <c r="E80" s="489"/>
      <c r="F80" s="489"/>
      <c r="G80" s="489"/>
      <c r="H80" s="489"/>
      <c r="I80" s="489"/>
      <c r="J80" s="490"/>
      <c r="M80" s="140"/>
    </row>
    <row r="81" spans="1:13" s="22" customFormat="1" x14ac:dyDescent="0.35">
      <c r="A81" s="155">
        <v>50</v>
      </c>
      <c r="B81" s="479" t="s">
        <v>304</v>
      </c>
      <c r="C81" s="480"/>
      <c r="D81" s="481"/>
      <c r="E81" s="98"/>
      <c r="F81" s="98"/>
      <c r="G81" s="98"/>
      <c r="H81" s="98"/>
      <c r="I81" s="157"/>
      <c r="J81" s="158">
        <f>I81</f>
        <v>0</v>
      </c>
      <c r="M81" s="140"/>
    </row>
    <row r="82" spans="1:13" s="22" customFormat="1" x14ac:dyDescent="0.35">
      <c r="A82" s="155">
        <v>51</v>
      </c>
      <c r="B82" s="479" t="s">
        <v>309</v>
      </c>
      <c r="C82" s="480"/>
      <c r="D82" s="481"/>
      <c r="E82" s="98"/>
      <c r="F82" s="98"/>
      <c r="G82" s="98"/>
      <c r="H82" s="98"/>
      <c r="I82" s="157"/>
      <c r="J82" s="158">
        <f>I82</f>
        <v>0</v>
      </c>
      <c r="M82" s="140"/>
    </row>
    <row r="83" spans="1:13" s="22" customFormat="1" x14ac:dyDescent="0.35">
      <c r="A83" s="155">
        <v>52</v>
      </c>
      <c r="B83" s="479" t="s">
        <v>310</v>
      </c>
      <c r="C83" s="480"/>
      <c r="D83" s="481"/>
      <c r="E83" s="98"/>
      <c r="F83" s="98"/>
      <c r="G83" s="98"/>
      <c r="H83" s="98"/>
      <c r="I83" s="157"/>
      <c r="J83" s="158">
        <f t="shared" ref="J83:J84" si="13">I83</f>
        <v>0</v>
      </c>
      <c r="M83" s="140"/>
    </row>
    <row r="84" spans="1:13" s="22" customFormat="1" x14ac:dyDescent="0.35">
      <c r="A84" s="155">
        <v>53</v>
      </c>
      <c r="B84" s="479" t="s">
        <v>305</v>
      </c>
      <c r="C84" s="480"/>
      <c r="D84" s="481"/>
      <c r="E84" s="98"/>
      <c r="F84" s="98"/>
      <c r="G84" s="98"/>
      <c r="H84" s="98"/>
      <c r="I84" s="157"/>
      <c r="J84" s="158">
        <f t="shared" si="13"/>
        <v>0</v>
      </c>
      <c r="M84" s="140"/>
    </row>
    <row r="85" spans="1:13" s="22" customFormat="1" x14ac:dyDescent="0.35">
      <c r="A85" s="155">
        <v>54</v>
      </c>
      <c r="B85" s="485" t="s">
        <v>306</v>
      </c>
      <c r="C85" s="486"/>
      <c r="D85" s="487"/>
      <c r="E85" s="160">
        <v>0</v>
      </c>
      <c r="F85" s="160">
        <v>0</v>
      </c>
      <c r="G85" s="160">
        <v>0</v>
      </c>
      <c r="H85" s="160">
        <v>0</v>
      </c>
      <c r="I85" s="160">
        <f>SUM(I81:I84)</f>
        <v>0</v>
      </c>
      <c r="J85" s="160">
        <f>SUM(E85:I85)</f>
        <v>0</v>
      </c>
      <c r="M85" s="140"/>
    </row>
    <row r="86" spans="1:13" s="22" customFormat="1" x14ac:dyDescent="0.35">
      <c r="A86" s="161"/>
      <c r="B86" s="162"/>
      <c r="C86" s="162"/>
      <c r="D86" s="163"/>
      <c r="E86" s="164"/>
      <c r="F86" s="164"/>
      <c r="G86" s="164"/>
      <c r="H86" s="164"/>
      <c r="I86" s="164"/>
      <c r="J86" s="164"/>
      <c r="M86" s="140"/>
    </row>
    <row r="87" spans="1:13" s="22" customFormat="1" x14ac:dyDescent="0.35">
      <c r="A87" s="488" t="s">
        <v>273</v>
      </c>
      <c r="B87" s="489"/>
      <c r="C87" s="489"/>
      <c r="D87" s="489"/>
      <c r="E87" s="489"/>
      <c r="F87" s="489"/>
      <c r="G87" s="489"/>
      <c r="H87" s="489"/>
      <c r="I87" s="489"/>
      <c r="J87" s="490"/>
      <c r="M87" s="140"/>
    </row>
    <row r="88" spans="1:13" s="22" customFormat="1" x14ac:dyDescent="0.35">
      <c r="A88" s="155">
        <v>55</v>
      </c>
      <c r="B88" s="479" t="s">
        <v>274</v>
      </c>
      <c r="C88" s="480"/>
      <c r="D88" s="481"/>
      <c r="E88" s="165">
        <f>-'As-Filed Schedule 1C'!F27</f>
        <v>-80417.85442629084</v>
      </c>
      <c r="F88" s="165">
        <f>-'As-Filed Schedule 1C'!F28</f>
        <v>-42002.432938560261</v>
      </c>
      <c r="G88" s="165">
        <f>-'As-Filed Schedule 1C'!F29</f>
        <v>0</v>
      </c>
      <c r="H88" s="165">
        <f>-'As-Filed Schedule 1C'!F30</f>
        <v>0</v>
      </c>
      <c r="I88" s="165">
        <f>-SUM(E88:H88)</f>
        <v>122420.2873648511</v>
      </c>
      <c r="J88" s="158">
        <f>SUM(E88:I88)</f>
        <v>0</v>
      </c>
      <c r="M88" s="140"/>
    </row>
    <row r="89" spans="1:13" s="22" customFormat="1" x14ac:dyDescent="0.35">
      <c r="A89" s="155">
        <v>56</v>
      </c>
      <c r="B89" s="485" t="s">
        <v>270</v>
      </c>
      <c r="C89" s="486"/>
      <c r="D89" s="487"/>
      <c r="E89" s="160">
        <f>SUM(E88:E88)</f>
        <v>-80417.85442629084</v>
      </c>
      <c r="F89" s="160">
        <f>SUM(F88:F88)</f>
        <v>-42002.432938560261</v>
      </c>
      <c r="G89" s="160">
        <f>SUM(G88:G88)</f>
        <v>0</v>
      </c>
      <c r="H89" s="160">
        <f>SUM(H88:H88)</f>
        <v>0</v>
      </c>
      <c r="I89" s="160">
        <f>SUM(I88:I88)</f>
        <v>122420.2873648511</v>
      </c>
      <c r="J89" s="160">
        <f>SUM(E89:I89)</f>
        <v>0</v>
      </c>
      <c r="M89" s="140"/>
    </row>
    <row r="90" spans="1:13" s="22" customFormat="1" x14ac:dyDescent="0.35">
      <c r="A90" s="161"/>
      <c r="B90" s="162"/>
      <c r="C90" s="162"/>
      <c r="D90" s="163"/>
      <c r="E90" s="164"/>
      <c r="F90" s="164"/>
      <c r="G90" s="164"/>
      <c r="H90" s="164"/>
      <c r="I90" s="164"/>
      <c r="J90" s="164"/>
      <c r="M90" s="140"/>
    </row>
    <row r="91" spans="1:13" s="22" customFormat="1" x14ac:dyDescent="0.35">
      <c r="A91" s="155">
        <v>57</v>
      </c>
      <c r="B91" s="485" t="s">
        <v>241</v>
      </c>
      <c r="C91" s="486"/>
      <c r="D91" s="487"/>
      <c r="E91" s="160">
        <f>E78+E67+E57+E50+E40+E89+E85</f>
        <v>11555496.687385116</v>
      </c>
      <c r="F91" s="160">
        <f>F78+F67+F57+F50+F40+F89+F85</f>
        <v>33884743.366818361</v>
      </c>
      <c r="G91" s="160">
        <f>G78+G67+G57+G50+G40+G89+G85</f>
        <v>2863995.9134879922</v>
      </c>
      <c r="H91" s="160">
        <f>H78+H67+H57+H50+H40+H89+H85</f>
        <v>363694.56494368205</v>
      </c>
      <c r="I91" s="160">
        <f>I78+I67+I57+I50+I40+I89+I85</f>
        <v>322418.2873648511</v>
      </c>
      <c r="J91" s="160">
        <f>SUM(E91:I91)</f>
        <v>48990348.82</v>
      </c>
      <c r="M91" s="140"/>
    </row>
    <row r="92" spans="1:13" s="22" customFormat="1" x14ac:dyDescent="0.35">
      <c r="A92" s="161"/>
      <c r="B92" s="162"/>
      <c r="C92" s="162"/>
      <c r="D92" s="163"/>
      <c r="E92" s="164"/>
      <c r="F92" s="164"/>
      <c r="G92" s="164"/>
      <c r="H92" s="164"/>
      <c r="I92" s="164"/>
      <c r="J92" s="164"/>
      <c r="M92" s="140"/>
    </row>
    <row r="93" spans="1:13" s="22" customFormat="1" x14ac:dyDescent="0.35">
      <c r="A93" s="155">
        <v>58</v>
      </c>
      <c r="B93" s="479" t="s">
        <v>2</v>
      </c>
      <c r="C93" s="480"/>
      <c r="D93" s="481"/>
      <c r="E93" s="158">
        <f>E91*-1</f>
        <v>-11555496.687385116</v>
      </c>
      <c r="F93" s="150">
        <v>10687995.326595739</v>
      </c>
      <c r="G93" s="150">
        <v>795370.62245206907</v>
      </c>
      <c r="H93" s="150">
        <v>67936.851237308205</v>
      </c>
      <c r="I93" s="150">
        <v>4193.8871000000008</v>
      </c>
      <c r="J93" s="160">
        <f>SUM(E93:I93)</f>
        <v>3.7289282772690058E-11</v>
      </c>
      <c r="K93" s="33" t="str">
        <f>IF(ABS(J93)&gt;1,"Error - This row should sum to 0.","")</f>
        <v/>
      </c>
      <c r="M93" s="140"/>
    </row>
    <row r="94" spans="1:13" s="22" customFormat="1" x14ac:dyDescent="0.35">
      <c r="A94" s="161"/>
      <c r="B94" s="162"/>
      <c r="C94" s="162"/>
      <c r="D94" s="163"/>
      <c r="E94" s="164"/>
      <c r="F94" s="164"/>
      <c r="G94" s="164"/>
      <c r="H94" s="164"/>
      <c r="I94" s="164"/>
      <c r="J94" s="164"/>
      <c r="M94" s="140"/>
    </row>
    <row r="95" spans="1:13" s="63" customFormat="1" ht="15.5" x14ac:dyDescent="0.35">
      <c r="A95" s="155">
        <v>59</v>
      </c>
      <c r="B95" s="482" t="s">
        <v>242</v>
      </c>
      <c r="C95" s="483"/>
      <c r="D95" s="484"/>
      <c r="E95" s="169">
        <f>E93+E91</f>
        <v>0</v>
      </c>
      <c r="F95" s="169">
        <f t="shared" ref="F95:I95" si="14">F93+F91</f>
        <v>44572738.6934141</v>
      </c>
      <c r="G95" s="169">
        <f t="shared" si="14"/>
        <v>3659366.5359400613</v>
      </c>
      <c r="H95" s="169">
        <f t="shared" si="14"/>
        <v>431631.41618099029</v>
      </c>
      <c r="I95" s="169">
        <f t="shared" si="14"/>
        <v>326612.17446485109</v>
      </c>
      <c r="J95" s="169">
        <f>SUM(E95:I95)</f>
        <v>48990348.82</v>
      </c>
      <c r="M95" s="141"/>
    </row>
    <row r="96" spans="1:13" s="22" customFormat="1" x14ac:dyDescent="0.35">
      <c r="A96" s="170"/>
      <c r="B96" s="170"/>
      <c r="C96" s="170"/>
      <c r="D96" s="170"/>
      <c r="E96" s="170"/>
      <c r="F96" s="170"/>
      <c r="G96" s="170"/>
      <c r="H96" s="170"/>
      <c r="I96" s="170"/>
      <c r="J96" s="170"/>
      <c r="M96" s="140"/>
    </row>
    <row r="97" spans="1:13" s="22" customFormat="1" x14ac:dyDescent="0.35">
      <c r="A97" s="155">
        <v>60</v>
      </c>
      <c r="B97" s="478" t="s">
        <v>4</v>
      </c>
      <c r="C97" s="478"/>
      <c r="D97" s="170"/>
      <c r="E97" s="170"/>
      <c r="F97" s="150">
        <v>15110</v>
      </c>
      <c r="G97" s="170"/>
      <c r="H97" s="170"/>
      <c r="I97" s="170"/>
      <c r="J97" s="170"/>
      <c r="M97" s="140"/>
    </row>
    <row r="98" spans="1:13" s="22" customFormat="1" x14ac:dyDescent="0.35">
      <c r="A98" s="155">
        <v>61</v>
      </c>
      <c r="B98" s="478" t="s">
        <v>5</v>
      </c>
      <c r="C98" s="478"/>
      <c r="D98" s="170"/>
      <c r="E98" s="170"/>
      <c r="F98" s="158">
        <f>IFERROR(F95/F97,"")</f>
        <v>2949.8834343755193</v>
      </c>
      <c r="G98" s="170"/>
      <c r="H98" s="170"/>
      <c r="I98" s="170"/>
      <c r="J98" s="170"/>
      <c r="M98" s="140"/>
    </row>
    <row r="99" spans="1:13" s="22" customFormat="1" x14ac:dyDescent="0.35">
      <c r="A99" s="171"/>
      <c r="B99" s="170"/>
      <c r="C99" s="170"/>
      <c r="D99" s="170"/>
      <c r="E99" s="170"/>
      <c r="F99" s="170"/>
      <c r="G99" s="170"/>
      <c r="H99" s="170"/>
      <c r="I99" s="170"/>
      <c r="J99" s="170"/>
      <c r="M99" s="140"/>
    </row>
    <row r="100" spans="1:13" s="22" customFormat="1" x14ac:dyDescent="0.35">
      <c r="A100" s="155">
        <v>62</v>
      </c>
      <c r="B100" s="478" t="s">
        <v>307</v>
      </c>
      <c r="C100" s="478"/>
      <c r="D100" s="170"/>
      <c r="E100" s="170"/>
      <c r="F100" s="170"/>
      <c r="G100" s="170"/>
      <c r="H100" s="170"/>
      <c r="I100" s="170"/>
      <c r="J100" s="157">
        <v>48990348.819999985</v>
      </c>
      <c r="M100" s="140"/>
    </row>
    <row r="101" spans="1:13" s="22" customFormat="1" x14ac:dyDescent="0.35">
      <c r="A101" s="155">
        <v>63</v>
      </c>
      <c r="B101" s="478" t="s">
        <v>10</v>
      </c>
      <c r="C101" s="478"/>
      <c r="D101" s="170"/>
      <c r="E101" s="170"/>
      <c r="F101" s="170"/>
      <c r="G101" s="170"/>
      <c r="H101" s="170"/>
      <c r="I101" s="170"/>
      <c r="J101" s="158">
        <f>ROUND(J95-J100,0)</f>
        <v>0</v>
      </c>
      <c r="K101" s="33" t="str">
        <f>IF(ABS(J101)&gt;1,"Error - This variance should be 0.","")</f>
        <v/>
      </c>
      <c r="M101" s="140"/>
    </row>
    <row r="102" spans="1:13" x14ac:dyDescent="0.35">
      <c r="A102" s="100"/>
      <c r="B102" s="100"/>
      <c r="C102" s="100"/>
      <c r="D102" s="100"/>
      <c r="E102" s="100"/>
      <c r="F102" s="100"/>
      <c r="G102" s="100"/>
      <c r="H102" s="100"/>
      <c r="I102" s="100"/>
      <c r="J102" s="100"/>
    </row>
    <row r="103" spans="1:13" x14ac:dyDescent="0.35">
      <c r="A103" s="155">
        <v>64</v>
      </c>
      <c r="B103" s="478" t="s">
        <v>202</v>
      </c>
      <c r="C103" s="478"/>
      <c r="D103" s="100"/>
      <c r="E103" s="172">
        <f>IFERROR(E91/SUM(F91:I91),"")</f>
        <v>0.30868284577294913</v>
      </c>
      <c r="F103" s="100"/>
      <c r="G103" s="100"/>
      <c r="H103" s="100"/>
      <c r="I103" s="100"/>
      <c r="J103" s="100"/>
    </row>
  </sheetData>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75">
    <mergeCell ref="B38:D38"/>
    <mergeCell ref="B40:D40"/>
    <mergeCell ref="B43:D43"/>
    <mergeCell ref="A69:J69"/>
    <mergeCell ref="B66:D66"/>
    <mergeCell ref="B67:D67"/>
    <mergeCell ref="B60:D60"/>
    <mergeCell ref="B61:D61"/>
    <mergeCell ref="B51:G51"/>
    <mergeCell ref="B47:D47"/>
    <mergeCell ref="B54:D54"/>
    <mergeCell ref="B62:D62"/>
    <mergeCell ref="B78:D78"/>
    <mergeCell ref="B75:D75"/>
    <mergeCell ref="B48:D48"/>
    <mergeCell ref="B49:D49"/>
    <mergeCell ref="B77:D77"/>
    <mergeCell ref="B76:D76"/>
    <mergeCell ref="A59:J59"/>
    <mergeCell ref="B74:D74"/>
    <mergeCell ref="B71:D71"/>
    <mergeCell ref="B72:D72"/>
    <mergeCell ref="B73:D73"/>
    <mergeCell ref="B70:D70"/>
    <mergeCell ref="B63:D63"/>
    <mergeCell ref="B64:D64"/>
    <mergeCell ref="A80:J80"/>
    <mergeCell ref="B85:D85"/>
    <mergeCell ref="B83:D83"/>
    <mergeCell ref="B84:D84"/>
    <mergeCell ref="B81:D81"/>
    <mergeCell ref="B82:D82"/>
    <mergeCell ref="B103:C103"/>
    <mergeCell ref="B91:D91"/>
    <mergeCell ref="B88:D88"/>
    <mergeCell ref="B89:D89"/>
    <mergeCell ref="A87:J87"/>
    <mergeCell ref="B12:C12"/>
    <mergeCell ref="B13:C13"/>
    <mergeCell ref="B14:C14"/>
    <mergeCell ref="B15:C15"/>
    <mergeCell ref="B18:C18"/>
    <mergeCell ref="A17:J17"/>
    <mergeCell ref="B19:C19"/>
    <mergeCell ref="B20:C20"/>
    <mergeCell ref="B55:D55"/>
    <mergeCell ref="B56:D56"/>
    <mergeCell ref="B57:D57"/>
    <mergeCell ref="B46:D46"/>
    <mergeCell ref="A52:J52"/>
    <mergeCell ref="B53:D53"/>
    <mergeCell ref="B32:D32"/>
    <mergeCell ref="B35:D35"/>
    <mergeCell ref="B23:D23"/>
    <mergeCell ref="B24:D24"/>
    <mergeCell ref="B27:D27"/>
    <mergeCell ref="B29:D29"/>
    <mergeCell ref="B30:D30"/>
    <mergeCell ref="B36:D36"/>
    <mergeCell ref="B9:C9"/>
    <mergeCell ref="B100:C100"/>
    <mergeCell ref="B101:C101"/>
    <mergeCell ref="B97:C97"/>
    <mergeCell ref="B98:C98"/>
    <mergeCell ref="A11:J11"/>
    <mergeCell ref="B50:D50"/>
    <mergeCell ref="A34:J34"/>
    <mergeCell ref="A22:J22"/>
    <mergeCell ref="A26:J26"/>
    <mergeCell ref="A42:J42"/>
    <mergeCell ref="B44:D44"/>
    <mergeCell ref="B45:D45"/>
    <mergeCell ref="B95:D95"/>
    <mergeCell ref="B93:D93"/>
    <mergeCell ref="B65:D65"/>
  </mergeCells>
  <pageMargins left="0.7" right="0.7" top="0.75" bottom="0.75" header="0.3" footer="0.3"/>
  <pageSetup orientation="portrait" horizontalDpi="1200" verticalDpi="1200" r:id="rId3"/>
  <ignoredErrors>
    <ignoredError sqref="J18:J19"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rgb="FF9CC5CA"/>
  </sheetPr>
  <dimension ref="A1:Y95"/>
  <sheetViews>
    <sheetView workbookViewId="0">
      <selection activeCell="D8" sqref="D8"/>
    </sheetView>
  </sheetViews>
  <sheetFormatPr defaultRowHeight="14.5" x14ac:dyDescent="0.35"/>
  <cols>
    <col min="1" max="1" width="6.81640625" customWidth="1"/>
    <col min="2" max="2" width="16" customWidth="1"/>
    <col min="3" max="3" width="29.1796875" customWidth="1"/>
    <col min="4" max="6" width="19" customWidth="1"/>
    <col min="7" max="9" width="21.1796875" customWidth="1"/>
    <col min="10" max="10" width="28.453125" customWidth="1"/>
    <col min="11" max="11" width="32.54296875" customWidth="1"/>
    <col min="12" max="12" width="37.453125" customWidth="1"/>
  </cols>
  <sheetData>
    <row r="1" spans="1:12" ht="26" x14ac:dyDescent="0.6">
      <c r="A1" s="3" t="s">
        <v>774</v>
      </c>
    </row>
    <row r="2" spans="1:12" ht="21" x14ac:dyDescent="0.5">
      <c r="A2" s="2" t="s">
        <v>772</v>
      </c>
    </row>
    <row r="3" spans="1:12" ht="25" customHeight="1" x14ac:dyDescent="0.5">
      <c r="A3" s="494" t="s">
        <v>763</v>
      </c>
      <c r="B3" s="494"/>
      <c r="C3" s="494"/>
      <c r="D3" s="494"/>
      <c r="E3" s="494"/>
      <c r="F3" s="494"/>
      <c r="G3" s="494"/>
      <c r="H3" s="494"/>
      <c r="I3" s="494"/>
      <c r="J3" s="494"/>
    </row>
    <row r="4" spans="1:12" x14ac:dyDescent="0.35">
      <c r="H4" s="61"/>
      <c r="J4" s="130"/>
      <c r="K4" s="130"/>
      <c r="L4" s="130"/>
    </row>
    <row r="5" spans="1:12" x14ac:dyDescent="0.35">
      <c r="A5" s="1" t="s">
        <v>773</v>
      </c>
      <c r="C5" s="420">
        <f>'As-Filed Schedule 1'!C5</f>
        <v>0</v>
      </c>
      <c r="H5" s="48"/>
      <c r="J5" s="40"/>
      <c r="K5" s="40"/>
      <c r="L5" s="40"/>
    </row>
    <row r="6" spans="1:12" x14ac:dyDescent="0.35">
      <c r="A6" s="1" t="s">
        <v>0</v>
      </c>
      <c r="C6" s="35">
        <f>'As-Filed Schedule 1'!C6</f>
        <v>45473</v>
      </c>
      <c r="D6" s="35"/>
      <c r="E6" s="35"/>
      <c r="F6" s="35"/>
      <c r="G6" s="35"/>
      <c r="H6" s="60"/>
      <c r="J6" s="40"/>
      <c r="K6" s="40"/>
      <c r="L6" s="40"/>
    </row>
    <row r="7" spans="1:12" x14ac:dyDescent="0.35">
      <c r="H7" s="48"/>
      <c r="J7" s="40"/>
      <c r="K7" s="40"/>
      <c r="L7" s="40"/>
    </row>
    <row r="8" spans="1:12" x14ac:dyDescent="0.35">
      <c r="A8" s="1" t="s">
        <v>264</v>
      </c>
      <c r="D8" s="117">
        <v>332850</v>
      </c>
      <c r="F8" s="78"/>
      <c r="G8" s="48"/>
      <c r="H8" s="48"/>
      <c r="J8" s="40"/>
      <c r="K8" s="40"/>
      <c r="L8" s="40"/>
    </row>
    <row r="9" spans="1:12" ht="6.75" customHeight="1" x14ac:dyDescent="0.35">
      <c r="H9" s="48"/>
      <c r="J9" s="40"/>
      <c r="K9" s="40"/>
      <c r="L9" s="40"/>
    </row>
    <row r="10" spans="1:12" x14ac:dyDescent="0.35">
      <c r="A10" s="1" t="s">
        <v>265</v>
      </c>
      <c r="D10" s="77" t="s">
        <v>266</v>
      </c>
      <c r="E10" s="78"/>
      <c r="F10" s="78"/>
      <c r="H10" s="48"/>
      <c r="J10" s="40"/>
      <c r="K10" s="40"/>
      <c r="L10" s="40"/>
    </row>
    <row r="11" spans="1:12" x14ac:dyDescent="0.35">
      <c r="A11" s="1"/>
      <c r="D11" s="78"/>
      <c r="E11" s="78"/>
      <c r="F11" s="78"/>
      <c r="H11" s="48"/>
      <c r="J11" s="131"/>
    </row>
    <row r="12" spans="1:12" x14ac:dyDescent="0.35">
      <c r="A12" s="1" t="s">
        <v>267</v>
      </c>
      <c r="D12" s="48"/>
      <c r="E12" s="48"/>
      <c r="F12" s="48"/>
      <c r="J12" s="131"/>
    </row>
    <row r="13" spans="1:12" ht="15" customHeight="1" x14ac:dyDescent="0.35">
      <c r="A13" s="495" t="s">
        <v>488</v>
      </c>
      <c r="B13" s="495"/>
      <c r="C13" s="495"/>
      <c r="D13" s="495"/>
      <c r="E13" s="495"/>
      <c r="F13" s="495"/>
      <c r="G13" s="495"/>
      <c r="H13" s="495"/>
      <c r="I13" s="79"/>
      <c r="J13" s="62"/>
    </row>
    <row r="14" spans="1:12" ht="15" customHeight="1" x14ac:dyDescent="0.35">
      <c r="A14" s="495"/>
      <c r="B14" s="495"/>
      <c r="C14" s="495"/>
      <c r="D14" s="495"/>
      <c r="E14" s="495"/>
      <c r="F14" s="495"/>
      <c r="G14" s="495"/>
      <c r="H14" s="495"/>
      <c r="I14" s="79"/>
      <c r="J14" s="62"/>
    </row>
    <row r="15" spans="1:12" ht="15" customHeight="1" x14ac:dyDescent="0.35">
      <c r="A15" s="495"/>
      <c r="B15" s="495"/>
      <c r="C15" s="495"/>
      <c r="D15" s="495"/>
      <c r="E15" s="495"/>
      <c r="F15" s="495"/>
      <c r="G15" s="495"/>
      <c r="H15" s="495"/>
      <c r="I15" s="79"/>
      <c r="J15" s="62"/>
    </row>
    <row r="16" spans="1:12" x14ac:dyDescent="0.35">
      <c r="A16" s="495"/>
      <c r="B16" s="495"/>
      <c r="C16" s="495"/>
      <c r="D16" s="495"/>
      <c r="E16" s="495"/>
      <c r="F16" s="495"/>
      <c r="G16" s="495"/>
      <c r="H16" s="495"/>
      <c r="I16" s="62"/>
    </row>
    <row r="17" spans="1:25" x14ac:dyDescent="0.35">
      <c r="A17" s="174"/>
      <c r="B17" s="174"/>
      <c r="C17" s="174"/>
      <c r="D17" s="174"/>
      <c r="E17" s="174"/>
      <c r="F17" s="174"/>
      <c r="G17" s="174"/>
      <c r="H17" s="174"/>
      <c r="I17" s="127"/>
    </row>
    <row r="18" spans="1:25" x14ac:dyDescent="0.35">
      <c r="A18" s="174"/>
      <c r="B18" s="496">
        <v>1</v>
      </c>
      <c r="C18" s="497"/>
      <c r="D18" s="175">
        <v>2</v>
      </c>
      <c r="E18" s="175">
        <v>3</v>
      </c>
      <c r="F18" s="175">
        <v>4</v>
      </c>
      <c r="G18" s="175">
        <v>5</v>
      </c>
      <c r="H18" s="175">
        <v>6</v>
      </c>
      <c r="I18" s="127"/>
    </row>
    <row r="19" spans="1:25" s="4" customFormat="1" ht="52.5" customHeight="1" x14ac:dyDescent="0.35">
      <c r="A19" s="176"/>
      <c r="B19" s="498" t="s">
        <v>181</v>
      </c>
      <c r="C19" s="498"/>
      <c r="D19" s="151" t="s">
        <v>268</v>
      </c>
      <c r="E19" s="151" t="s">
        <v>457</v>
      </c>
      <c r="F19" s="151" t="s">
        <v>453</v>
      </c>
      <c r="G19" s="151" t="s">
        <v>489</v>
      </c>
      <c r="H19" s="151" t="s">
        <v>490</v>
      </c>
      <c r="I19" s="36"/>
    </row>
    <row r="20" spans="1:25" x14ac:dyDescent="0.35">
      <c r="A20" s="177">
        <v>1</v>
      </c>
      <c r="B20" s="493" t="s">
        <v>761</v>
      </c>
      <c r="C20" s="493"/>
      <c r="D20" s="178"/>
      <c r="E20" s="179"/>
      <c r="F20" s="179"/>
      <c r="G20" s="180"/>
      <c r="H20" s="181">
        <f>IF(G20-$D$8&gt;0,G20-$D$8,0)</f>
        <v>0</v>
      </c>
      <c r="I20" s="36"/>
    </row>
    <row r="21" spans="1:25" x14ac:dyDescent="0.35">
      <c r="A21" s="177">
        <f>A20+1</f>
        <v>2</v>
      </c>
      <c r="B21" s="493"/>
      <c r="C21" s="493"/>
      <c r="D21" s="178"/>
      <c r="E21" s="179"/>
      <c r="F21" s="179"/>
      <c r="G21" s="180"/>
      <c r="H21" s="181">
        <f>IF(G21-$D$8&gt;0,G21-$D$8,0)</f>
        <v>0</v>
      </c>
      <c r="I21" s="48"/>
    </row>
    <row r="22" spans="1:25" x14ac:dyDescent="0.35">
      <c r="A22" s="177">
        <f t="shared" ref="A22:A30" si="0">A21+1</f>
        <v>3</v>
      </c>
      <c r="B22" s="493"/>
      <c r="C22" s="493"/>
      <c r="D22" s="178"/>
      <c r="E22" s="179"/>
      <c r="F22" s="179"/>
      <c r="G22" s="180"/>
      <c r="H22" s="181">
        <f>IF(G22-$D$8&gt;0,G22-$D$8,0)</f>
        <v>0</v>
      </c>
      <c r="I22" s="48"/>
    </row>
    <row r="23" spans="1:25" x14ac:dyDescent="0.35">
      <c r="A23" s="177">
        <f t="shared" si="0"/>
        <v>4</v>
      </c>
      <c r="B23" s="493"/>
      <c r="C23" s="493"/>
      <c r="D23" s="178"/>
      <c r="E23" s="179"/>
      <c r="F23" s="179"/>
      <c r="G23" s="180"/>
      <c r="H23" s="181">
        <f>IF(G23-$D$8&gt;0,G23-$D$8,0)</f>
        <v>0</v>
      </c>
      <c r="I23" s="48"/>
    </row>
    <row r="24" spans="1:25" x14ac:dyDescent="0.35">
      <c r="A24" s="177">
        <f t="shared" si="0"/>
        <v>5</v>
      </c>
      <c r="B24" s="493"/>
      <c r="C24" s="493"/>
      <c r="D24" s="178"/>
      <c r="E24" s="179"/>
      <c r="F24" s="179"/>
      <c r="G24" s="180"/>
      <c r="H24" s="181">
        <f>IF(G24-$D$8&gt;0,G24-$D$8,0)</f>
        <v>0</v>
      </c>
    </row>
    <row r="25" spans="1:25" x14ac:dyDescent="0.35">
      <c r="A25" s="182">
        <f t="shared" si="0"/>
        <v>6</v>
      </c>
      <c r="B25" s="100"/>
      <c r="C25" s="100"/>
      <c r="D25" s="100"/>
      <c r="E25" s="100"/>
      <c r="F25" s="100"/>
      <c r="G25" s="100"/>
      <c r="H25" s="183">
        <f>SUM(H20:H24)</f>
        <v>0</v>
      </c>
      <c r="I25" s="48"/>
    </row>
    <row r="26" spans="1:25" x14ac:dyDescent="0.35">
      <c r="A26" s="100"/>
      <c r="B26" s="100"/>
      <c r="C26" s="100"/>
      <c r="D26" s="100"/>
      <c r="E26" s="100"/>
      <c r="F26" s="100"/>
      <c r="G26" s="100"/>
      <c r="H26" s="100"/>
    </row>
    <row r="27" spans="1:25" x14ac:dyDescent="0.35">
      <c r="A27" s="182">
        <v>7</v>
      </c>
      <c r="B27" s="100"/>
      <c r="C27" s="100"/>
      <c r="D27" s="100"/>
      <c r="E27" s="100"/>
      <c r="F27" s="100"/>
      <c r="G27" s="184" t="s">
        <v>184</v>
      </c>
      <c r="H27" s="185">
        <f>SUMIF($D$20:$D$24,2,$H$20:$H$24)</f>
        <v>0</v>
      </c>
    </row>
    <row r="28" spans="1:25" x14ac:dyDescent="0.35">
      <c r="A28" s="182">
        <v>8</v>
      </c>
      <c r="B28" s="100"/>
      <c r="C28" s="100"/>
      <c r="D28" s="100"/>
      <c r="E28" s="100"/>
      <c r="F28" s="100"/>
      <c r="G28" s="184" t="s">
        <v>182</v>
      </c>
      <c r="H28" s="185">
        <f>SUMIF($D$20:$D$24,3,$H$20:$H$24)</f>
        <v>0</v>
      </c>
    </row>
    <row r="29" spans="1:25" x14ac:dyDescent="0.35">
      <c r="A29" s="182">
        <v>9</v>
      </c>
      <c r="B29" s="100"/>
      <c r="C29" s="100"/>
      <c r="D29" s="100"/>
      <c r="E29" s="100"/>
      <c r="F29" s="100"/>
      <c r="G29" s="184" t="s">
        <v>183</v>
      </c>
      <c r="H29" s="185">
        <f>SUMIF($D$20:$D$24,4,$H$20:$H$24)</f>
        <v>0</v>
      </c>
    </row>
    <row r="30" spans="1:25" x14ac:dyDescent="0.35">
      <c r="A30" s="182">
        <f t="shared" si="0"/>
        <v>10</v>
      </c>
      <c r="B30" s="100"/>
      <c r="C30" s="100"/>
      <c r="D30" s="100"/>
      <c r="E30" s="100"/>
      <c r="F30" s="100"/>
      <c r="G30" s="184" t="s">
        <v>185</v>
      </c>
      <c r="H30" s="185">
        <f>SUMIF($D$20:$D$24,5,$H$20:$H$24)</f>
        <v>0</v>
      </c>
    </row>
    <row r="31" spans="1:25" x14ac:dyDescent="0.35">
      <c r="A31" s="100"/>
      <c r="B31" s="100"/>
      <c r="C31" s="100"/>
      <c r="D31" s="100"/>
      <c r="E31" s="100"/>
      <c r="F31" s="100"/>
      <c r="G31" s="100"/>
      <c r="H31" s="186" t="str">
        <f>IF(SUM(H27:H30)&lt;&gt;H25,"error","")</f>
        <v/>
      </c>
    </row>
    <row r="32" spans="1:25" ht="15.65" customHeight="1" x14ac:dyDescent="0.35">
      <c r="A32" s="100"/>
      <c r="B32" s="187"/>
      <c r="C32" s="187"/>
      <c r="D32" s="187"/>
      <c r="E32" s="187"/>
      <c r="F32" s="187"/>
      <c r="G32" s="187"/>
      <c r="H32" s="188" t="s">
        <v>269</v>
      </c>
      <c r="I32" s="80"/>
      <c r="J32" s="80"/>
      <c r="K32" s="64"/>
      <c r="U32" s="65"/>
      <c r="V32" s="65"/>
      <c r="W32" s="65"/>
      <c r="X32" s="65"/>
      <c r="Y32" s="65"/>
    </row>
    <row r="33" spans="1:8" x14ac:dyDescent="0.35">
      <c r="A33" s="100"/>
      <c r="B33" s="100"/>
      <c r="C33" s="100"/>
      <c r="D33" s="100"/>
      <c r="E33" s="100"/>
      <c r="F33" s="100"/>
      <c r="G33" s="100"/>
      <c r="H33" s="100"/>
    </row>
    <row r="34" spans="1:8" x14ac:dyDescent="0.35">
      <c r="A34" s="100"/>
      <c r="B34" s="100"/>
      <c r="C34" s="100"/>
      <c r="D34" s="100"/>
      <c r="E34" s="100"/>
      <c r="F34" s="100"/>
      <c r="G34" s="100"/>
      <c r="H34" s="100"/>
    </row>
    <row r="35" spans="1:8" x14ac:dyDescent="0.35">
      <c r="A35" s="100"/>
      <c r="B35" s="100"/>
      <c r="C35" s="100"/>
      <c r="D35" s="100"/>
      <c r="E35" s="100"/>
      <c r="F35" s="100"/>
      <c r="G35" s="100"/>
      <c r="H35" s="100"/>
    </row>
    <row r="36" spans="1:8" x14ac:dyDescent="0.35">
      <c r="A36" s="100"/>
      <c r="B36" s="100"/>
      <c r="C36" s="100"/>
      <c r="D36" s="100"/>
      <c r="E36" s="100"/>
      <c r="F36" s="100"/>
      <c r="G36" s="100"/>
      <c r="H36" s="100"/>
    </row>
    <row r="37" spans="1:8" x14ac:dyDescent="0.35">
      <c r="A37" s="100"/>
      <c r="B37" s="100"/>
      <c r="C37" s="100"/>
      <c r="D37" s="100"/>
      <c r="E37" s="100"/>
      <c r="F37" s="100"/>
      <c r="G37" s="100"/>
      <c r="H37" s="100"/>
    </row>
    <row r="38" spans="1:8" x14ac:dyDescent="0.35">
      <c r="A38" s="100"/>
      <c r="B38" s="100"/>
      <c r="C38" s="100"/>
      <c r="D38" s="100"/>
      <c r="E38" s="100"/>
      <c r="F38" s="100"/>
      <c r="G38" s="100"/>
      <c r="H38" s="100"/>
    </row>
    <row r="39" spans="1:8" x14ac:dyDescent="0.35">
      <c r="A39" s="100"/>
      <c r="B39" s="100"/>
      <c r="C39" s="100"/>
      <c r="D39" s="100"/>
      <c r="E39" s="100"/>
      <c r="F39" s="100"/>
      <c r="G39" s="100"/>
      <c r="H39" s="100"/>
    </row>
    <row r="40" spans="1:8" x14ac:dyDescent="0.35">
      <c r="A40" s="100"/>
      <c r="B40" s="100"/>
      <c r="C40" s="100"/>
      <c r="D40" s="100"/>
      <c r="E40" s="100"/>
      <c r="F40" s="100"/>
      <c r="G40" s="100"/>
      <c r="H40" s="100"/>
    </row>
    <row r="41" spans="1:8" x14ac:dyDescent="0.35">
      <c r="A41" s="100"/>
      <c r="B41" s="100"/>
      <c r="C41" s="100"/>
      <c r="D41" s="100"/>
      <c r="E41" s="100"/>
      <c r="F41" s="100"/>
      <c r="G41" s="100"/>
      <c r="H41" s="100"/>
    </row>
    <row r="42" spans="1:8" x14ac:dyDescent="0.35">
      <c r="A42" s="100"/>
      <c r="B42" s="100"/>
      <c r="C42" s="100"/>
      <c r="D42" s="100"/>
      <c r="E42" s="100"/>
      <c r="F42" s="100"/>
      <c r="G42" s="100"/>
      <c r="H42" s="100"/>
    </row>
    <row r="43" spans="1:8" x14ac:dyDescent="0.35">
      <c r="A43" s="100"/>
      <c r="B43" s="100"/>
      <c r="C43" s="100"/>
      <c r="D43" s="100"/>
      <c r="E43" s="100"/>
      <c r="F43" s="100"/>
      <c r="G43" s="100"/>
      <c r="H43" s="100"/>
    </row>
    <row r="44" spans="1:8" x14ac:dyDescent="0.35">
      <c r="A44" s="100"/>
      <c r="B44" s="100"/>
      <c r="C44" s="100"/>
      <c r="D44" s="100"/>
      <c r="E44" s="100"/>
      <c r="F44" s="100"/>
      <c r="G44" s="100"/>
      <c r="H44" s="100"/>
    </row>
    <row r="45" spans="1:8" x14ac:dyDescent="0.35">
      <c r="A45" s="100"/>
      <c r="B45" s="100"/>
      <c r="C45" s="100"/>
      <c r="D45" s="100"/>
      <c r="E45" s="100"/>
      <c r="F45" s="100"/>
      <c r="G45" s="100"/>
      <c r="H45" s="100"/>
    </row>
    <row r="46" spans="1:8" x14ac:dyDescent="0.35">
      <c r="A46" s="100"/>
      <c r="B46" s="100"/>
      <c r="C46" s="100"/>
      <c r="D46" s="100"/>
      <c r="E46" s="100"/>
      <c r="F46" s="100"/>
      <c r="G46" s="100"/>
      <c r="H46" s="100"/>
    </row>
    <row r="47" spans="1:8" x14ac:dyDescent="0.35">
      <c r="A47" s="100"/>
      <c r="B47" s="100"/>
      <c r="C47" s="100"/>
      <c r="D47" s="100"/>
      <c r="E47" s="100"/>
      <c r="F47" s="100"/>
      <c r="G47" s="100"/>
      <c r="H47" s="100"/>
    </row>
    <row r="48" spans="1:8"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92" spans="4:4" hidden="1" x14ac:dyDescent="0.35">
      <c r="D92">
        <v>2</v>
      </c>
    </row>
    <row r="93" spans="4:4" hidden="1" x14ac:dyDescent="0.35">
      <c r="D93">
        <v>3</v>
      </c>
    </row>
    <row r="94" spans="4:4" hidden="1" x14ac:dyDescent="0.35">
      <c r="D94">
        <v>4</v>
      </c>
    </row>
    <row r="95" spans="4:4" hidden="1" x14ac:dyDescent="0.35">
      <c r="D95">
        <v>5</v>
      </c>
    </row>
  </sheetData>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9">
    <mergeCell ref="B22:C22"/>
    <mergeCell ref="B23:C23"/>
    <mergeCell ref="B24:C24"/>
    <mergeCell ref="A3:J3"/>
    <mergeCell ref="B19:C19"/>
    <mergeCell ref="A13:H16"/>
    <mergeCell ref="B18:C18"/>
    <mergeCell ref="B21:C21"/>
    <mergeCell ref="B20:C20"/>
  </mergeCells>
  <dataValidations count="1">
    <dataValidation type="list" allowBlank="1" showInputMessage="1" showErrorMessage="1" sqref="D20:D24" xr:uid="{00000000-0002-0000-1900-000000000000}">
      <formula1>$D$92:$D$95</formula1>
    </dataValidation>
  </dataValidations>
  <pageMargins left="0.7" right="0.7" top="0.75" bottom="0.75" header="0.3" footer="0.3"/>
  <pageSetup orientation="portrait" horizontalDpi="1200" verticalDpi="1200"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tabColor rgb="FF9CC5CA"/>
  </sheetPr>
  <dimension ref="A1:D44"/>
  <sheetViews>
    <sheetView workbookViewId="0">
      <selection activeCell="C6" sqref="C6"/>
    </sheetView>
  </sheetViews>
  <sheetFormatPr defaultRowHeight="14.5" x14ac:dyDescent="0.35"/>
  <cols>
    <col min="1" max="1" width="10.26953125" customWidth="1"/>
    <col min="2" max="2" width="12.7265625" customWidth="1"/>
    <col min="3" max="3" width="48.54296875" customWidth="1"/>
    <col min="4" max="4" width="16.1796875" customWidth="1"/>
  </cols>
  <sheetData>
    <row r="1" spans="1:4" ht="26" x14ac:dyDescent="0.6">
      <c r="A1" s="3" t="s">
        <v>774</v>
      </c>
      <c r="B1" s="3"/>
    </row>
    <row r="2" spans="1:4" ht="21" x14ac:dyDescent="0.5">
      <c r="A2" s="2" t="s">
        <v>772</v>
      </c>
      <c r="B2" s="2"/>
    </row>
    <row r="3" spans="1:4" ht="25" customHeight="1" x14ac:dyDescent="0.5">
      <c r="A3" s="5" t="s">
        <v>764</v>
      </c>
    </row>
    <row r="5" spans="1:4" x14ac:dyDescent="0.35">
      <c r="A5" s="1" t="s">
        <v>773</v>
      </c>
      <c r="C5" s="420">
        <f>'As-Filed Schedule 1'!C5</f>
        <v>0</v>
      </c>
    </row>
    <row r="6" spans="1:4" x14ac:dyDescent="0.35">
      <c r="A6" s="1" t="s">
        <v>0</v>
      </c>
      <c r="C6" s="35">
        <f>'As-Filed Schedule 1'!C6</f>
        <v>45473</v>
      </c>
      <c r="D6" s="56"/>
    </row>
    <row r="8" spans="1:4" ht="15" customHeight="1" x14ac:dyDescent="0.35">
      <c r="A8" t="s">
        <v>249</v>
      </c>
    </row>
    <row r="9" spans="1:4" ht="15" customHeight="1" x14ac:dyDescent="0.35"/>
    <row r="10" spans="1:4" ht="15" customHeight="1" x14ac:dyDescent="0.35">
      <c r="A10" t="s">
        <v>244</v>
      </c>
      <c r="B10" s="542" t="s">
        <v>934</v>
      </c>
      <c r="C10" s="542"/>
      <c r="D10" s="542"/>
    </row>
    <row r="11" spans="1:4" ht="15" customHeight="1" x14ac:dyDescent="0.35">
      <c r="B11" s="542"/>
      <c r="C11" s="542"/>
      <c r="D11" s="542"/>
    </row>
    <row r="12" spans="1:4" x14ac:dyDescent="0.35">
      <c r="B12" s="542"/>
      <c r="C12" s="542"/>
      <c r="D12" s="542"/>
    </row>
    <row r="13" spans="1:4" x14ac:dyDescent="0.35">
      <c r="B13" s="542"/>
      <c r="C13" s="542"/>
      <c r="D13" s="542"/>
    </row>
    <row r="15" spans="1:4" ht="15" customHeight="1" x14ac:dyDescent="0.35">
      <c r="A15" t="s">
        <v>245</v>
      </c>
      <c r="B15" s="542" t="s">
        <v>935</v>
      </c>
      <c r="C15" s="542"/>
      <c r="D15" s="542"/>
    </row>
    <row r="16" spans="1:4" ht="15" customHeight="1" x14ac:dyDescent="0.35">
      <c r="B16" s="542"/>
      <c r="C16" s="542"/>
      <c r="D16" s="542"/>
    </row>
    <row r="17" spans="1:4" x14ac:dyDescent="0.35">
      <c r="B17" s="542"/>
      <c r="C17" s="542"/>
      <c r="D17" s="542"/>
    </row>
    <row r="18" spans="1:4" x14ac:dyDescent="0.35">
      <c r="B18" s="542"/>
      <c r="C18" s="542"/>
      <c r="D18" s="542"/>
    </row>
    <row r="20" spans="1:4" ht="15" customHeight="1" x14ac:dyDescent="0.35">
      <c r="A20" t="s">
        <v>246</v>
      </c>
      <c r="B20" s="542" t="s">
        <v>936</v>
      </c>
      <c r="C20" s="542"/>
      <c r="D20" s="542"/>
    </row>
    <row r="21" spans="1:4" ht="15" customHeight="1" x14ac:dyDescent="0.35">
      <c r="B21" s="542"/>
      <c r="C21" s="542"/>
      <c r="D21" s="542"/>
    </row>
    <row r="22" spans="1:4" x14ac:dyDescent="0.35">
      <c r="B22" s="542"/>
      <c r="C22" s="542"/>
      <c r="D22" s="542"/>
    </row>
    <row r="23" spans="1:4" x14ac:dyDescent="0.35">
      <c r="B23" s="542"/>
      <c r="C23" s="542"/>
      <c r="D23" s="542"/>
    </row>
    <row r="25" spans="1:4" ht="15" customHeight="1" x14ac:dyDescent="0.35">
      <c r="A25" t="s">
        <v>247</v>
      </c>
      <c r="B25" s="542" t="s">
        <v>937</v>
      </c>
      <c r="C25" s="542"/>
      <c r="D25" s="542"/>
    </row>
    <row r="26" spans="1:4" ht="15" customHeight="1" x14ac:dyDescent="0.35">
      <c r="B26" s="542"/>
      <c r="C26" s="542"/>
      <c r="D26" s="542"/>
    </row>
    <row r="27" spans="1:4" x14ac:dyDescent="0.35">
      <c r="B27" s="542"/>
      <c r="C27" s="542"/>
      <c r="D27" s="542"/>
    </row>
    <row r="28" spans="1:4" x14ac:dyDescent="0.35">
      <c r="B28" s="542"/>
      <c r="C28" s="542"/>
      <c r="D28" s="542"/>
    </row>
    <row r="30" spans="1:4" ht="15" customHeight="1" x14ac:dyDescent="0.35">
      <c r="A30" t="s">
        <v>248</v>
      </c>
      <c r="B30" s="542" t="s">
        <v>938</v>
      </c>
      <c r="C30" s="542"/>
      <c r="D30" s="542"/>
    </row>
    <row r="31" spans="1:4" ht="15" customHeight="1" x14ac:dyDescent="0.35">
      <c r="B31" s="542"/>
      <c r="C31" s="542"/>
      <c r="D31" s="542"/>
    </row>
    <row r="32" spans="1:4" x14ac:dyDescent="0.35">
      <c r="B32" s="542"/>
      <c r="C32" s="542"/>
      <c r="D32" s="542"/>
    </row>
    <row r="33" spans="1:4" x14ac:dyDescent="0.35">
      <c r="B33" s="542"/>
      <c r="C33" s="542"/>
      <c r="D33" s="542"/>
    </row>
    <row r="35" spans="1:4" x14ac:dyDescent="0.35">
      <c r="A35" t="s">
        <v>205</v>
      </c>
      <c r="D35" s="459" t="s">
        <v>939</v>
      </c>
    </row>
    <row r="37" spans="1:4" x14ac:dyDescent="0.35">
      <c r="A37" t="s">
        <v>206</v>
      </c>
    </row>
    <row r="38" spans="1:4" x14ac:dyDescent="0.35">
      <c r="A38" s="541"/>
      <c r="B38" s="541"/>
      <c r="C38" s="541"/>
      <c r="D38" s="541"/>
    </row>
    <row r="39" spans="1:4" x14ac:dyDescent="0.35">
      <c r="A39" s="541"/>
      <c r="B39" s="541"/>
      <c r="C39" s="541"/>
      <c r="D39" s="541"/>
    </row>
    <row r="40" spans="1:4" x14ac:dyDescent="0.35">
      <c r="A40" s="541"/>
      <c r="B40" s="541"/>
      <c r="C40" s="541"/>
      <c r="D40" s="541"/>
    </row>
    <row r="41" spans="1:4" x14ac:dyDescent="0.35">
      <c r="A41" s="541"/>
      <c r="B41" s="541"/>
      <c r="C41" s="541"/>
      <c r="D41" s="541"/>
    </row>
    <row r="42" spans="1:4" x14ac:dyDescent="0.35">
      <c r="A42" s="541"/>
      <c r="B42" s="541"/>
      <c r="C42" s="541"/>
      <c r="D42" s="541"/>
    </row>
    <row r="43" spans="1:4" x14ac:dyDescent="0.35">
      <c r="A43" s="541"/>
      <c r="B43" s="541"/>
      <c r="C43" s="541"/>
      <c r="D43" s="541"/>
    </row>
    <row r="44" spans="1:4" x14ac:dyDescent="0.35">
      <c r="A44" s="541"/>
      <c r="B44" s="541"/>
      <c r="C44" s="541"/>
      <c r="D44" s="541"/>
    </row>
  </sheetData>
  <customSheetViews>
    <customSheetView guid="{27BAF95E-10B4-4025-9660-F5A8EBC66DC3}">
      <selection activeCell="C6" sqref="C6"/>
      <pageMargins left="0.7" right="0.7" top="0.75" bottom="0.75" header="0.3" footer="0.3"/>
    </customSheetView>
    <customSheetView guid="{D0F83CC0-0361-4280-BCA4-9A92C986158B}">
      <selection activeCell="C6" sqref="C6"/>
      <pageMargins left="0.7" right="0.7" top="0.75" bottom="0.75" header="0.3" footer="0.3"/>
    </customSheetView>
  </customSheetViews>
  <mergeCells count="6">
    <mergeCell ref="A38:D44"/>
    <mergeCell ref="B10:D13"/>
    <mergeCell ref="B15:D18"/>
    <mergeCell ref="B20:D23"/>
    <mergeCell ref="B25:D28"/>
    <mergeCell ref="B30:D3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tabColor rgb="FF9CC5CA"/>
  </sheetPr>
  <dimension ref="A1:X99"/>
  <sheetViews>
    <sheetView workbookViewId="0">
      <selection activeCell="C6" sqref="C6"/>
    </sheetView>
  </sheetViews>
  <sheetFormatPr defaultRowHeight="14.5" x14ac:dyDescent="0.35"/>
  <cols>
    <col min="1" max="1" width="6.54296875" customWidth="1"/>
    <col min="2" max="2" width="18.453125" customWidth="1"/>
    <col min="3" max="3" width="13.81640625" customWidth="1"/>
    <col min="4" max="7" width="20.26953125" customWidth="1"/>
    <col min="8" max="8" width="20.81640625" style="69" customWidth="1"/>
    <col min="9" max="9" width="36.7265625" customWidth="1"/>
    <col min="11" max="11" width="43.81640625" customWidth="1"/>
    <col min="12" max="13" width="32.7265625" customWidth="1"/>
  </cols>
  <sheetData>
    <row r="1" spans="1:24" ht="26" x14ac:dyDescent="0.6">
      <c r="A1" s="3" t="s">
        <v>774</v>
      </c>
      <c r="B1" s="3"/>
      <c r="C1" s="3"/>
    </row>
    <row r="2" spans="1:24" ht="21" x14ac:dyDescent="0.5">
      <c r="A2" s="2" t="s">
        <v>772</v>
      </c>
      <c r="B2" s="2"/>
      <c r="C2" s="2"/>
    </row>
    <row r="3" spans="1:24" ht="25" customHeight="1" x14ac:dyDescent="0.5">
      <c r="A3" s="5" t="s">
        <v>765</v>
      </c>
    </row>
    <row r="5" spans="1:24" x14ac:dyDescent="0.35">
      <c r="A5" s="1" t="s">
        <v>773</v>
      </c>
      <c r="C5" s="420">
        <f>'As-Filed Schedule 1'!C5</f>
        <v>0</v>
      </c>
      <c r="D5" s="412"/>
    </row>
    <row r="6" spans="1:24" x14ac:dyDescent="0.35">
      <c r="A6" s="1" t="s">
        <v>0</v>
      </c>
      <c r="C6" s="35">
        <f>'As-Filed Schedule 1'!C6</f>
        <v>45473</v>
      </c>
      <c r="D6" s="413"/>
      <c r="E6" s="56"/>
      <c r="G6" s="40"/>
      <c r="K6" s="130"/>
      <c r="L6" s="130"/>
      <c r="M6" s="130"/>
    </row>
    <row r="7" spans="1:24" x14ac:dyDescent="0.35">
      <c r="G7" s="40"/>
      <c r="K7" s="40"/>
      <c r="L7" s="40"/>
      <c r="M7" s="40"/>
    </row>
    <row r="8" spans="1:24" x14ac:dyDescent="0.35">
      <c r="A8" s="1" t="s">
        <v>272</v>
      </c>
      <c r="G8" s="40"/>
      <c r="K8" s="40"/>
      <c r="L8" s="40"/>
      <c r="M8" s="40"/>
    </row>
    <row r="9" spans="1:24" ht="15" customHeight="1" x14ac:dyDescent="0.35">
      <c r="A9" s="502" t="s">
        <v>922</v>
      </c>
      <c r="B9" s="502"/>
      <c r="C9" s="502"/>
      <c r="D9" s="502"/>
      <c r="E9" s="502"/>
      <c r="F9" s="502"/>
      <c r="G9" s="502"/>
      <c r="H9" s="502"/>
      <c r="I9" s="502"/>
      <c r="J9" s="64"/>
      <c r="K9" s="40"/>
      <c r="L9" s="40"/>
      <c r="M9" s="40"/>
      <c r="T9" s="65"/>
      <c r="U9" s="65"/>
      <c r="V9" s="65"/>
      <c r="W9" s="65"/>
      <c r="X9" s="65"/>
    </row>
    <row r="10" spans="1:24" ht="15" customHeight="1" x14ac:dyDescent="0.35">
      <c r="A10" s="502"/>
      <c r="B10" s="502"/>
      <c r="C10" s="502"/>
      <c r="D10" s="502"/>
      <c r="E10" s="502"/>
      <c r="F10" s="502"/>
      <c r="G10" s="502"/>
      <c r="H10" s="502"/>
      <c r="I10" s="502"/>
      <c r="J10" s="64"/>
      <c r="K10" s="40"/>
      <c r="L10" s="40"/>
      <c r="M10" s="40"/>
      <c r="T10" s="65"/>
      <c r="U10" s="65"/>
      <c r="V10" s="65"/>
      <c r="W10" s="65"/>
      <c r="X10" s="65"/>
    </row>
    <row r="11" spans="1:24" x14ac:dyDescent="0.35">
      <c r="A11" s="502"/>
      <c r="B11" s="502"/>
      <c r="C11" s="502"/>
      <c r="D11" s="502"/>
      <c r="E11" s="502"/>
      <c r="F11" s="502"/>
      <c r="G11" s="502"/>
      <c r="H11" s="502"/>
      <c r="I11" s="502"/>
      <c r="J11" s="64"/>
      <c r="T11" s="65"/>
      <c r="U11" s="65"/>
      <c r="V11" s="65"/>
      <c r="W11" s="65"/>
      <c r="X11" s="65"/>
    </row>
    <row r="12" spans="1:24" x14ac:dyDescent="0.35">
      <c r="A12" s="189"/>
      <c r="B12" s="189"/>
      <c r="C12" s="189"/>
      <c r="D12" s="189"/>
      <c r="E12" s="189"/>
      <c r="F12" s="189"/>
      <c r="G12" s="189"/>
      <c r="H12" s="189"/>
      <c r="I12" s="189"/>
      <c r="J12" s="64"/>
      <c r="T12" s="65"/>
      <c r="U12" s="65"/>
      <c r="V12" s="65"/>
      <c r="W12" s="65"/>
      <c r="X12" s="65"/>
    </row>
    <row r="13" spans="1:24" ht="15" customHeight="1" x14ac:dyDescent="0.35">
      <c r="A13" s="190"/>
      <c r="B13" s="503">
        <v>1</v>
      </c>
      <c r="C13" s="503"/>
      <c r="D13" s="175">
        <v>2</v>
      </c>
      <c r="E13" s="175">
        <v>3</v>
      </c>
      <c r="F13" s="175">
        <v>4</v>
      </c>
      <c r="G13" s="175">
        <v>5</v>
      </c>
      <c r="H13" s="175">
        <v>6</v>
      </c>
      <c r="I13" s="175">
        <v>7</v>
      </c>
      <c r="J13" s="64"/>
      <c r="T13" s="65"/>
      <c r="U13" s="65"/>
      <c r="V13" s="65"/>
      <c r="W13" s="65"/>
      <c r="X13" s="65"/>
    </row>
    <row r="14" spans="1:24" s="4" customFormat="1" ht="61.5" customHeight="1" x14ac:dyDescent="0.35">
      <c r="A14" s="191"/>
      <c r="B14" s="498" t="s">
        <v>277</v>
      </c>
      <c r="C14" s="504"/>
      <c r="D14" s="151" t="s">
        <v>781</v>
      </c>
      <c r="E14" s="192" t="s">
        <v>263</v>
      </c>
      <c r="F14" s="151" t="s">
        <v>785</v>
      </c>
      <c r="G14" s="193" t="s">
        <v>268</v>
      </c>
      <c r="H14" s="192" t="s">
        <v>243</v>
      </c>
      <c r="I14" s="151" t="s">
        <v>278</v>
      </c>
      <c r="J14" s="66"/>
      <c r="T14" s="67"/>
      <c r="U14" s="67"/>
      <c r="V14" s="67"/>
      <c r="W14" s="67"/>
      <c r="X14" s="67"/>
    </row>
    <row r="15" spans="1:24" s="4" customFormat="1" ht="29" x14ac:dyDescent="0.35">
      <c r="A15" s="182">
        <v>1</v>
      </c>
      <c r="B15" s="543" t="s">
        <v>940</v>
      </c>
      <c r="C15" s="543"/>
      <c r="D15" s="180">
        <v>892104</v>
      </c>
      <c r="E15" s="460">
        <v>811686.14557370916</v>
      </c>
      <c r="F15" s="194">
        <f>IF(D15-E15&lt;0,0,D15-E15)</f>
        <v>80417.85442629084</v>
      </c>
      <c r="G15" s="462">
        <v>2</v>
      </c>
      <c r="H15" s="463" t="s">
        <v>941</v>
      </c>
      <c r="I15" s="461" t="s">
        <v>942</v>
      </c>
      <c r="J15" s="66"/>
      <c r="T15" s="67"/>
      <c r="U15" s="67"/>
      <c r="V15" s="67"/>
      <c r="W15" s="67"/>
      <c r="X15" s="67"/>
    </row>
    <row r="16" spans="1:24" s="4" customFormat="1" ht="58" x14ac:dyDescent="0.35">
      <c r="A16" s="182">
        <f>A15+1</f>
        <v>2</v>
      </c>
      <c r="B16" s="543" t="s">
        <v>940</v>
      </c>
      <c r="C16" s="543"/>
      <c r="D16" s="180">
        <v>465948</v>
      </c>
      <c r="E16" s="460">
        <v>423945.56706143974</v>
      </c>
      <c r="F16" s="194">
        <f t="shared" ref="F16:F24" si="0">IF(D16-E16&lt;0,0,D16-E16)</f>
        <v>42002.432938560261</v>
      </c>
      <c r="G16" s="462">
        <v>3</v>
      </c>
      <c r="H16" s="463" t="s">
        <v>943</v>
      </c>
      <c r="I16" s="461" t="s">
        <v>942</v>
      </c>
      <c r="J16" s="142"/>
      <c r="T16" s="67"/>
      <c r="U16" s="67"/>
      <c r="V16" s="67"/>
      <c r="W16" s="67"/>
      <c r="X16" s="67"/>
    </row>
    <row r="17" spans="1:24" s="4" customFormat="1" ht="15" customHeight="1" x14ac:dyDescent="0.35">
      <c r="A17" s="182">
        <f t="shared" ref="A17:A30" si="1">A16+1</f>
        <v>3</v>
      </c>
      <c r="B17" s="493"/>
      <c r="C17" s="493"/>
      <c r="D17" s="180"/>
      <c r="E17" s="180"/>
      <c r="F17" s="194">
        <f t="shared" si="0"/>
        <v>0</v>
      </c>
      <c r="G17" s="195"/>
      <c r="H17" s="178"/>
      <c r="I17" s="196"/>
      <c r="J17" s="66"/>
      <c r="T17" s="67"/>
      <c r="U17" s="67"/>
      <c r="V17" s="67"/>
      <c r="W17" s="67"/>
      <c r="X17" s="67"/>
    </row>
    <row r="18" spans="1:24" s="4" customFormat="1" ht="15" customHeight="1" x14ac:dyDescent="0.35">
      <c r="A18" s="182">
        <f t="shared" si="1"/>
        <v>4</v>
      </c>
      <c r="B18" s="493"/>
      <c r="C18" s="493"/>
      <c r="D18" s="180"/>
      <c r="E18" s="180"/>
      <c r="F18" s="194">
        <f t="shared" si="0"/>
        <v>0</v>
      </c>
      <c r="G18" s="195"/>
      <c r="H18" s="178"/>
      <c r="I18" s="196"/>
      <c r="J18" s="66"/>
      <c r="T18" s="67"/>
      <c r="U18" s="67"/>
      <c r="V18" s="67"/>
      <c r="W18" s="67"/>
      <c r="X18" s="67"/>
    </row>
    <row r="19" spans="1:24" s="4" customFormat="1" ht="15" customHeight="1" x14ac:dyDescent="0.35">
      <c r="A19" s="182">
        <f t="shared" si="1"/>
        <v>5</v>
      </c>
      <c r="B19" s="493"/>
      <c r="C19" s="493"/>
      <c r="D19" s="180"/>
      <c r="E19" s="180"/>
      <c r="F19" s="194">
        <f t="shared" si="0"/>
        <v>0</v>
      </c>
      <c r="G19" s="195"/>
      <c r="H19" s="178"/>
      <c r="I19" s="196"/>
      <c r="J19" s="66"/>
      <c r="T19" s="67"/>
      <c r="U19" s="67"/>
      <c r="V19" s="67"/>
      <c r="W19" s="67"/>
      <c r="X19" s="67"/>
    </row>
    <row r="20" spans="1:24" s="4" customFormat="1" ht="15" customHeight="1" x14ac:dyDescent="0.35">
      <c r="A20" s="182">
        <f t="shared" si="1"/>
        <v>6</v>
      </c>
      <c r="B20" s="493"/>
      <c r="C20" s="493"/>
      <c r="D20" s="180"/>
      <c r="E20" s="180"/>
      <c r="F20" s="194">
        <f t="shared" si="0"/>
        <v>0</v>
      </c>
      <c r="G20" s="195"/>
      <c r="H20" s="178"/>
      <c r="I20" s="196"/>
      <c r="J20" s="66"/>
      <c r="T20" s="67"/>
      <c r="U20" s="67"/>
      <c r="V20" s="67"/>
      <c r="W20" s="67"/>
      <c r="X20" s="67"/>
    </row>
    <row r="21" spans="1:24" s="4" customFormat="1" ht="15" customHeight="1" x14ac:dyDescent="0.35">
      <c r="A21" s="182">
        <f t="shared" si="1"/>
        <v>7</v>
      </c>
      <c r="B21" s="493"/>
      <c r="C21" s="493"/>
      <c r="D21" s="180"/>
      <c r="E21" s="180"/>
      <c r="F21" s="194">
        <f t="shared" si="0"/>
        <v>0</v>
      </c>
      <c r="G21" s="195"/>
      <c r="H21" s="178"/>
      <c r="I21" s="196"/>
      <c r="J21" s="66"/>
      <c r="T21" s="67"/>
      <c r="U21" s="67"/>
      <c r="V21" s="67"/>
      <c r="W21" s="67"/>
      <c r="X21" s="67"/>
    </row>
    <row r="22" spans="1:24" s="4" customFormat="1" ht="15" customHeight="1" x14ac:dyDescent="0.35">
      <c r="A22" s="182">
        <f t="shared" si="1"/>
        <v>8</v>
      </c>
      <c r="B22" s="493"/>
      <c r="C22" s="493"/>
      <c r="D22" s="180"/>
      <c r="E22" s="180"/>
      <c r="F22" s="194">
        <f t="shared" si="0"/>
        <v>0</v>
      </c>
      <c r="G22" s="195"/>
      <c r="H22" s="178"/>
      <c r="I22" s="196"/>
      <c r="J22" s="66"/>
      <c r="T22" s="67"/>
      <c r="U22" s="67"/>
      <c r="V22" s="67"/>
      <c r="W22" s="67"/>
      <c r="X22" s="67"/>
    </row>
    <row r="23" spans="1:24" s="4" customFormat="1" ht="15" customHeight="1" x14ac:dyDescent="0.35">
      <c r="A23" s="182">
        <f t="shared" si="1"/>
        <v>9</v>
      </c>
      <c r="B23" s="493"/>
      <c r="C23" s="493"/>
      <c r="D23" s="180"/>
      <c r="E23" s="180"/>
      <c r="F23" s="194">
        <f t="shared" si="0"/>
        <v>0</v>
      </c>
      <c r="G23" s="195"/>
      <c r="H23" s="178"/>
      <c r="I23" s="196"/>
      <c r="J23" s="66"/>
      <c r="T23" s="67"/>
      <c r="U23" s="67"/>
      <c r="V23" s="67"/>
      <c r="W23" s="67"/>
      <c r="X23" s="67"/>
    </row>
    <row r="24" spans="1:24" s="4" customFormat="1" ht="15" customHeight="1" x14ac:dyDescent="0.35">
      <c r="A24" s="182">
        <f t="shared" si="1"/>
        <v>10</v>
      </c>
      <c r="B24" s="493"/>
      <c r="C24" s="493"/>
      <c r="D24" s="180"/>
      <c r="E24" s="180"/>
      <c r="F24" s="194">
        <f t="shared" si="0"/>
        <v>0</v>
      </c>
      <c r="G24" s="195"/>
      <c r="H24" s="178"/>
      <c r="I24" s="196"/>
      <c r="J24" s="66"/>
      <c r="T24" s="67"/>
      <c r="U24" s="67"/>
      <c r="V24" s="67"/>
      <c r="W24" s="67"/>
      <c r="X24" s="67"/>
    </row>
    <row r="25" spans="1:24" s="4" customFormat="1" ht="15" customHeight="1" x14ac:dyDescent="0.35">
      <c r="A25" s="182">
        <f t="shared" si="1"/>
        <v>11</v>
      </c>
      <c r="B25" s="191"/>
      <c r="C25" s="191"/>
      <c r="D25" s="197"/>
      <c r="E25" s="191"/>
      <c r="F25" s="185">
        <f>SUM(F15:F24)</f>
        <v>122420.2873648511</v>
      </c>
      <c r="G25" s="191"/>
      <c r="H25" s="198"/>
      <c r="I25" s="191"/>
      <c r="J25" s="66"/>
      <c r="T25" s="67"/>
      <c r="U25" s="67"/>
      <c r="V25" s="67"/>
      <c r="W25" s="67"/>
      <c r="X25" s="67"/>
    </row>
    <row r="26" spans="1:24" s="4" customFormat="1" ht="15" customHeight="1" x14ac:dyDescent="0.35">
      <c r="A26" s="199"/>
      <c r="B26" s="191"/>
      <c r="C26" s="191"/>
      <c r="D26" s="197"/>
      <c r="E26" s="191"/>
      <c r="F26" s="191"/>
      <c r="G26" s="191"/>
      <c r="H26" s="198"/>
      <c r="I26" s="191"/>
      <c r="J26" s="66"/>
      <c r="T26" s="67"/>
      <c r="U26" s="67"/>
      <c r="V26" s="67"/>
      <c r="W26" s="67"/>
      <c r="X26" s="67"/>
    </row>
    <row r="27" spans="1:24" x14ac:dyDescent="0.35">
      <c r="A27" s="182">
        <v>12</v>
      </c>
      <c r="B27" s="100"/>
      <c r="C27" s="100"/>
      <c r="D27" s="100"/>
      <c r="E27" s="184" t="s">
        <v>184</v>
      </c>
      <c r="F27" s="185">
        <f>SUMIF($G$15:$G$24,2,$F$15:$F$24)</f>
        <v>80417.85442629084</v>
      </c>
      <c r="G27" s="191"/>
      <c r="H27" s="100"/>
      <c r="I27" s="100"/>
    </row>
    <row r="28" spans="1:24" x14ac:dyDescent="0.35">
      <c r="A28" s="182">
        <v>13</v>
      </c>
      <c r="B28" s="100"/>
      <c r="C28" s="100"/>
      <c r="D28" s="100"/>
      <c r="E28" s="184" t="s">
        <v>182</v>
      </c>
      <c r="F28" s="185">
        <f>SUMIF($G$15:$G$24,3,$F$15:$F$24)</f>
        <v>42002.432938560261</v>
      </c>
      <c r="G28" s="191"/>
      <c r="H28" s="100"/>
      <c r="I28" s="100"/>
    </row>
    <row r="29" spans="1:24" x14ac:dyDescent="0.35">
      <c r="A29" s="182">
        <f t="shared" si="1"/>
        <v>14</v>
      </c>
      <c r="B29" s="100"/>
      <c r="C29" s="100"/>
      <c r="D29" s="100"/>
      <c r="E29" s="184" t="s">
        <v>183</v>
      </c>
      <c r="F29" s="185">
        <f>SUMIF($G$15:$G$24,4,$F$15:$F$24)</f>
        <v>0</v>
      </c>
      <c r="G29" s="191"/>
      <c r="H29" s="100"/>
      <c r="I29" s="100"/>
    </row>
    <row r="30" spans="1:24" x14ac:dyDescent="0.35">
      <c r="A30" s="182">
        <f t="shared" si="1"/>
        <v>15</v>
      </c>
      <c r="B30" s="100"/>
      <c r="C30" s="100"/>
      <c r="D30" s="100"/>
      <c r="E30" s="184" t="s">
        <v>185</v>
      </c>
      <c r="F30" s="185">
        <f>SUMIF($G$15:$G$24,5,$F$15:$F$24)</f>
        <v>0</v>
      </c>
      <c r="G30" s="191"/>
      <c r="H30" s="100"/>
      <c r="I30" s="100"/>
    </row>
    <row r="31" spans="1:24" x14ac:dyDescent="0.35">
      <c r="A31" s="100"/>
      <c r="B31" s="100"/>
      <c r="C31" s="100"/>
      <c r="D31" s="100"/>
      <c r="E31" s="100"/>
      <c r="F31" s="186" t="str">
        <f>IF(SUM(F27:F30)&lt;&gt;F25,"error","")</f>
        <v/>
      </c>
      <c r="G31" s="191"/>
      <c r="H31" s="100"/>
      <c r="I31" s="100"/>
    </row>
    <row r="32" spans="1:24" ht="15.65" customHeight="1" x14ac:dyDescent="0.35">
      <c r="A32" s="100"/>
      <c r="B32" s="187"/>
      <c r="C32" s="187"/>
      <c r="D32" s="187"/>
      <c r="E32" s="187"/>
      <c r="F32" s="188" t="s">
        <v>271</v>
      </c>
      <c r="G32" s="188"/>
      <c r="H32" s="187"/>
      <c r="I32" s="187"/>
      <c r="J32" s="64"/>
      <c r="T32" s="65"/>
      <c r="U32" s="65"/>
      <c r="V32" s="65"/>
      <c r="W32" s="65"/>
      <c r="X32" s="65"/>
    </row>
    <row r="33" spans="1:24" x14ac:dyDescent="0.35">
      <c r="A33" s="200"/>
      <c r="B33" s="201"/>
      <c r="C33" s="201"/>
      <c r="D33" s="202"/>
      <c r="E33" s="201"/>
      <c r="F33" s="201"/>
      <c r="G33" s="201"/>
      <c r="H33" s="203"/>
      <c r="I33" s="201"/>
      <c r="J33" s="64"/>
      <c r="T33" s="65"/>
      <c r="U33" s="65"/>
      <c r="V33" s="65"/>
      <c r="W33" s="65"/>
      <c r="X33" s="65"/>
    </row>
    <row r="34" spans="1:24" ht="15.65" customHeight="1" x14ac:dyDescent="0.35">
      <c r="A34" s="501" t="s">
        <v>923</v>
      </c>
      <c r="B34" s="501"/>
      <c r="C34" s="501"/>
      <c r="D34" s="501"/>
      <c r="E34" s="501"/>
      <c r="F34" s="501"/>
      <c r="G34" s="501"/>
      <c r="H34" s="501"/>
      <c r="I34" s="501"/>
      <c r="J34" s="64"/>
      <c r="T34" s="65"/>
      <c r="U34" s="65"/>
      <c r="V34" s="65"/>
      <c r="W34" s="65"/>
      <c r="X34" s="65"/>
    </row>
    <row r="35" spans="1:24" x14ac:dyDescent="0.35">
      <c r="A35" s="501"/>
      <c r="B35" s="501"/>
      <c r="C35" s="501"/>
      <c r="D35" s="501"/>
      <c r="E35" s="501"/>
      <c r="F35" s="501"/>
      <c r="G35" s="501"/>
      <c r="H35" s="501"/>
      <c r="I35" s="501"/>
      <c r="J35" s="64"/>
      <c r="T35" s="65"/>
      <c r="U35" s="65"/>
      <c r="V35" s="65"/>
      <c r="W35" s="65"/>
      <c r="X35" s="65"/>
    </row>
    <row r="36" spans="1:24" x14ac:dyDescent="0.35">
      <c r="A36" s="501"/>
      <c r="B36" s="501"/>
      <c r="C36" s="501"/>
      <c r="D36" s="501"/>
      <c r="E36" s="501"/>
      <c r="F36" s="501"/>
      <c r="G36" s="501"/>
      <c r="H36" s="501"/>
      <c r="I36" s="501"/>
      <c r="J36" s="64"/>
      <c r="T36" s="65"/>
      <c r="U36" s="65"/>
      <c r="V36" s="65"/>
      <c r="W36" s="65"/>
      <c r="X36" s="65"/>
    </row>
    <row r="37" spans="1:24" x14ac:dyDescent="0.35">
      <c r="A37" s="501"/>
      <c r="B37" s="501"/>
      <c r="C37" s="501"/>
      <c r="D37" s="501"/>
      <c r="E37" s="501"/>
      <c r="F37" s="501"/>
      <c r="G37" s="501"/>
      <c r="H37" s="501"/>
      <c r="I37" s="501"/>
      <c r="J37" s="64"/>
      <c r="T37" s="65"/>
      <c r="U37" s="65"/>
      <c r="V37" s="65"/>
      <c r="W37" s="65"/>
      <c r="X37" s="65"/>
    </row>
    <row r="38" spans="1:24" x14ac:dyDescent="0.35">
      <c r="A38" s="501"/>
      <c r="B38" s="501"/>
      <c r="C38" s="501"/>
      <c r="D38" s="501"/>
      <c r="E38" s="501"/>
      <c r="F38" s="501"/>
      <c r="G38" s="501"/>
      <c r="H38" s="501"/>
      <c r="I38" s="501"/>
      <c r="J38" s="64"/>
      <c r="T38" s="65"/>
      <c r="U38" s="65"/>
      <c r="V38" s="65"/>
      <c r="W38" s="65"/>
      <c r="X38" s="65"/>
    </row>
    <row r="39" spans="1:24" x14ac:dyDescent="0.35">
      <c r="A39" s="501"/>
      <c r="B39" s="501"/>
      <c r="C39" s="501"/>
      <c r="D39" s="501"/>
      <c r="E39" s="501"/>
      <c r="F39" s="501"/>
      <c r="G39" s="501"/>
      <c r="H39" s="501"/>
      <c r="I39" s="501"/>
      <c r="J39" s="64"/>
      <c r="T39" s="65"/>
      <c r="U39" s="65"/>
      <c r="V39" s="65"/>
      <c r="W39" s="65"/>
      <c r="X39" s="65"/>
    </row>
    <row r="40" spans="1:24" ht="14.25" customHeight="1" x14ac:dyDescent="0.35">
      <c r="A40" s="100"/>
      <c r="B40" s="100"/>
      <c r="C40" s="100"/>
      <c r="D40" s="100"/>
      <c r="E40" s="100"/>
      <c r="F40" s="100"/>
      <c r="G40" s="100"/>
      <c r="H40" s="113"/>
      <c r="I40" s="100"/>
    </row>
    <row r="41" spans="1:24" x14ac:dyDescent="0.35">
      <c r="A41" s="100"/>
      <c r="B41" s="100"/>
      <c r="C41" s="100"/>
      <c r="D41" s="100"/>
      <c r="E41" s="100"/>
      <c r="F41" s="100"/>
      <c r="G41" s="100"/>
      <c r="H41" s="113"/>
      <c r="I41" s="100"/>
    </row>
    <row r="42" spans="1:24" x14ac:dyDescent="0.35">
      <c r="A42" s="100"/>
      <c r="B42" s="100"/>
      <c r="C42" s="100"/>
      <c r="D42" s="100"/>
      <c r="E42" s="100"/>
      <c r="F42" s="100"/>
      <c r="G42" s="100"/>
      <c r="H42" s="113"/>
      <c r="I42" s="100"/>
    </row>
    <row r="43" spans="1:24" x14ac:dyDescent="0.35">
      <c r="A43" s="100"/>
      <c r="B43" s="100"/>
      <c r="C43" s="100"/>
      <c r="D43" s="100"/>
      <c r="E43" s="100"/>
      <c r="F43" s="100"/>
      <c r="G43" s="100"/>
      <c r="H43" s="113"/>
      <c r="I43" s="100"/>
    </row>
    <row r="44" spans="1:24" x14ac:dyDescent="0.35">
      <c r="A44" s="100"/>
      <c r="B44" s="100"/>
      <c r="C44" s="100"/>
      <c r="D44" s="100"/>
      <c r="E44" s="100"/>
      <c r="F44" s="100"/>
      <c r="G44" s="100"/>
      <c r="H44" s="113"/>
      <c r="I44" s="100"/>
    </row>
    <row r="45" spans="1:24" x14ac:dyDescent="0.35">
      <c r="A45" s="100"/>
      <c r="B45" s="100"/>
      <c r="C45" s="100"/>
      <c r="D45" s="100"/>
      <c r="E45" s="100"/>
      <c r="F45" s="100"/>
      <c r="G45" s="100"/>
      <c r="H45" s="113"/>
      <c r="I45" s="100"/>
    </row>
    <row r="46" spans="1:24" x14ac:dyDescent="0.35">
      <c r="A46" s="100"/>
      <c r="B46" s="100"/>
      <c r="C46" s="100"/>
      <c r="D46" s="100"/>
      <c r="E46" s="100"/>
      <c r="F46" s="100"/>
      <c r="G46" s="100"/>
      <c r="H46" s="113"/>
      <c r="I46" s="100"/>
    </row>
    <row r="47" spans="1:24" x14ac:dyDescent="0.35">
      <c r="A47" s="100"/>
      <c r="B47" s="100"/>
      <c r="C47" s="100"/>
      <c r="D47" s="100"/>
      <c r="E47" s="100"/>
      <c r="F47" s="100"/>
      <c r="G47" s="100"/>
      <c r="H47" s="113"/>
      <c r="I47" s="100"/>
    </row>
    <row r="48" spans="1:24" x14ac:dyDescent="0.35">
      <c r="A48" s="100"/>
      <c r="B48" s="100"/>
      <c r="C48" s="100"/>
      <c r="D48" s="100"/>
      <c r="E48" s="100"/>
      <c r="F48" s="100"/>
      <c r="G48" s="100"/>
      <c r="H48" s="113"/>
      <c r="I48" s="100"/>
    </row>
    <row r="49" spans="1:9" x14ac:dyDescent="0.35">
      <c r="A49" s="100"/>
      <c r="B49" s="100"/>
      <c r="C49" s="100"/>
      <c r="D49" s="100"/>
      <c r="E49" s="100"/>
      <c r="F49" s="100"/>
      <c r="G49" s="100"/>
      <c r="H49" s="113"/>
      <c r="I49" s="100"/>
    </row>
    <row r="50" spans="1:9" x14ac:dyDescent="0.35">
      <c r="A50" s="100"/>
      <c r="B50" s="100"/>
      <c r="C50" s="100"/>
      <c r="D50" s="100"/>
      <c r="E50" s="100"/>
      <c r="F50" s="100"/>
      <c r="G50" s="100"/>
      <c r="H50" s="113"/>
      <c r="I50" s="100"/>
    </row>
    <row r="51" spans="1:9" x14ac:dyDescent="0.35">
      <c r="A51" s="100"/>
      <c r="B51" s="100"/>
      <c r="C51" s="100"/>
      <c r="D51" s="100"/>
      <c r="E51" s="100"/>
      <c r="F51" s="100"/>
      <c r="G51" s="100"/>
      <c r="H51" s="113"/>
      <c r="I51" s="100"/>
    </row>
    <row r="52" spans="1:9" x14ac:dyDescent="0.35">
      <c r="A52" s="100"/>
      <c r="B52" s="100"/>
      <c r="C52" s="100"/>
      <c r="D52" s="100"/>
      <c r="E52" s="100"/>
      <c r="F52" s="100"/>
      <c r="G52" s="100"/>
      <c r="H52" s="113"/>
      <c r="I52" s="100"/>
    </row>
    <row r="53" spans="1:9" x14ac:dyDescent="0.35">
      <c r="A53" s="100"/>
      <c r="B53" s="100"/>
      <c r="C53" s="100"/>
      <c r="D53" s="100"/>
      <c r="E53" s="100"/>
      <c r="F53" s="100"/>
      <c r="G53" s="100"/>
      <c r="H53" s="113"/>
      <c r="I53" s="100"/>
    </row>
    <row r="54" spans="1:9" x14ac:dyDescent="0.35">
      <c r="A54" s="100"/>
      <c r="B54" s="100"/>
      <c r="C54" s="100"/>
      <c r="D54" s="100"/>
      <c r="E54" s="100"/>
      <c r="F54" s="100"/>
      <c r="G54" s="100"/>
      <c r="H54" s="113"/>
      <c r="I54" s="100"/>
    </row>
    <row r="55" spans="1:9" x14ac:dyDescent="0.35">
      <c r="A55" s="100"/>
      <c r="B55" s="100"/>
      <c r="C55" s="100"/>
      <c r="D55" s="100"/>
      <c r="E55" s="100"/>
      <c r="F55" s="100"/>
      <c r="G55" s="100"/>
      <c r="H55" s="113"/>
      <c r="I55" s="100"/>
    </row>
    <row r="56" spans="1:9" x14ac:dyDescent="0.35">
      <c r="A56" s="100"/>
      <c r="B56" s="100"/>
      <c r="C56" s="100"/>
      <c r="D56" s="100"/>
      <c r="E56" s="100"/>
      <c r="F56" s="100"/>
      <c r="G56" s="100"/>
      <c r="H56" s="113"/>
      <c r="I56" s="100"/>
    </row>
    <row r="57" spans="1:9" x14ac:dyDescent="0.35">
      <c r="A57" s="100"/>
      <c r="B57" s="100"/>
      <c r="C57" s="100"/>
      <c r="D57" s="100"/>
      <c r="E57" s="100"/>
      <c r="F57" s="100"/>
      <c r="G57" s="100"/>
      <c r="H57" s="113"/>
      <c r="I57" s="100"/>
    </row>
    <row r="58" spans="1:9" x14ac:dyDescent="0.35">
      <c r="A58" s="100"/>
      <c r="B58" s="100"/>
      <c r="C58" s="100"/>
      <c r="D58" s="100"/>
      <c r="E58" s="100"/>
      <c r="F58" s="100"/>
      <c r="G58" s="100"/>
      <c r="H58" s="113"/>
      <c r="I58" s="100"/>
    </row>
    <row r="59" spans="1:9" x14ac:dyDescent="0.35">
      <c r="A59" s="100"/>
      <c r="B59" s="100"/>
      <c r="C59" s="100"/>
      <c r="D59" s="100"/>
      <c r="E59" s="100"/>
      <c r="F59" s="100"/>
      <c r="G59" s="100"/>
      <c r="H59" s="113"/>
      <c r="I59" s="100"/>
    </row>
    <row r="60" spans="1:9" x14ac:dyDescent="0.35">
      <c r="A60" s="100"/>
      <c r="B60" s="100"/>
      <c r="C60" s="100"/>
      <c r="D60" s="100"/>
      <c r="E60" s="100"/>
      <c r="F60" s="100"/>
      <c r="G60" s="100"/>
      <c r="H60" s="113"/>
      <c r="I60" s="100"/>
    </row>
    <row r="61" spans="1:9" x14ac:dyDescent="0.35">
      <c r="A61" s="100"/>
      <c r="B61" s="100"/>
      <c r="C61" s="100"/>
      <c r="D61" s="100"/>
      <c r="E61" s="100"/>
      <c r="F61" s="100"/>
      <c r="G61" s="100"/>
      <c r="H61" s="113"/>
      <c r="I61" s="100"/>
    </row>
    <row r="62" spans="1:9" x14ac:dyDescent="0.35">
      <c r="A62" s="100"/>
      <c r="B62" s="100"/>
      <c r="C62" s="100"/>
      <c r="D62" s="100"/>
      <c r="E62" s="100"/>
      <c r="F62" s="100"/>
      <c r="G62" s="100"/>
      <c r="H62" s="113"/>
      <c r="I62" s="100"/>
    </row>
    <row r="63" spans="1:9" x14ac:dyDescent="0.35">
      <c r="A63" s="100"/>
      <c r="B63" s="100"/>
      <c r="C63" s="100"/>
      <c r="D63" s="100"/>
      <c r="E63" s="100"/>
      <c r="F63" s="100"/>
      <c r="G63" s="100"/>
      <c r="H63" s="113"/>
      <c r="I63" s="100"/>
    </row>
    <row r="64" spans="1:9" x14ac:dyDescent="0.35">
      <c r="A64" s="100"/>
      <c r="B64" s="100"/>
      <c r="C64" s="100"/>
      <c r="D64" s="100"/>
      <c r="E64" s="100"/>
      <c r="F64" s="100"/>
      <c r="G64" s="100"/>
      <c r="H64" s="113"/>
      <c r="I64" s="100"/>
    </row>
    <row r="65" spans="1:9" x14ac:dyDescent="0.35">
      <c r="A65" s="100"/>
      <c r="B65" s="100"/>
      <c r="C65" s="100"/>
      <c r="D65" s="100"/>
      <c r="E65" s="100"/>
      <c r="F65" s="100"/>
      <c r="G65" s="100"/>
      <c r="H65" s="113"/>
      <c r="I65" s="100"/>
    </row>
    <row r="66" spans="1:9" x14ac:dyDescent="0.35">
      <c r="A66" s="100"/>
      <c r="B66" s="100"/>
      <c r="C66" s="100"/>
      <c r="D66" s="100"/>
      <c r="E66" s="100"/>
      <c r="F66" s="100"/>
      <c r="G66" s="100"/>
      <c r="H66" s="113"/>
      <c r="I66" s="100"/>
    </row>
    <row r="67" spans="1:9" x14ac:dyDescent="0.35">
      <c r="A67" s="100"/>
      <c r="B67" s="100"/>
      <c r="C67" s="100"/>
      <c r="D67" s="100"/>
      <c r="E67" s="100"/>
      <c r="F67" s="100"/>
      <c r="G67" s="100"/>
      <c r="H67" s="113"/>
      <c r="I67" s="100"/>
    </row>
    <row r="68" spans="1:9" x14ac:dyDescent="0.35">
      <c r="A68" s="100"/>
      <c r="B68" s="100"/>
      <c r="C68" s="100"/>
      <c r="D68" s="100"/>
      <c r="E68" s="100"/>
      <c r="F68" s="100"/>
      <c r="G68" s="100"/>
      <c r="H68" s="113"/>
      <c r="I68" s="100"/>
    </row>
    <row r="69" spans="1:9" x14ac:dyDescent="0.35">
      <c r="A69" s="100"/>
      <c r="B69" s="100"/>
      <c r="C69" s="100"/>
      <c r="D69" s="100"/>
      <c r="E69" s="100"/>
      <c r="F69" s="100"/>
      <c r="G69" s="100"/>
      <c r="H69" s="113"/>
      <c r="I69" s="100"/>
    </row>
    <row r="70" spans="1:9" x14ac:dyDescent="0.35">
      <c r="A70" s="100"/>
      <c r="B70" s="100"/>
      <c r="C70" s="100"/>
      <c r="D70" s="100"/>
      <c r="E70" s="100"/>
      <c r="F70" s="100"/>
      <c r="G70" s="100"/>
      <c r="H70" s="113"/>
      <c r="I70" s="100"/>
    </row>
    <row r="71" spans="1:9" x14ac:dyDescent="0.35">
      <c r="A71" s="100"/>
      <c r="B71" s="100"/>
      <c r="C71" s="100"/>
      <c r="D71" s="100"/>
      <c r="E71" s="100"/>
      <c r="F71" s="100"/>
      <c r="G71" s="100"/>
      <c r="H71" s="113"/>
      <c r="I71" s="100"/>
    </row>
    <row r="72" spans="1:9" x14ac:dyDescent="0.35">
      <c r="A72" s="100"/>
      <c r="B72" s="100"/>
      <c r="C72" s="100"/>
      <c r="D72" s="100"/>
      <c r="E72" s="100"/>
      <c r="F72" s="100"/>
      <c r="G72" s="100"/>
      <c r="H72" s="113"/>
      <c r="I72" s="100"/>
    </row>
    <row r="73" spans="1:9" x14ac:dyDescent="0.35">
      <c r="A73" s="100"/>
      <c r="B73" s="100"/>
      <c r="C73" s="100"/>
      <c r="D73" s="100"/>
      <c r="E73" s="100"/>
      <c r="F73" s="100"/>
      <c r="G73" s="100"/>
      <c r="H73" s="113"/>
      <c r="I73" s="100"/>
    </row>
    <row r="74" spans="1:9" x14ac:dyDescent="0.35">
      <c r="A74" s="100"/>
      <c r="B74" s="100"/>
      <c r="C74" s="100"/>
      <c r="D74" s="100"/>
      <c r="E74" s="100"/>
      <c r="F74" s="100"/>
      <c r="G74" s="100"/>
      <c r="H74" s="113"/>
      <c r="I74" s="100"/>
    </row>
    <row r="75" spans="1:9" x14ac:dyDescent="0.35">
      <c r="A75" s="100"/>
      <c r="B75" s="100"/>
      <c r="C75" s="100"/>
      <c r="D75" s="100"/>
      <c r="E75" s="100"/>
      <c r="F75" s="100"/>
      <c r="G75" s="100"/>
      <c r="H75" s="113"/>
      <c r="I75" s="100"/>
    </row>
    <row r="76" spans="1:9" x14ac:dyDescent="0.35">
      <c r="A76" s="100"/>
      <c r="B76" s="100"/>
      <c r="C76" s="100"/>
      <c r="D76" s="100"/>
      <c r="E76" s="100"/>
      <c r="F76" s="100"/>
      <c r="G76" s="100"/>
      <c r="H76" s="113"/>
      <c r="I76" s="100"/>
    </row>
    <row r="77" spans="1:9" x14ac:dyDescent="0.35">
      <c r="A77" s="100"/>
      <c r="B77" s="100"/>
      <c r="C77" s="100"/>
      <c r="D77" s="100"/>
      <c r="E77" s="100"/>
      <c r="F77" s="100"/>
      <c r="G77" s="100"/>
      <c r="H77" s="113"/>
      <c r="I77" s="100"/>
    </row>
    <row r="78" spans="1:9" x14ac:dyDescent="0.35">
      <c r="A78" s="100"/>
      <c r="B78" s="100"/>
      <c r="C78" s="100"/>
      <c r="D78" s="100"/>
      <c r="E78" s="100"/>
      <c r="F78" s="100"/>
      <c r="G78" s="100"/>
      <c r="H78" s="113"/>
      <c r="I78" s="100"/>
    </row>
    <row r="79" spans="1:9" x14ac:dyDescent="0.35">
      <c r="A79" s="100"/>
      <c r="B79" s="100"/>
      <c r="C79" s="100"/>
      <c r="D79" s="100"/>
      <c r="E79" s="100"/>
      <c r="F79" s="100"/>
      <c r="G79" s="100"/>
      <c r="H79" s="113"/>
      <c r="I79" s="100"/>
    </row>
    <row r="80" spans="1:9"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96" spans="1:9" hidden="1" x14ac:dyDescent="0.35">
      <c r="G96">
        <v>2</v>
      </c>
    </row>
    <row r="97" spans="7:7" hidden="1" x14ac:dyDescent="0.35">
      <c r="G97">
        <v>3</v>
      </c>
    </row>
    <row r="98" spans="7:7" hidden="1" x14ac:dyDescent="0.35">
      <c r="G98">
        <v>4</v>
      </c>
    </row>
    <row r="99" spans="7:7" hidden="1" x14ac:dyDescent="0.35">
      <c r="G99">
        <v>5</v>
      </c>
    </row>
  </sheetData>
  <customSheetViews>
    <customSheetView guid="{27BAF95E-10B4-4025-9660-F5A8EBC66DC3}" hiddenRows="1">
      <selection activeCell="C6" sqref="C6"/>
      <pageMargins left="0.7" right="0.7" top="0.75" bottom="0.75" header="0.3" footer="0.3"/>
      <pageSetup orientation="portrait" horizontalDpi="1200" verticalDpi="1200" r:id="rId1"/>
    </customSheetView>
    <customSheetView guid="{D0F83CC0-0361-4280-BCA4-9A92C986158B}" hiddenRows="1">
      <selection activeCell="C6" sqref="C6"/>
      <pageMargins left="0.7" right="0.7" top="0.75" bottom="0.75" header="0.3" footer="0.3"/>
      <pageSetup orientation="portrait" horizontalDpi="1200" verticalDpi="1200" r:id="rId2"/>
    </customSheetView>
  </customSheetViews>
  <mergeCells count="14">
    <mergeCell ref="A9:I11"/>
    <mergeCell ref="B20:C20"/>
    <mergeCell ref="B21:C21"/>
    <mergeCell ref="B13:C13"/>
    <mergeCell ref="B22:C22"/>
    <mergeCell ref="B15:C15"/>
    <mergeCell ref="B16:C16"/>
    <mergeCell ref="B23:C23"/>
    <mergeCell ref="B24:C24"/>
    <mergeCell ref="A34:I39"/>
    <mergeCell ref="B14:C14"/>
    <mergeCell ref="B17:C17"/>
    <mergeCell ref="B18:C18"/>
    <mergeCell ref="B19:C19"/>
  </mergeCells>
  <dataValidations count="1">
    <dataValidation type="list" allowBlank="1" showInputMessage="1" showErrorMessage="1" sqref="G15:G24" xr:uid="{00000000-0002-0000-1B00-000000000000}">
      <formula1>$G$96:$G$99</formula1>
    </dataValidation>
  </dataValidations>
  <pageMargins left="0.7" right="0.7" top="0.75" bottom="0.75" header="0.3" footer="0.3"/>
  <pageSetup orientation="portrait" horizontalDpi="1200" verticalDpi="1200"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tabColor rgb="FF9CC5CA"/>
  </sheetPr>
  <dimension ref="A1:K38"/>
  <sheetViews>
    <sheetView workbookViewId="0">
      <selection activeCell="C6" sqref="C6"/>
    </sheetView>
  </sheetViews>
  <sheetFormatPr defaultRowHeight="14.5" x14ac:dyDescent="0.35"/>
  <cols>
    <col min="1" max="1" width="4" customWidth="1"/>
    <col min="2" max="4" width="19.453125" customWidth="1"/>
    <col min="5" max="9" width="18.453125" customWidth="1"/>
    <col min="10" max="10" width="9.453125" customWidth="1"/>
    <col min="11" max="11" width="36.1796875" bestFit="1" customWidth="1"/>
  </cols>
  <sheetData>
    <row r="1" spans="1:11" ht="26" x14ac:dyDescent="0.6">
      <c r="A1" s="3" t="s">
        <v>774</v>
      </c>
    </row>
    <row r="2" spans="1:11" ht="21" x14ac:dyDescent="0.5">
      <c r="A2" s="2" t="s">
        <v>772</v>
      </c>
    </row>
    <row r="3" spans="1:11" ht="25" customHeight="1" x14ac:dyDescent="0.5">
      <c r="A3" s="494" t="s">
        <v>766</v>
      </c>
      <c r="B3" s="494"/>
      <c r="C3" s="494"/>
      <c r="D3" s="494"/>
      <c r="E3" s="494"/>
      <c r="F3" s="494"/>
      <c r="G3" s="494"/>
      <c r="H3" s="494"/>
      <c r="I3" s="494"/>
      <c r="J3" s="494"/>
    </row>
    <row r="5" spans="1:11" x14ac:dyDescent="0.35">
      <c r="A5" s="1" t="s">
        <v>773</v>
      </c>
      <c r="C5" s="420">
        <f>'As-Filed Schedule 1'!C5</f>
        <v>0</v>
      </c>
    </row>
    <row r="6" spans="1:11" x14ac:dyDescent="0.35">
      <c r="A6" s="1" t="s">
        <v>0</v>
      </c>
      <c r="C6" s="35">
        <f>'As-Filed Schedule 1'!C6</f>
        <v>45473</v>
      </c>
      <c r="D6" s="35"/>
    </row>
    <row r="8" spans="1:11" x14ac:dyDescent="0.35">
      <c r="A8" s="1" t="s">
        <v>311</v>
      </c>
    </row>
    <row r="9" spans="1:11" x14ac:dyDescent="0.35">
      <c r="A9" s="1"/>
      <c r="B9" s="82"/>
      <c r="C9" s="82"/>
      <c r="D9" s="82"/>
    </row>
    <row r="10" spans="1:11" x14ac:dyDescent="0.35">
      <c r="A10" s="70"/>
      <c r="B10" s="508">
        <v>1</v>
      </c>
      <c r="C10" s="508"/>
      <c r="D10" s="23">
        <v>2</v>
      </c>
      <c r="E10" s="23">
        <v>3</v>
      </c>
      <c r="F10" s="23">
        <v>4</v>
      </c>
      <c r="G10" s="23">
        <v>5</v>
      </c>
      <c r="H10" s="23">
        <v>6</v>
      </c>
      <c r="I10" s="23">
        <v>7</v>
      </c>
    </row>
    <row r="11" spans="1:11" x14ac:dyDescent="0.35">
      <c r="B11" s="509" t="s">
        <v>178</v>
      </c>
      <c r="C11" s="509"/>
      <c r="D11" s="510" t="s">
        <v>180</v>
      </c>
      <c r="E11" s="511" t="s">
        <v>207</v>
      </c>
      <c r="F11" s="512"/>
      <c r="G11" s="511" t="s">
        <v>210</v>
      </c>
      <c r="H11" s="512"/>
      <c r="I11" s="509" t="s">
        <v>218</v>
      </c>
    </row>
    <row r="12" spans="1:11" ht="30" customHeight="1" x14ac:dyDescent="0.35">
      <c r="B12" s="509"/>
      <c r="C12" s="509"/>
      <c r="D12" s="510"/>
      <c r="E12" s="10" t="s">
        <v>208</v>
      </c>
      <c r="F12" s="10" t="s">
        <v>209</v>
      </c>
      <c r="G12" s="10" t="s">
        <v>208</v>
      </c>
      <c r="H12" s="10" t="s">
        <v>209</v>
      </c>
      <c r="I12" s="509"/>
    </row>
    <row r="13" spans="1:11" x14ac:dyDescent="0.35">
      <c r="A13" s="425" t="s">
        <v>838</v>
      </c>
      <c r="B13" s="204"/>
      <c r="C13" s="204"/>
      <c r="D13" s="204"/>
      <c r="E13" s="204"/>
      <c r="F13" s="204"/>
      <c r="G13" s="204"/>
      <c r="H13" s="204"/>
      <c r="I13" s="204"/>
      <c r="J13" s="100"/>
    </row>
    <row r="14" spans="1:11" x14ac:dyDescent="0.35">
      <c r="A14" s="24">
        <v>1</v>
      </c>
      <c r="B14" s="505" t="s">
        <v>211</v>
      </c>
      <c r="C14" s="505"/>
      <c r="D14" s="24" t="s">
        <v>12</v>
      </c>
      <c r="E14" s="26">
        <f>'As-Filed Schedule 2A'!F73</f>
        <v>3838590.9696926791</v>
      </c>
      <c r="F14" s="26">
        <f>'As-Filed Schedule 2A'!G73</f>
        <v>1184907.1842830805</v>
      </c>
      <c r="G14" s="26">
        <f>'As-Filed Schedule 2A'!J73</f>
        <v>0</v>
      </c>
      <c r="H14" s="26">
        <f>'As-Filed Schedule 2A'!K73</f>
        <v>0</v>
      </c>
      <c r="I14" s="68">
        <f>SUM(E14:H14)</f>
        <v>5023498.1539757596</v>
      </c>
    </row>
    <row r="15" spans="1:11" x14ac:dyDescent="0.35">
      <c r="A15" s="24">
        <v>2</v>
      </c>
      <c r="B15" s="505" t="s">
        <v>213</v>
      </c>
      <c r="C15" s="505"/>
      <c r="D15" s="24" t="s">
        <v>13</v>
      </c>
      <c r="E15" s="26">
        <f>'As-Filed Schedule 2B'!$F$73</f>
        <v>1778772.6383552887</v>
      </c>
      <c r="F15" s="26">
        <f>'As-Filed Schedule 2B'!G73</f>
        <v>549076.59999056731</v>
      </c>
      <c r="G15" s="26">
        <f>'As-Filed Schedule 2B'!$J$73</f>
        <v>186824.56494368202</v>
      </c>
      <c r="H15" s="26">
        <f>'As-Filed Schedule 2B'!K73</f>
        <v>57669.538367108915</v>
      </c>
      <c r="I15" s="68">
        <f>SUM(E15:H15)</f>
        <v>2572343.3416566467</v>
      </c>
    </row>
    <row r="16" spans="1:11" x14ac:dyDescent="0.35">
      <c r="A16" s="24">
        <v>3</v>
      </c>
      <c r="B16" s="505" t="s">
        <v>201</v>
      </c>
      <c r="C16" s="505"/>
      <c r="D16" s="24" t="s">
        <v>14</v>
      </c>
      <c r="E16" s="26">
        <f>'As-Filed Schedule 2C'!$F$73</f>
        <v>25850337.087696463</v>
      </c>
      <c r="F16" s="26">
        <f>'As-Filed Schedule 2C'!G73</f>
        <v>7979555.6164201554</v>
      </c>
      <c r="G16" s="26">
        <f>'As-Filed Schedule 2C'!$J$73</f>
        <v>176870</v>
      </c>
      <c r="H16" s="26">
        <f>'As-Filed Schedule 2C'!K73</f>
        <v>54596.734931861516</v>
      </c>
      <c r="I16" s="68">
        <f>SUM(E16:H16)</f>
        <v>34061359.439048484</v>
      </c>
      <c r="K16" s="48"/>
    </row>
    <row r="17" spans="1:11" x14ac:dyDescent="0.35">
      <c r="A17" s="24">
        <v>4</v>
      </c>
      <c r="B17" s="505" t="s">
        <v>212</v>
      </c>
      <c r="C17" s="505"/>
      <c r="D17" s="24" t="s">
        <v>179</v>
      </c>
      <c r="E17" s="26">
        <f>'As-Filed Schedule 2D'!$F$73</f>
        <v>2417042.6710739257</v>
      </c>
      <c r="F17" s="26">
        <f>'As-Filed Schedule 2D'!G73</f>
        <v>746099.61006174958</v>
      </c>
      <c r="G17" s="26">
        <f>'As-Filed Schedule 2D'!$J$73</f>
        <v>0</v>
      </c>
      <c r="H17" s="26">
        <f>'As-Filed Schedule 2D'!K73</f>
        <v>0</v>
      </c>
      <c r="I17" s="68">
        <f>SUM(E17:H17)</f>
        <v>3163142.2811356755</v>
      </c>
    </row>
    <row r="18" spans="1:11" x14ac:dyDescent="0.35">
      <c r="A18" s="425" t="s">
        <v>791</v>
      </c>
      <c r="B18" s="204"/>
      <c r="C18" s="204"/>
      <c r="D18" s="204"/>
      <c r="E18" s="204"/>
      <c r="F18" s="204"/>
      <c r="G18" s="204"/>
      <c r="H18" s="204"/>
      <c r="I18" s="204"/>
      <c r="J18" s="100"/>
      <c r="K18" s="48"/>
    </row>
    <row r="19" spans="1:11" x14ac:dyDescent="0.35">
      <c r="A19" s="155">
        <v>5</v>
      </c>
      <c r="B19" s="506" t="s">
        <v>792</v>
      </c>
      <c r="C19" s="506"/>
      <c r="D19" s="155" t="s">
        <v>793</v>
      </c>
      <c r="E19" s="26">
        <f>'As-Filed Schedule 2E'!F$73</f>
        <v>0</v>
      </c>
      <c r="F19" s="26">
        <f>'As-Filed Schedule 2E'!G$73</f>
        <v>0</v>
      </c>
      <c r="G19" s="26">
        <f>'As-Filed Schedule 2E'!J$73</f>
        <v>0</v>
      </c>
      <c r="H19" s="26">
        <f>'As-Filed Schedule 2E'!K$73</f>
        <v>0</v>
      </c>
      <c r="I19" s="181">
        <f t="shared" ref="I19:I26" si="0">SUM(E19:H19)</f>
        <v>0</v>
      </c>
      <c r="J19" s="100"/>
      <c r="K19" s="48"/>
    </row>
    <row r="20" spans="1:11" x14ac:dyDescent="0.35">
      <c r="A20" s="155">
        <v>6</v>
      </c>
      <c r="B20" s="506" t="s">
        <v>794</v>
      </c>
      <c r="C20" s="506"/>
      <c r="D20" s="155" t="s">
        <v>795</v>
      </c>
      <c r="E20" s="26">
        <f>'As-Filed Schedule 2F'!F$73</f>
        <v>0</v>
      </c>
      <c r="F20" s="26">
        <f>'As-Filed Schedule 2F'!G$73</f>
        <v>0</v>
      </c>
      <c r="G20" s="26">
        <f>'As-Filed Schedule 2F'!J$73</f>
        <v>0</v>
      </c>
      <c r="H20" s="26">
        <f>'As-Filed Schedule 2F'!K$73</f>
        <v>0</v>
      </c>
      <c r="I20" s="181">
        <f t="shared" si="0"/>
        <v>0</v>
      </c>
      <c r="J20" s="100"/>
      <c r="K20" s="48"/>
    </row>
    <row r="21" spans="1:11" x14ac:dyDescent="0.35">
      <c r="A21" s="155">
        <v>7</v>
      </c>
      <c r="B21" s="506" t="s">
        <v>796</v>
      </c>
      <c r="C21" s="506"/>
      <c r="D21" s="155" t="s">
        <v>797</v>
      </c>
      <c r="E21" s="26">
        <f>'As-Filed Schedule 2G'!F$73</f>
        <v>0</v>
      </c>
      <c r="F21" s="26">
        <f>'As-Filed Schedule 2G'!G$73</f>
        <v>0</v>
      </c>
      <c r="G21" s="26">
        <f>'As-Filed Schedule 2G'!J$73</f>
        <v>0</v>
      </c>
      <c r="H21" s="26">
        <f>'As-Filed Schedule 2G'!K$73</f>
        <v>0</v>
      </c>
      <c r="I21" s="181">
        <f t="shared" si="0"/>
        <v>0</v>
      </c>
      <c r="J21" s="100"/>
      <c r="K21" s="48"/>
    </row>
    <row r="22" spans="1:11" x14ac:dyDescent="0.35">
      <c r="A22" s="155">
        <v>8</v>
      </c>
      <c r="B22" s="506" t="s">
        <v>798</v>
      </c>
      <c r="C22" s="506"/>
      <c r="D22" s="155" t="s">
        <v>799</v>
      </c>
      <c r="E22" s="26">
        <f>'As-Filed Schedule 2H'!F$73</f>
        <v>0</v>
      </c>
      <c r="F22" s="26">
        <f>'As-Filed Schedule 2H'!G$73</f>
        <v>0</v>
      </c>
      <c r="G22" s="26">
        <f>'As-Filed Schedule 2H'!J$73</f>
        <v>0</v>
      </c>
      <c r="H22" s="26">
        <f>'As-Filed Schedule 2H'!K$73</f>
        <v>0</v>
      </c>
      <c r="I22" s="181">
        <f t="shared" si="0"/>
        <v>0</v>
      </c>
      <c r="J22" s="100"/>
      <c r="K22" s="48"/>
    </row>
    <row r="23" spans="1:11" x14ac:dyDescent="0.35">
      <c r="A23" s="155">
        <v>9</v>
      </c>
      <c r="B23" s="506" t="s">
        <v>800</v>
      </c>
      <c r="C23" s="506"/>
      <c r="D23" s="155" t="s">
        <v>801</v>
      </c>
      <c r="E23" s="26">
        <f>'As-Filed Schedule 2I'!F$73</f>
        <v>0</v>
      </c>
      <c r="F23" s="26">
        <f>'As-Filed Schedule 2I'!G$73</f>
        <v>0</v>
      </c>
      <c r="G23" s="26">
        <f>'As-Filed Schedule 2I'!J$73</f>
        <v>0</v>
      </c>
      <c r="H23" s="26">
        <f>'As-Filed Schedule 2I'!K$73</f>
        <v>0</v>
      </c>
      <c r="I23" s="181">
        <f t="shared" si="0"/>
        <v>0</v>
      </c>
      <c r="J23" s="100"/>
      <c r="K23" s="48"/>
    </row>
    <row r="24" spans="1:11" x14ac:dyDescent="0.35">
      <c r="A24" s="155">
        <v>10</v>
      </c>
      <c r="B24" s="506" t="s">
        <v>802</v>
      </c>
      <c r="C24" s="506"/>
      <c r="D24" s="155" t="s">
        <v>803</v>
      </c>
      <c r="E24" s="26">
        <f>'As-Filed Schedule 2J'!F$73</f>
        <v>0</v>
      </c>
      <c r="F24" s="26">
        <f>'As-Filed Schedule 2J'!G$73</f>
        <v>0</v>
      </c>
      <c r="G24" s="26">
        <f>'As-Filed Schedule 2J'!J$73</f>
        <v>0</v>
      </c>
      <c r="H24" s="26">
        <f>'As-Filed Schedule 2J'!K$73</f>
        <v>0</v>
      </c>
      <c r="I24" s="181">
        <f t="shared" si="0"/>
        <v>0</v>
      </c>
      <c r="J24" s="100"/>
      <c r="K24" s="48"/>
    </row>
    <row r="25" spans="1:11" x14ac:dyDescent="0.35">
      <c r="A25" s="155">
        <v>11</v>
      </c>
      <c r="B25" s="506" t="s">
        <v>804</v>
      </c>
      <c r="C25" s="506"/>
      <c r="D25" s="155" t="s">
        <v>805</v>
      </c>
      <c r="E25" s="26">
        <f>'As-Filed Schedule 2K'!F$73</f>
        <v>0</v>
      </c>
      <c r="F25" s="26">
        <f>'As-Filed Schedule 2K'!G$73</f>
        <v>0</v>
      </c>
      <c r="G25" s="26">
        <f>'As-Filed Schedule 2K'!J$73</f>
        <v>0</v>
      </c>
      <c r="H25" s="26">
        <f>'As-Filed Schedule 2K'!K$73</f>
        <v>0</v>
      </c>
      <c r="I25" s="181">
        <f t="shared" si="0"/>
        <v>0</v>
      </c>
      <c r="J25" s="100"/>
      <c r="K25" s="48"/>
    </row>
    <row r="26" spans="1:11" x14ac:dyDescent="0.35">
      <c r="A26" s="155">
        <v>12</v>
      </c>
      <c r="B26" s="506" t="s">
        <v>806</v>
      </c>
      <c r="C26" s="506"/>
      <c r="D26" s="155" t="s">
        <v>807</v>
      </c>
      <c r="E26" s="26">
        <f>'As-Filed Schedule 2L'!F$73</f>
        <v>0</v>
      </c>
      <c r="F26" s="26">
        <f>'As-Filed Schedule 2L'!G$73</f>
        <v>0</v>
      </c>
      <c r="G26" s="26">
        <f>'As-Filed Schedule 2L'!J$73</f>
        <v>0</v>
      </c>
      <c r="H26" s="26">
        <f>'As-Filed Schedule 2L'!K$73</f>
        <v>0</v>
      </c>
      <c r="I26" s="181">
        <f t="shared" si="0"/>
        <v>0</v>
      </c>
      <c r="J26" s="100"/>
      <c r="K26" s="48"/>
    </row>
    <row r="27" spans="1:11" ht="29.25" customHeight="1" x14ac:dyDescent="0.35">
      <c r="A27" s="155">
        <v>13</v>
      </c>
      <c r="B27" s="507" t="s">
        <v>808</v>
      </c>
      <c r="C27" s="507"/>
      <c r="D27" s="155" t="s">
        <v>809</v>
      </c>
      <c r="E27" s="26">
        <f>'As-Filed Schedule 2M'!F$73</f>
        <v>0</v>
      </c>
      <c r="F27" s="26">
        <f>'As-Filed Schedule 2M'!G$73</f>
        <v>0</v>
      </c>
      <c r="G27" s="26">
        <f>'As-Filed Schedule 2M'!J$73</f>
        <v>0</v>
      </c>
      <c r="H27" s="26">
        <f>'As-Filed Schedule 2M'!K$73</f>
        <v>0</v>
      </c>
      <c r="I27" s="181">
        <f>SUM(E27:H27)</f>
        <v>0</v>
      </c>
      <c r="J27" s="100"/>
    </row>
    <row r="28" spans="1:11" x14ac:dyDescent="0.35">
      <c r="A28" s="24">
        <v>14</v>
      </c>
      <c r="E28" s="18">
        <f>SUM(E14:E27)</f>
        <v>33884743.366818361</v>
      </c>
      <c r="F28" s="18">
        <f t="shared" ref="F28:G28" si="1">SUM(F14:F27)</f>
        <v>10459639.010755554</v>
      </c>
      <c r="G28" s="18">
        <f t="shared" si="1"/>
        <v>363694.56494368205</v>
      </c>
      <c r="H28" s="18">
        <f>SUM(H14:H27)</f>
        <v>112266.27329897042</v>
      </c>
    </row>
    <row r="29" spans="1:11" s="57" customFormat="1" ht="12" x14ac:dyDescent="0.3">
      <c r="D29" s="76" t="s">
        <v>216</v>
      </c>
      <c r="E29" s="58">
        <f>'As-Filed Schedule 1'!F91</f>
        <v>33884743.366818361</v>
      </c>
      <c r="G29" s="58">
        <f>'As-Filed Schedule 1'!H91</f>
        <v>363694.56494368205</v>
      </c>
    </row>
    <row r="30" spans="1:11" s="57" customFormat="1" ht="12" x14ac:dyDescent="0.3">
      <c r="D30" s="76" t="s">
        <v>10</v>
      </c>
      <c r="E30" s="426">
        <f>E28-E29</f>
        <v>0</v>
      </c>
      <c r="G30" s="426">
        <f>G28-G29</f>
        <v>0</v>
      </c>
    </row>
    <row r="31" spans="1:11" s="57" customFormat="1" ht="12" x14ac:dyDescent="0.3">
      <c r="E31" s="76"/>
      <c r="F31" s="426"/>
      <c r="H31" s="426"/>
    </row>
    <row r="33" spans="1:10" x14ac:dyDescent="0.35">
      <c r="E33" s="10" t="s">
        <v>218</v>
      </c>
    </row>
    <row r="34" spans="1:10" x14ac:dyDescent="0.35">
      <c r="A34" s="24">
        <v>15</v>
      </c>
      <c r="B34" s="505" t="s">
        <v>219</v>
      </c>
      <c r="C34" s="505"/>
      <c r="D34" s="24" t="s">
        <v>110</v>
      </c>
      <c r="E34" s="26">
        <f>'As-Filed Schedule 3'!M167</f>
        <v>3659366.5359400609</v>
      </c>
      <c r="I34" s="18">
        <f>SUM(I14:I27)+E34</f>
        <v>48479709.751756631</v>
      </c>
      <c r="J34" s="71" t="s">
        <v>3</v>
      </c>
    </row>
    <row r="35" spans="1:10" ht="12.75" customHeight="1" x14ac:dyDescent="0.35">
      <c r="D35" s="76" t="s">
        <v>217</v>
      </c>
      <c r="E35" s="58">
        <f>'As-Filed Schedule 1'!G95</f>
        <v>3659366.5359400613</v>
      </c>
    </row>
    <row r="36" spans="1:10" ht="12.75" customHeight="1" x14ac:dyDescent="0.35">
      <c r="D36" s="76" t="s">
        <v>10</v>
      </c>
      <c r="E36" s="59">
        <f>E34-E35</f>
        <v>0</v>
      </c>
    </row>
    <row r="38" spans="1:10" x14ac:dyDescent="0.35">
      <c r="B38" s="48"/>
    </row>
  </sheetData>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21">
    <mergeCell ref="A3:J3"/>
    <mergeCell ref="B34:C34"/>
    <mergeCell ref="B16:C16"/>
    <mergeCell ref="B14:C14"/>
    <mergeCell ref="B17:C17"/>
    <mergeCell ref="B15:C15"/>
    <mergeCell ref="E11:F11"/>
    <mergeCell ref="G11:H11"/>
    <mergeCell ref="B10:C10"/>
    <mergeCell ref="I11:I12"/>
    <mergeCell ref="D11:D12"/>
    <mergeCell ref="B11:C12"/>
    <mergeCell ref="B19:C19"/>
    <mergeCell ref="B20:C20"/>
    <mergeCell ref="B21:C21"/>
    <mergeCell ref="B22:C22"/>
    <mergeCell ref="B23:C23"/>
    <mergeCell ref="B24:C24"/>
    <mergeCell ref="B25:C25"/>
    <mergeCell ref="B26:C26"/>
    <mergeCell ref="B27:C27"/>
  </mergeCells>
  <pageMargins left="0.7" right="0.7" top="0.75" bottom="0.75" header="0.3" footer="0.3"/>
  <pageSetup orientation="portrait" horizontalDpi="1200" verticalDpi="1200"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tabColor rgb="FF9CC5CA"/>
  </sheetPr>
  <dimension ref="A1:S75"/>
  <sheetViews>
    <sheetView workbookViewId="0">
      <selection activeCell="C6" sqref="C6"/>
    </sheetView>
  </sheetViews>
  <sheetFormatPr defaultRowHeight="14.5" x14ac:dyDescent="0.35"/>
  <cols>
    <col min="1" max="1" width="9.7265625" customWidth="1"/>
    <col min="2" max="2" width="16" customWidth="1"/>
    <col min="3" max="3" width="19.453125" customWidth="1"/>
    <col min="4" max="4" width="15.453125" customWidth="1"/>
    <col min="5" max="5" width="2.26953125" customWidth="1"/>
    <col min="6" max="8" width="18.54296875" customWidth="1"/>
    <col min="9" max="9" width="2.7265625" customWidth="1"/>
    <col min="10" max="12" width="18.54296875" customWidth="1"/>
    <col min="13" max="13" width="2.7265625" customWidth="1"/>
    <col min="14" max="15" width="12.1796875" customWidth="1"/>
    <col min="16" max="16" width="24.54296875" customWidth="1"/>
  </cols>
  <sheetData>
    <row r="1" spans="1:19" ht="26" x14ac:dyDescent="0.6">
      <c r="A1" s="3" t="s">
        <v>774</v>
      </c>
    </row>
    <row r="2" spans="1:19" ht="21" x14ac:dyDescent="0.5">
      <c r="A2" s="2" t="s">
        <v>772</v>
      </c>
    </row>
    <row r="3" spans="1:19" ht="25" customHeight="1" x14ac:dyDescent="0.5">
      <c r="A3" s="494" t="s">
        <v>767</v>
      </c>
      <c r="B3" s="494"/>
      <c r="C3" s="494"/>
      <c r="D3" s="494"/>
      <c r="E3" s="494"/>
      <c r="F3" s="494"/>
    </row>
    <row r="4" spans="1:19" x14ac:dyDescent="0.35">
      <c r="A4" s="48"/>
    </row>
    <row r="5" spans="1:19" x14ac:dyDescent="0.35">
      <c r="A5" s="1" t="s">
        <v>773</v>
      </c>
      <c r="C5" s="420">
        <f>'As-Filed Schedule 1'!C5</f>
        <v>0</v>
      </c>
    </row>
    <row r="6" spans="1:19" x14ac:dyDescent="0.35">
      <c r="A6" s="1" t="s">
        <v>0</v>
      </c>
      <c r="C6" s="35">
        <f>'As-Filed Schedule 1'!C6</f>
        <v>45473</v>
      </c>
      <c r="F6" s="35"/>
      <c r="N6" s="130"/>
      <c r="O6" s="130"/>
      <c r="P6" s="130"/>
    </row>
    <row r="7" spans="1:19" x14ac:dyDescent="0.35">
      <c r="N7" s="40"/>
      <c r="O7" s="40"/>
      <c r="P7" s="40"/>
    </row>
    <row r="8" spans="1:19" x14ac:dyDescent="0.35">
      <c r="A8" s="1" t="s">
        <v>253</v>
      </c>
      <c r="B8" s="1" t="s">
        <v>252</v>
      </c>
      <c r="C8" s="1"/>
      <c r="D8" s="119" t="s">
        <v>939</v>
      </c>
      <c r="E8" s="41" t="s">
        <v>259</v>
      </c>
      <c r="N8" s="40"/>
      <c r="O8" s="40"/>
      <c r="P8" s="40"/>
    </row>
    <row r="9" spans="1:19" x14ac:dyDescent="0.35">
      <c r="N9" s="130"/>
      <c r="O9" s="130"/>
      <c r="P9" s="130"/>
    </row>
    <row r="10" spans="1:19" x14ac:dyDescent="0.35">
      <c r="A10" s="1" t="s">
        <v>254</v>
      </c>
      <c r="B10" s="1" t="s">
        <v>256</v>
      </c>
      <c r="C10" s="1"/>
      <c r="N10" s="40"/>
      <c r="O10" s="40"/>
      <c r="P10" s="40"/>
    </row>
    <row r="11" spans="1:19" x14ac:dyDescent="0.35">
      <c r="A11" s="1"/>
      <c r="B11" s="1"/>
      <c r="C11" s="1"/>
      <c r="N11" s="40"/>
      <c r="O11" s="40"/>
      <c r="P11" s="40"/>
    </row>
    <row r="12" spans="1:19" x14ac:dyDescent="0.35">
      <c r="B12" s="508">
        <v>1</v>
      </c>
      <c r="C12" s="508"/>
      <c r="D12" s="508"/>
      <c r="F12" s="23">
        <v>2</v>
      </c>
      <c r="G12" s="23">
        <v>3</v>
      </c>
      <c r="H12" s="23">
        <v>4</v>
      </c>
      <c r="J12" s="23">
        <v>5</v>
      </c>
      <c r="K12" s="23">
        <v>6</v>
      </c>
      <c r="L12" s="23">
        <v>7</v>
      </c>
      <c r="N12" s="23">
        <v>8</v>
      </c>
      <c r="O12" s="23">
        <v>9</v>
      </c>
      <c r="Q12" s="40"/>
      <c r="R12" s="40"/>
      <c r="S12" s="40"/>
    </row>
    <row r="13" spans="1:19" x14ac:dyDescent="0.35">
      <c r="B13" s="517" t="s">
        <v>255</v>
      </c>
      <c r="C13" s="518"/>
      <c r="D13" s="519"/>
      <c r="F13" s="511" t="s">
        <v>261</v>
      </c>
      <c r="G13" s="516"/>
      <c r="H13" s="512"/>
      <c r="J13" s="511" t="s">
        <v>262</v>
      </c>
      <c r="K13" s="516"/>
      <c r="L13" s="512"/>
      <c r="N13" s="514" t="s">
        <v>250</v>
      </c>
      <c r="O13" s="514" t="s">
        <v>312</v>
      </c>
      <c r="Q13" s="40"/>
      <c r="R13" s="40"/>
      <c r="S13" s="40"/>
    </row>
    <row r="14" spans="1:19" ht="56.25" customHeight="1" x14ac:dyDescent="0.35">
      <c r="B14" s="520"/>
      <c r="C14" s="521"/>
      <c r="D14" s="522"/>
      <c r="F14" s="10" t="s">
        <v>214</v>
      </c>
      <c r="G14" s="151" t="s">
        <v>491</v>
      </c>
      <c r="H14" s="151" t="s">
        <v>215</v>
      </c>
      <c r="I14" s="100"/>
      <c r="J14" s="151" t="s">
        <v>214</v>
      </c>
      <c r="K14" s="151" t="s">
        <v>491</v>
      </c>
      <c r="L14" s="10" t="s">
        <v>215</v>
      </c>
      <c r="N14" s="515"/>
      <c r="O14" s="515"/>
    </row>
    <row r="15" spans="1:19" x14ac:dyDescent="0.35">
      <c r="A15" s="24">
        <v>1</v>
      </c>
      <c r="B15" s="543" t="s">
        <v>944</v>
      </c>
      <c r="C15" s="543"/>
      <c r="D15" s="543"/>
      <c r="F15" s="117">
        <v>2622217.9146693749</v>
      </c>
      <c r="G15" s="68">
        <f>IFERROR(F15*'As-Filed Schedule 1'!$E$103,0)</f>
        <v>809433.68813695095</v>
      </c>
      <c r="H15" s="68">
        <f>SUM(F15:G15)</f>
        <v>3431651.602806326</v>
      </c>
      <c r="J15" s="117"/>
      <c r="K15" s="68">
        <f>IFERROR(J15*'As-Filed Schedule 1'!$E$103,0)</f>
        <v>0</v>
      </c>
      <c r="L15" s="68">
        <f>SUM(J15:K15)</f>
        <v>0</v>
      </c>
      <c r="N15" s="120">
        <v>25.220833333333331</v>
      </c>
      <c r="O15" s="464">
        <v>1995</v>
      </c>
    </row>
    <row r="16" spans="1:19" x14ac:dyDescent="0.35">
      <c r="A16" s="24">
        <v>2</v>
      </c>
      <c r="B16" s="543" t="s">
        <v>945</v>
      </c>
      <c r="C16" s="543"/>
      <c r="D16" s="543"/>
      <c r="F16" s="117">
        <v>380742.35627589334</v>
      </c>
      <c r="G16" s="68">
        <f>IFERROR(F16*'As-Filed Schedule 1'!$E$103,0)</f>
        <v>117528.63404154083</v>
      </c>
      <c r="H16" s="68">
        <f t="shared" ref="H16:H72" si="0">SUM(F16:G16)</f>
        <v>498270.99031743419</v>
      </c>
      <c r="J16" s="117"/>
      <c r="K16" s="68">
        <f>IFERROR(J16*'As-Filed Schedule 1'!$E$103,0)</f>
        <v>0</v>
      </c>
      <c r="L16" s="68">
        <f t="shared" ref="L16:L72" si="1">SUM(J16:K16)</f>
        <v>0</v>
      </c>
      <c r="N16" s="120">
        <v>3.0500000000000003</v>
      </c>
      <c r="O16" s="464">
        <v>302</v>
      </c>
    </row>
    <row r="17" spans="1:15" x14ac:dyDescent="0.35">
      <c r="A17" s="24">
        <v>3</v>
      </c>
      <c r="B17" s="543" t="s">
        <v>946</v>
      </c>
      <c r="C17" s="543"/>
      <c r="D17" s="543"/>
      <c r="F17" s="117">
        <v>835630.69874741067</v>
      </c>
      <c r="G17" s="68">
        <f>IFERROR(F17*'As-Filed Schedule 1'!$E$103,0)</f>
        <v>257944.86210458868</v>
      </c>
      <c r="H17" s="68">
        <f t="shared" si="0"/>
        <v>1093575.5608519993</v>
      </c>
      <c r="J17" s="117"/>
      <c r="K17" s="68">
        <f>IFERROR(J17*'As-Filed Schedule 1'!$E$103,0)</f>
        <v>0</v>
      </c>
      <c r="L17" s="68">
        <f t="shared" si="1"/>
        <v>0</v>
      </c>
      <c r="N17" s="120">
        <v>9.3500000000000014</v>
      </c>
      <c r="O17" s="464">
        <v>484</v>
      </c>
    </row>
    <row r="18" spans="1:15" x14ac:dyDescent="0.35">
      <c r="A18" s="24">
        <v>4</v>
      </c>
      <c r="B18" s="544"/>
      <c r="C18" s="545"/>
      <c r="D18" s="546"/>
      <c r="F18" s="117"/>
      <c r="G18" s="68">
        <f>IFERROR(F18*'As-Filed Schedule 1'!$E$103,0)</f>
        <v>0</v>
      </c>
      <c r="H18" s="68">
        <f t="shared" si="0"/>
        <v>0</v>
      </c>
      <c r="J18" s="117"/>
      <c r="K18" s="68">
        <f>IFERROR(J18*'As-Filed Schedule 1'!$E$103,0)</f>
        <v>0</v>
      </c>
      <c r="L18" s="68">
        <f t="shared" si="1"/>
        <v>0</v>
      </c>
      <c r="N18" s="120"/>
      <c r="O18" s="448"/>
    </row>
    <row r="19" spans="1:15" x14ac:dyDescent="0.35">
      <c r="A19" s="24">
        <v>5</v>
      </c>
      <c r="B19" s="513"/>
      <c r="C19" s="513"/>
      <c r="D19" s="513"/>
      <c r="F19" s="117"/>
      <c r="G19" s="68">
        <f>IFERROR(F19*'As-Filed Schedule 1'!$E$103,0)</f>
        <v>0</v>
      </c>
      <c r="H19" s="68">
        <f t="shared" si="0"/>
        <v>0</v>
      </c>
      <c r="J19" s="117"/>
      <c r="K19" s="68">
        <f>IFERROR(J19*'As-Filed Schedule 1'!$E$103,0)</f>
        <v>0</v>
      </c>
      <c r="L19" s="68">
        <f t="shared" si="1"/>
        <v>0</v>
      </c>
      <c r="N19" s="120"/>
      <c r="O19" s="448"/>
    </row>
    <row r="20" spans="1:15" x14ac:dyDescent="0.35">
      <c r="A20" s="24">
        <v>6</v>
      </c>
      <c r="B20" s="513"/>
      <c r="C20" s="513"/>
      <c r="D20" s="513"/>
      <c r="F20" s="117"/>
      <c r="G20" s="68">
        <f>IFERROR(F20*'As-Filed Schedule 1'!$E$103,0)</f>
        <v>0</v>
      </c>
      <c r="H20" s="68">
        <f t="shared" si="0"/>
        <v>0</v>
      </c>
      <c r="J20" s="117"/>
      <c r="K20" s="68">
        <f>IFERROR(J20*'As-Filed Schedule 1'!$E$103,0)</f>
        <v>0</v>
      </c>
      <c r="L20" s="68">
        <f t="shared" si="1"/>
        <v>0</v>
      </c>
      <c r="N20" s="120"/>
      <c r="O20" s="448"/>
    </row>
    <row r="21" spans="1:15" x14ac:dyDescent="0.35">
      <c r="A21" s="24">
        <v>7</v>
      </c>
      <c r="B21" s="513"/>
      <c r="C21" s="513"/>
      <c r="D21" s="51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3"/>
      <c r="C22" s="513"/>
      <c r="D22" s="51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3"/>
      <c r="C23" s="513"/>
      <c r="D23" s="51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3"/>
      <c r="C24" s="513"/>
      <c r="D24" s="51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3"/>
      <c r="C25" s="513"/>
      <c r="D25" s="51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3"/>
      <c r="C26" s="513"/>
      <c r="D26" s="51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3"/>
      <c r="C27" s="513"/>
      <c r="D27" s="51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3"/>
      <c r="C28" s="513"/>
      <c r="D28" s="51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3"/>
      <c r="C29" s="513"/>
      <c r="D29" s="51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3"/>
      <c r="C30" s="513"/>
      <c r="D30" s="51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3"/>
      <c r="C31" s="513"/>
      <c r="D31" s="51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3"/>
      <c r="C32" s="513"/>
      <c r="D32" s="51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3"/>
      <c r="C33" s="513"/>
      <c r="D33" s="51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3"/>
      <c r="C34" s="513"/>
      <c r="D34" s="51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3"/>
      <c r="C35" s="513"/>
      <c r="D35" s="51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3"/>
      <c r="C36" s="513"/>
      <c r="D36" s="51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3"/>
      <c r="C37" s="513"/>
      <c r="D37" s="51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3"/>
      <c r="C38" s="513"/>
      <c r="D38" s="51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3"/>
      <c r="C39" s="513"/>
      <c r="D39" s="51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3"/>
      <c r="C40" s="513"/>
      <c r="D40" s="51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3"/>
      <c r="C41" s="513"/>
      <c r="D41" s="51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3"/>
      <c r="C42" s="513"/>
      <c r="D42" s="51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3"/>
      <c r="C43" s="513"/>
      <c r="D43" s="51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3"/>
      <c r="C44" s="513"/>
      <c r="D44" s="51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3"/>
      <c r="C45" s="513"/>
      <c r="D45" s="51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3"/>
      <c r="C46" s="513"/>
      <c r="D46" s="51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3"/>
      <c r="C47" s="513"/>
      <c r="D47" s="51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3"/>
      <c r="C48" s="513"/>
      <c r="D48" s="51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3"/>
      <c r="C49" s="513"/>
      <c r="D49" s="51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3"/>
      <c r="C50" s="513"/>
      <c r="D50" s="51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3"/>
      <c r="C51" s="513"/>
      <c r="D51" s="51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3"/>
      <c r="C52" s="513"/>
      <c r="D52" s="51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3"/>
      <c r="C53" s="513"/>
      <c r="D53" s="51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3"/>
      <c r="C54" s="513"/>
      <c r="D54" s="51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3"/>
      <c r="C55" s="513"/>
      <c r="D55" s="51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3"/>
      <c r="C56" s="513"/>
      <c r="D56" s="51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3"/>
      <c r="C57" s="513"/>
      <c r="D57" s="51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3"/>
      <c r="C58" s="513"/>
      <c r="D58" s="51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3"/>
      <c r="C59" s="513"/>
      <c r="D59" s="51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3"/>
      <c r="C60" s="513"/>
      <c r="D60" s="51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3"/>
      <c r="C61" s="513"/>
      <c r="D61" s="51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3"/>
      <c r="C62" s="513"/>
      <c r="D62" s="51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3"/>
      <c r="C63" s="513"/>
      <c r="D63" s="51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3"/>
      <c r="C64" s="513"/>
      <c r="D64" s="51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3"/>
      <c r="C65" s="513"/>
      <c r="D65" s="51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3"/>
      <c r="C66" s="513"/>
      <c r="D66" s="51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3"/>
      <c r="C67" s="513"/>
      <c r="D67" s="51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3"/>
      <c r="C68" s="513"/>
      <c r="D68" s="51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3"/>
      <c r="C69" s="513"/>
      <c r="D69" s="51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3"/>
      <c r="C70" s="513"/>
      <c r="D70" s="51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3"/>
      <c r="C71" s="513"/>
      <c r="D71" s="51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3"/>
      <c r="C72" s="513"/>
      <c r="D72" s="51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3838590.9696926791</v>
      </c>
      <c r="G73" s="18">
        <f t="shared" ref="G73:H73" si="2">SUM(G15:G72)</f>
        <v>1184907.1842830805</v>
      </c>
      <c r="H73" s="18">
        <f t="shared" si="2"/>
        <v>5023498.1539757596</v>
      </c>
      <c r="J73" s="18">
        <f>SUM(J15:J72)</f>
        <v>0</v>
      </c>
      <c r="K73" s="18">
        <f t="shared" ref="K73:L73" si="3">SUM(K15:K72)</f>
        <v>0</v>
      </c>
      <c r="L73" s="18">
        <f t="shared" si="3"/>
        <v>0</v>
      </c>
      <c r="O73" s="83" t="s">
        <v>313</v>
      </c>
    </row>
    <row r="74" spans="1:15" ht="15" thickBot="1" x14ac:dyDescent="0.4">
      <c r="H74" s="37" t="s">
        <v>257</v>
      </c>
      <c r="L74" s="37" t="s">
        <v>258</v>
      </c>
    </row>
    <row r="75" spans="1:15" ht="16" thickBot="1" x14ac:dyDescent="0.4">
      <c r="A75" s="24">
        <v>60</v>
      </c>
      <c r="B75" s="143" t="s">
        <v>463</v>
      </c>
      <c r="C75" s="72"/>
      <c r="E75" s="72"/>
      <c r="F75" s="75">
        <f>H73+L73</f>
        <v>5023498.1539757596</v>
      </c>
      <c r="I75" s="74"/>
      <c r="J75" s="74"/>
      <c r="K75" s="74"/>
      <c r="L75" s="74"/>
      <c r="N75" s="72"/>
      <c r="O75" s="72"/>
    </row>
  </sheetData>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65">
    <mergeCell ref="B18:D18"/>
    <mergeCell ref="B19:D19"/>
    <mergeCell ref="B17:D17"/>
    <mergeCell ref="B15:D15"/>
    <mergeCell ref="B16:D16"/>
    <mergeCell ref="O13:O14"/>
    <mergeCell ref="F13:H13"/>
    <mergeCell ref="J13:L13"/>
    <mergeCell ref="B13:D14"/>
    <mergeCell ref="B72:D72"/>
    <mergeCell ref="N13:N14"/>
    <mergeCell ref="B40:D40"/>
    <mergeCell ref="B58:D58"/>
    <mergeCell ref="B59:D59"/>
    <mergeCell ref="B53:D53"/>
    <mergeCell ref="B54:D54"/>
    <mergeCell ref="B55:D55"/>
    <mergeCell ref="B56:D56"/>
    <mergeCell ref="B57:D57"/>
    <mergeCell ref="B35:D35"/>
    <mergeCell ref="B36:D36"/>
    <mergeCell ref="B29:D29"/>
    <mergeCell ref="B37:D37"/>
    <mergeCell ref="B38:D38"/>
    <mergeCell ref="B39:D39"/>
    <mergeCell ref="B30:D30"/>
    <mergeCell ref="B31:D31"/>
    <mergeCell ref="B32:D32"/>
    <mergeCell ref="B33:D33"/>
    <mergeCell ref="B34:D34"/>
    <mergeCell ref="B25:D25"/>
    <mergeCell ref="B26:D26"/>
    <mergeCell ref="B27:D27"/>
    <mergeCell ref="B28:D28"/>
    <mergeCell ref="B20:D20"/>
    <mergeCell ref="B21:D21"/>
    <mergeCell ref="B22:D22"/>
    <mergeCell ref="B23:D23"/>
    <mergeCell ref="B24:D24"/>
    <mergeCell ref="B46:D46"/>
    <mergeCell ref="B47:D47"/>
    <mergeCell ref="B48:D48"/>
    <mergeCell ref="B49:D49"/>
    <mergeCell ref="B50:D50"/>
    <mergeCell ref="B41:D41"/>
    <mergeCell ref="B42:D42"/>
    <mergeCell ref="B43:D43"/>
    <mergeCell ref="B44:D44"/>
    <mergeCell ref="B45:D45"/>
    <mergeCell ref="B12:D12"/>
    <mergeCell ref="A3:F3"/>
    <mergeCell ref="B71:D71"/>
    <mergeCell ref="B60:D60"/>
    <mergeCell ref="B61:D61"/>
    <mergeCell ref="B62:D62"/>
    <mergeCell ref="B63:D63"/>
    <mergeCell ref="B64:D64"/>
    <mergeCell ref="B65:D65"/>
    <mergeCell ref="B66:D66"/>
    <mergeCell ref="B67:D67"/>
    <mergeCell ref="B68:D68"/>
    <mergeCell ref="B69:D69"/>
    <mergeCell ref="B70:D70"/>
    <mergeCell ref="B51:D51"/>
    <mergeCell ref="B52:D52"/>
  </mergeCells>
  <pageMargins left="0.7" right="0.7" top="0.75" bottom="0.75" header="0.3" footer="0.3"/>
  <pageSetup orientation="portrait" horizontalDpi="1200" verticalDpi="1200"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tabColor rgb="FF9CC5CA"/>
  </sheetPr>
  <dimension ref="A1:O75"/>
  <sheetViews>
    <sheetView workbookViewId="0">
      <selection activeCell="C6" sqref="C6"/>
    </sheetView>
  </sheetViews>
  <sheetFormatPr defaultRowHeight="14.5" x14ac:dyDescent="0.35"/>
  <cols>
    <col min="1" max="1" width="9.54296875" customWidth="1"/>
    <col min="2" max="2" width="16" customWidth="1"/>
    <col min="3" max="3" width="22.5429687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494" t="s">
        <v>768</v>
      </c>
      <c r="B3" s="494"/>
      <c r="C3" s="494"/>
      <c r="D3" s="494"/>
      <c r="E3" s="494"/>
      <c r="F3" s="494"/>
      <c r="G3" s="494"/>
      <c r="H3" s="494"/>
    </row>
    <row r="5" spans="1:15" x14ac:dyDescent="0.35">
      <c r="A5" s="1" t="s">
        <v>773</v>
      </c>
      <c r="C5" s="420">
        <f>'As-Filed Schedule 1'!C5</f>
        <v>0</v>
      </c>
    </row>
    <row r="6" spans="1:15" x14ac:dyDescent="0.35">
      <c r="A6" s="1" t="s">
        <v>0</v>
      </c>
      <c r="C6" s="35">
        <f>'As-Filed Schedule 1'!C6</f>
        <v>45473</v>
      </c>
      <c r="F6" s="35"/>
    </row>
    <row r="8" spans="1:15" x14ac:dyDescent="0.35">
      <c r="A8" s="1" t="s">
        <v>253</v>
      </c>
      <c r="B8" s="1" t="s">
        <v>260</v>
      </c>
      <c r="C8" s="1"/>
      <c r="F8" s="119" t="s">
        <v>939</v>
      </c>
      <c r="G8" s="41" t="s">
        <v>259</v>
      </c>
    </row>
    <row r="10" spans="1:15" x14ac:dyDescent="0.35">
      <c r="A10" s="1" t="s">
        <v>254</v>
      </c>
      <c r="B10" s="1" t="s">
        <v>256</v>
      </c>
      <c r="C10" s="1"/>
    </row>
    <row r="12" spans="1:15" x14ac:dyDescent="0.35">
      <c r="B12" s="508">
        <v>1</v>
      </c>
      <c r="C12" s="508"/>
      <c r="D12" s="508"/>
      <c r="F12" s="23">
        <v>2</v>
      </c>
      <c r="G12" s="23">
        <v>3</v>
      </c>
      <c r="H12" s="23">
        <v>4</v>
      </c>
      <c r="J12" s="23">
        <v>5</v>
      </c>
      <c r="K12" s="23">
        <v>6</v>
      </c>
      <c r="L12" s="23">
        <v>7</v>
      </c>
      <c r="N12" s="23">
        <v>8</v>
      </c>
      <c r="O12" s="23">
        <v>9</v>
      </c>
    </row>
    <row r="13" spans="1:15" x14ac:dyDescent="0.35">
      <c r="B13" s="517" t="s">
        <v>255</v>
      </c>
      <c r="C13" s="518"/>
      <c r="D13" s="519"/>
      <c r="F13" s="511" t="s">
        <v>261</v>
      </c>
      <c r="G13" s="516"/>
      <c r="H13" s="512"/>
      <c r="J13" s="511" t="s">
        <v>262</v>
      </c>
      <c r="K13" s="516"/>
      <c r="L13" s="512"/>
      <c r="N13" s="514" t="s">
        <v>250</v>
      </c>
      <c r="O13" s="510" t="s">
        <v>312</v>
      </c>
    </row>
    <row r="14" spans="1:15" ht="55.5" customHeight="1" x14ac:dyDescent="0.35">
      <c r="B14" s="520"/>
      <c r="C14" s="521"/>
      <c r="D14" s="522"/>
      <c r="E14" s="48"/>
      <c r="F14" s="10" t="s">
        <v>214</v>
      </c>
      <c r="G14" s="151" t="s">
        <v>491</v>
      </c>
      <c r="H14" s="151" t="s">
        <v>215</v>
      </c>
      <c r="I14" s="100"/>
      <c r="J14" s="151" t="s">
        <v>214</v>
      </c>
      <c r="K14" s="151" t="s">
        <v>491</v>
      </c>
      <c r="L14" s="10" t="s">
        <v>215</v>
      </c>
      <c r="M14" s="48"/>
      <c r="N14" s="515"/>
      <c r="O14" s="510"/>
    </row>
    <row r="15" spans="1:15" x14ac:dyDescent="0.35">
      <c r="A15" s="24">
        <v>1</v>
      </c>
      <c r="B15" s="543" t="s">
        <v>804</v>
      </c>
      <c r="C15" s="543"/>
      <c r="D15" s="543"/>
      <c r="F15" s="117">
        <v>1422601.4866123446</v>
      </c>
      <c r="G15" s="181">
        <f>IFERROR(F15*'As-Filed Schedule 1'!$E$103,0)</f>
        <v>439132.67528832651</v>
      </c>
      <c r="H15" s="181">
        <f>SUM(F15:G15)</f>
        <v>1861734.1619006712</v>
      </c>
      <c r="I15" s="100"/>
      <c r="J15" s="180"/>
      <c r="K15" s="181">
        <f>IFERROR(J15*'As-Filed Schedule 1'!$E$103,0)</f>
        <v>0</v>
      </c>
      <c r="L15" s="68">
        <f>SUM(J15:K15)</f>
        <v>0</v>
      </c>
      <c r="N15" s="120">
        <v>13.112500000000004</v>
      </c>
      <c r="O15" s="464">
        <v>3747</v>
      </c>
    </row>
    <row r="16" spans="1:15" x14ac:dyDescent="0.35">
      <c r="A16" s="24">
        <v>2</v>
      </c>
      <c r="B16" s="543" t="s">
        <v>947</v>
      </c>
      <c r="C16" s="543"/>
      <c r="D16" s="543"/>
      <c r="F16" s="117"/>
      <c r="G16" s="68">
        <f>IFERROR(F16*'As-Filed Schedule 1'!$E$103,0)</f>
        <v>0</v>
      </c>
      <c r="H16" s="68">
        <f t="shared" ref="H16:H72" si="0">SUM(F16:G16)</f>
        <v>0</v>
      </c>
      <c r="J16" s="117">
        <v>186824.56494368202</v>
      </c>
      <c r="K16" s="68">
        <f>IFERROR(J16*'As-Filed Schedule 1'!$E$103,0)</f>
        <v>57669.538367108915</v>
      </c>
      <c r="L16" s="68">
        <f t="shared" ref="L16:L72" si="1">SUM(J16:K16)</f>
        <v>244494.10331079093</v>
      </c>
      <c r="N16" s="120">
        <v>2.2166666666666668</v>
      </c>
      <c r="O16" s="464">
        <v>37</v>
      </c>
    </row>
    <row r="17" spans="1:15" x14ac:dyDescent="0.35">
      <c r="A17" s="24">
        <v>3</v>
      </c>
      <c r="B17" s="513" t="s">
        <v>948</v>
      </c>
      <c r="C17" s="513"/>
      <c r="D17" s="513"/>
      <c r="F17" s="117">
        <v>67986.968693358358</v>
      </c>
      <c r="G17" s="68">
        <f>IFERROR(F17*'As-Filed Schedule 1'!$E$103,0)</f>
        <v>20986.410971742258</v>
      </c>
      <c r="H17" s="68">
        <f t="shared" si="0"/>
        <v>88973.379665100612</v>
      </c>
      <c r="J17" s="117"/>
      <c r="K17" s="68">
        <f>IFERROR(J17*'As-Filed Schedule 1'!$E$103,0)</f>
        <v>0</v>
      </c>
      <c r="L17" s="68">
        <f t="shared" si="1"/>
        <v>0</v>
      </c>
      <c r="N17" s="120">
        <v>0.97166666666666668</v>
      </c>
      <c r="O17" s="464">
        <v>57</v>
      </c>
    </row>
    <row r="18" spans="1:15" x14ac:dyDescent="0.35">
      <c r="A18" s="24">
        <v>4</v>
      </c>
      <c r="B18" s="513" t="s">
        <v>949</v>
      </c>
      <c r="C18" s="513"/>
      <c r="D18" s="513"/>
      <c r="F18" s="117">
        <v>288184.18304958567</v>
      </c>
      <c r="G18" s="68">
        <f>IFERROR(F18*'As-Filed Schedule 1'!$E$103,0)</f>
        <v>88957.513730498598</v>
      </c>
      <c r="H18" s="68">
        <f t="shared" si="0"/>
        <v>377141.69678008428</v>
      </c>
      <c r="J18" s="117"/>
      <c r="K18" s="68">
        <f>IFERROR(J18*'As-Filed Schedule 1'!$E$103,0)</f>
        <v>0</v>
      </c>
      <c r="L18" s="68">
        <f t="shared" si="1"/>
        <v>0</v>
      </c>
      <c r="N18" s="120">
        <v>2.7833333333333332</v>
      </c>
      <c r="O18" s="464">
        <v>128</v>
      </c>
    </row>
    <row r="19" spans="1:15" x14ac:dyDescent="0.35">
      <c r="A19" s="24">
        <v>5</v>
      </c>
      <c r="B19" s="513"/>
      <c r="C19" s="513"/>
      <c r="D19" s="513"/>
      <c r="F19" s="117"/>
      <c r="G19" s="68">
        <f>IFERROR(F19*'As-Filed Schedule 1'!$E$103,0)</f>
        <v>0</v>
      </c>
      <c r="H19" s="68">
        <f t="shared" si="0"/>
        <v>0</v>
      </c>
      <c r="J19" s="117"/>
      <c r="K19" s="68">
        <f>IFERROR(J19*'As-Filed Schedule 1'!$E$103,0)</f>
        <v>0</v>
      </c>
      <c r="L19" s="68">
        <f t="shared" si="1"/>
        <v>0</v>
      </c>
      <c r="N19" s="120"/>
      <c r="O19" s="448"/>
    </row>
    <row r="20" spans="1:15" x14ac:dyDescent="0.35">
      <c r="A20" s="24">
        <v>6</v>
      </c>
      <c r="B20" s="513"/>
      <c r="C20" s="513"/>
      <c r="D20" s="51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3"/>
      <c r="C21" s="513"/>
      <c r="D21" s="51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3"/>
      <c r="C22" s="513"/>
      <c r="D22" s="51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3"/>
      <c r="C23" s="513"/>
      <c r="D23" s="51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3"/>
      <c r="C24" s="513"/>
      <c r="D24" s="51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3"/>
      <c r="C25" s="513"/>
      <c r="D25" s="51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3"/>
      <c r="C26" s="513"/>
      <c r="D26" s="51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3"/>
      <c r="C27" s="513"/>
      <c r="D27" s="51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3"/>
      <c r="C28" s="513"/>
      <c r="D28" s="51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3"/>
      <c r="C29" s="513"/>
      <c r="D29" s="51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3"/>
      <c r="C30" s="513"/>
      <c r="D30" s="51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3"/>
      <c r="C31" s="513"/>
      <c r="D31" s="51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3"/>
      <c r="C32" s="513"/>
      <c r="D32" s="51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3"/>
      <c r="C33" s="513"/>
      <c r="D33" s="51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3"/>
      <c r="C34" s="513"/>
      <c r="D34" s="51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3"/>
      <c r="C35" s="513"/>
      <c r="D35" s="51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3"/>
      <c r="C36" s="513"/>
      <c r="D36" s="51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3"/>
      <c r="C37" s="513"/>
      <c r="D37" s="51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3"/>
      <c r="C38" s="513"/>
      <c r="D38" s="51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3"/>
      <c r="C39" s="513"/>
      <c r="D39" s="51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3"/>
      <c r="C40" s="513"/>
      <c r="D40" s="51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3"/>
      <c r="C41" s="513"/>
      <c r="D41" s="51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3"/>
      <c r="C42" s="513"/>
      <c r="D42" s="51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3"/>
      <c r="C43" s="513"/>
      <c r="D43" s="51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3"/>
      <c r="C44" s="513"/>
      <c r="D44" s="51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3"/>
      <c r="C45" s="513"/>
      <c r="D45" s="51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3"/>
      <c r="C46" s="513"/>
      <c r="D46" s="51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3"/>
      <c r="C47" s="513"/>
      <c r="D47" s="51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3"/>
      <c r="C48" s="513"/>
      <c r="D48" s="51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3"/>
      <c r="C49" s="513"/>
      <c r="D49" s="51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3"/>
      <c r="C50" s="513"/>
      <c r="D50" s="51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3"/>
      <c r="C51" s="513"/>
      <c r="D51" s="51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3"/>
      <c r="C52" s="513"/>
      <c r="D52" s="51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3"/>
      <c r="C53" s="513"/>
      <c r="D53" s="51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3"/>
      <c r="C54" s="513"/>
      <c r="D54" s="51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3"/>
      <c r="C55" s="513"/>
      <c r="D55" s="51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3"/>
      <c r="C56" s="513"/>
      <c r="D56" s="51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3"/>
      <c r="C57" s="513"/>
      <c r="D57" s="51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3"/>
      <c r="C58" s="513"/>
      <c r="D58" s="51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3"/>
      <c r="C59" s="513"/>
      <c r="D59" s="51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3"/>
      <c r="C60" s="513"/>
      <c r="D60" s="51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3"/>
      <c r="C61" s="513"/>
      <c r="D61" s="51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3"/>
      <c r="C62" s="513"/>
      <c r="D62" s="51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3"/>
      <c r="C63" s="513"/>
      <c r="D63" s="51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3"/>
      <c r="C64" s="513"/>
      <c r="D64" s="51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3"/>
      <c r="C65" s="513"/>
      <c r="D65" s="51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3"/>
      <c r="C66" s="513"/>
      <c r="D66" s="51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3"/>
      <c r="C67" s="513"/>
      <c r="D67" s="51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3"/>
      <c r="C68" s="513"/>
      <c r="D68" s="51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3"/>
      <c r="C69" s="513"/>
      <c r="D69" s="51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3"/>
      <c r="C70" s="513"/>
      <c r="D70" s="51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3"/>
      <c r="C71" s="513"/>
      <c r="D71" s="51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3"/>
      <c r="C72" s="513"/>
      <c r="D72" s="51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1778772.6383552887</v>
      </c>
      <c r="G73" s="18">
        <f t="shared" ref="G73:H73" si="2">SUM(G15:G72)</f>
        <v>549076.59999056731</v>
      </c>
      <c r="H73" s="18">
        <f t="shared" si="2"/>
        <v>2327849.2383458563</v>
      </c>
      <c r="J73" s="18">
        <f>SUM(J15:J72)</f>
        <v>186824.56494368202</v>
      </c>
      <c r="K73" s="18">
        <f t="shared" ref="K73:L73" si="3">SUM(K15:K72)</f>
        <v>57669.538367108915</v>
      </c>
      <c r="L73" s="18">
        <f t="shared" si="3"/>
        <v>244494.10331079093</v>
      </c>
      <c r="O73" s="83" t="s">
        <v>313</v>
      </c>
    </row>
    <row r="74" spans="1:15" ht="15" thickBot="1" x14ac:dyDescent="0.4">
      <c r="H74" s="37" t="s">
        <v>257</v>
      </c>
      <c r="L74" s="37" t="s">
        <v>258</v>
      </c>
    </row>
    <row r="75" spans="1:15" s="72" customFormat="1" ht="16" thickBot="1" x14ac:dyDescent="0.4">
      <c r="A75" s="24">
        <v>60</v>
      </c>
      <c r="B75" s="73" t="s">
        <v>460</v>
      </c>
      <c r="F75" s="75">
        <f>H73+L73</f>
        <v>2572343.3416566472</v>
      </c>
      <c r="G75" s="74"/>
      <c r="H75" s="74"/>
      <c r="I75" s="74"/>
      <c r="J75" s="74"/>
      <c r="K75" s="74"/>
    </row>
  </sheetData>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65">
    <mergeCell ref="B55:D55"/>
    <mergeCell ref="B56:D56"/>
    <mergeCell ref="B57:D57"/>
    <mergeCell ref="B50:D50"/>
    <mergeCell ref="B51:D51"/>
    <mergeCell ref="B52:D52"/>
    <mergeCell ref="B63:D63"/>
    <mergeCell ref="B64:D64"/>
    <mergeCell ref="B70:D70"/>
    <mergeCell ref="B58:D58"/>
    <mergeCell ref="B59:D59"/>
    <mergeCell ref="B60:D60"/>
    <mergeCell ref="B61:D61"/>
    <mergeCell ref="B62:D62"/>
    <mergeCell ref="B71:D71"/>
    <mergeCell ref="B72:D72"/>
    <mergeCell ref="B65:D65"/>
    <mergeCell ref="B66:D66"/>
    <mergeCell ref="B67:D67"/>
    <mergeCell ref="B68:D68"/>
    <mergeCell ref="B69:D69"/>
    <mergeCell ref="A3:H3"/>
    <mergeCell ref="F13:H13"/>
    <mergeCell ref="B29:D29"/>
    <mergeCell ref="B30:D30"/>
    <mergeCell ref="B31:D31"/>
    <mergeCell ref="B20:D20"/>
    <mergeCell ref="B21:D21"/>
    <mergeCell ref="B22:D22"/>
    <mergeCell ref="B23:D23"/>
    <mergeCell ref="B24:D24"/>
    <mergeCell ref="B25:D25"/>
    <mergeCell ref="B26:D26"/>
    <mergeCell ref="B12:D12"/>
    <mergeCell ref="B18:D18"/>
    <mergeCell ref="B15:D15"/>
    <mergeCell ref="B38:D38"/>
    <mergeCell ref="B39:D39"/>
    <mergeCell ref="B53:D53"/>
    <mergeCell ref="B54:D54"/>
    <mergeCell ref="B47:D47"/>
    <mergeCell ref="B48:D48"/>
    <mergeCell ref="B49:D49"/>
    <mergeCell ref="B40:D40"/>
    <mergeCell ref="B41:D41"/>
    <mergeCell ref="B42:D42"/>
    <mergeCell ref="B43:D43"/>
    <mergeCell ref="B44:D44"/>
    <mergeCell ref="B45:D45"/>
    <mergeCell ref="B46:D46"/>
    <mergeCell ref="O13:O14"/>
    <mergeCell ref="B37:D37"/>
    <mergeCell ref="B32:D32"/>
    <mergeCell ref="B33:D33"/>
    <mergeCell ref="B34:D34"/>
    <mergeCell ref="B35:D35"/>
    <mergeCell ref="B36:D36"/>
    <mergeCell ref="J13:L13"/>
    <mergeCell ref="B27:D27"/>
    <mergeCell ref="B28:D28"/>
    <mergeCell ref="B19:D19"/>
    <mergeCell ref="B13:D14"/>
    <mergeCell ref="N13:N14"/>
    <mergeCell ref="B16:D16"/>
    <mergeCell ref="B17:D17"/>
  </mergeCells>
  <pageMargins left="0.7" right="0.7" top="0.75" bottom="0.75" header="0.3" footer="0.3"/>
  <pageSetup orientation="portrait" horizontalDpi="1200" verticalDpi="1200"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1">
    <tabColor rgb="FF9CC5CA"/>
  </sheetPr>
  <dimension ref="A1:O75"/>
  <sheetViews>
    <sheetView workbookViewId="0">
      <selection activeCell="C6" sqref="C6"/>
    </sheetView>
  </sheetViews>
  <sheetFormatPr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494" t="s">
        <v>769</v>
      </c>
      <c r="B3" s="494"/>
      <c r="C3" s="494"/>
      <c r="D3" s="494"/>
      <c r="E3" s="494"/>
      <c r="F3" s="494"/>
      <c r="G3" s="494"/>
      <c r="H3" s="494"/>
    </row>
    <row r="5" spans="1:15" x14ac:dyDescent="0.35">
      <c r="A5" s="1" t="s">
        <v>773</v>
      </c>
      <c r="C5" s="420">
        <f>'As-Filed Schedule 1'!C5</f>
        <v>0</v>
      </c>
    </row>
    <row r="6" spans="1:15" x14ac:dyDescent="0.35">
      <c r="A6" s="1" t="s">
        <v>0</v>
      </c>
      <c r="C6" s="35">
        <f>'As-Filed Schedule 1'!C6</f>
        <v>45473</v>
      </c>
      <c r="F6" s="35"/>
    </row>
    <row r="8" spans="1:15" x14ac:dyDescent="0.35">
      <c r="A8" s="1" t="s">
        <v>253</v>
      </c>
      <c r="B8" s="1" t="s">
        <v>204</v>
      </c>
      <c r="C8" s="1"/>
      <c r="D8" s="119" t="s">
        <v>939</v>
      </c>
      <c r="E8" s="41" t="s">
        <v>259</v>
      </c>
    </row>
    <row r="10" spans="1:15" x14ac:dyDescent="0.35">
      <c r="A10" s="1" t="s">
        <v>254</v>
      </c>
      <c r="B10" s="1" t="s">
        <v>256</v>
      </c>
      <c r="C10" s="1"/>
    </row>
    <row r="12" spans="1:15" x14ac:dyDescent="0.35">
      <c r="B12" s="508">
        <v>1</v>
      </c>
      <c r="C12" s="508"/>
      <c r="D12" s="508"/>
      <c r="F12" s="23">
        <v>2</v>
      </c>
      <c r="G12" s="23">
        <v>3</v>
      </c>
      <c r="H12" s="23">
        <v>4</v>
      </c>
      <c r="J12" s="23">
        <v>5</v>
      </c>
      <c r="K12" s="23">
        <v>6</v>
      </c>
      <c r="L12" s="23">
        <v>7</v>
      </c>
      <c r="N12" s="23">
        <v>8</v>
      </c>
      <c r="O12" s="23">
        <v>9</v>
      </c>
    </row>
    <row r="13" spans="1:15" x14ac:dyDescent="0.35">
      <c r="B13" s="517" t="s">
        <v>255</v>
      </c>
      <c r="C13" s="518"/>
      <c r="D13" s="519"/>
      <c r="F13" s="511" t="s">
        <v>261</v>
      </c>
      <c r="G13" s="516"/>
      <c r="H13" s="512"/>
      <c r="J13" s="511" t="s">
        <v>262</v>
      </c>
      <c r="K13" s="516"/>
      <c r="L13" s="512"/>
      <c r="N13" s="514" t="s">
        <v>250</v>
      </c>
      <c r="O13" s="510" t="s">
        <v>312</v>
      </c>
    </row>
    <row r="14" spans="1:15" ht="55.5" customHeight="1" x14ac:dyDescent="0.35">
      <c r="B14" s="520"/>
      <c r="C14" s="521"/>
      <c r="D14" s="522"/>
      <c r="E14" s="48"/>
      <c r="F14" s="10" t="s">
        <v>214</v>
      </c>
      <c r="G14" s="151" t="s">
        <v>491</v>
      </c>
      <c r="H14" s="151" t="s">
        <v>215</v>
      </c>
      <c r="I14" s="100"/>
      <c r="J14" s="151" t="s">
        <v>214</v>
      </c>
      <c r="K14" s="151" t="s">
        <v>491</v>
      </c>
      <c r="L14" s="10" t="s">
        <v>215</v>
      </c>
      <c r="M14" s="48"/>
      <c r="N14" s="515"/>
      <c r="O14" s="510"/>
    </row>
    <row r="15" spans="1:15" x14ac:dyDescent="0.35">
      <c r="A15" s="24">
        <v>1</v>
      </c>
      <c r="B15" s="543" t="s">
        <v>950</v>
      </c>
      <c r="C15" s="543"/>
      <c r="D15" s="543"/>
      <c r="F15" s="117">
        <v>2931321.9220722746</v>
      </c>
      <c r="G15" s="68">
        <f>IFERROR(F15*'As-Filed Schedule 1'!$E$103,0)</f>
        <v>904848.79278190073</v>
      </c>
      <c r="H15" s="68">
        <f>SUM(F15:G15)</f>
        <v>3836170.7148541752</v>
      </c>
      <c r="J15" s="117"/>
      <c r="K15" s="68">
        <f>IFERROR(J15*'As-Filed Schedule 1'!$E$103,0)</f>
        <v>0</v>
      </c>
      <c r="L15" s="68">
        <f>SUM(J15:K15)</f>
        <v>0</v>
      </c>
      <c r="N15" s="120">
        <v>25.047499999999999</v>
      </c>
      <c r="O15" s="464">
        <v>1729</v>
      </c>
    </row>
    <row r="16" spans="1:15" x14ac:dyDescent="0.35">
      <c r="A16" s="24">
        <v>2</v>
      </c>
      <c r="B16" s="543" t="s">
        <v>951</v>
      </c>
      <c r="C16" s="543"/>
      <c r="D16" s="543"/>
      <c r="F16" s="117">
        <v>106860.58945737312</v>
      </c>
      <c r="G16" s="68">
        <f>IFERROR(F16*'As-Filed Schedule 1'!$E$103,0)</f>
        <v>32986.030854676741</v>
      </c>
      <c r="H16" s="68">
        <f t="shared" ref="H16:H72" si="0">SUM(F16:G16)</f>
        <v>139846.62031204987</v>
      </c>
      <c r="J16" s="117"/>
      <c r="K16" s="68">
        <f>IFERROR(J16*'As-Filed Schedule 1'!$E$103,0)</f>
        <v>0</v>
      </c>
      <c r="L16" s="68">
        <f t="shared" ref="L16:L72" si="1">SUM(J16:K16)</f>
        <v>0</v>
      </c>
      <c r="N16" s="120">
        <v>1.4558333333333333</v>
      </c>
      <c r="O16" s="464">
        <v>154</v>
      </c>
    </row>
    <row r="17" spans="1:15" x14ac:dyDescent="0.35">
      <c r="A17" s="24">
        <v>3</v>
      </c>
      <c r="B17" s="543" t="s">
        <v>952</v>
      </c>
      <c r="C17" s="543"/>
      <c r="D17" s="543"/>
      <c r="F17" s="117">
        <v>2166684.5674723266</v>
      </c>
      <c r="G17" s="68">
        <f>IFERROR(F17*'As-Filed Schedule 1'!$E$103,0)</f>
        <v>668818.35817968915</v>
      </c>
      <c r="H17" s="68">
        <f t="shared" si="0"/>
        <v>2835502.925652016</v>
      </c>
      <c r="J17" s="117"/>
      <c r="K17" s="68">
        <f>IFERROR(J17*'As-Filed Schedule 1'!$E$103,0)</f>
        <v>0</v>
      </c>
      <c r="L17" s="68">
        <f t="shared" si="1"/>
        <v>0</v>
      </c>
      <c r="N17" s="120">
        <v>19.067500000000003</v>
      </c>
      <c r="O17" s="464">
        <v>1407</v>
      </c>
    </row>
    <row r="18" spans="1:15" x14ac:dyDescent="0.35">
      <c r="A18" s="24">
        <v>4</v>
      </c>
      <c r="B18" s="543" t="s">
        <v>953</v>
      </c>
      <c r="C18" s="543"/>
      <c r="D18" s="543"/>
      <c r="F18" s="117">
        <v>100670.70383302045</v>
      </c>
      <c r="G18" s="68">
        <f>IFERROR(F18*'As-Filed Schedule 1'!$E$103,0)</f>
        <v>31075.319345142492</v>
      </c>
      <c r="H18" s="68">
        <f t="shared" si="0"/>
        <v>131746.02317816296</v>
      </c>
      <c r="J18" s="117"/>
      <c r="K18" s="68">
        <f>IFERROR(J18*'As-Filed Schedule 1'!$E$103,0)</f>
        <v>0</v>
      </c>
      <c r="L18" s="68">
        <f t="shared" si="1"/>
        <v>0</v>
      </c>
      <c r="N18" s="120">
        <v>0.72750000000000004</v>
      </c>
      <c r="O18" s="464">
        <v>253</v>
      </c>
    </row>
    <row r="19" spans="1:15" x14ac:dyDescent="0.35">
      <c r="A19" s="24">
        <v>5</v>
      </c>
      <c r="B19" s="543" t="s">
        <v>954</v>
      </c>
      <c r="C19" s="543"/>
      <c r="D19" s="543"/>
      <c r="F19" s="117">
        <v>608542.97475401347</v>
      </c>
      <c r="G19" s="68">
        <f>IFERROR(F19*'As-Filed Schedule 1'!$E$103,0)</f>
        <v>187846.77722220481</v>
      </c>
      <c r="H19" s="68">
        <f t="shared" si="0"/>
        <v>796389.75197621831</v>
      </c>
      <c r="J19" s="117"/>
      <c r="K19" s="68">
        <f>IFERROR(J19*'As-Filed Schedule 1'!$E$103,0)</f>
        <v>0</v>
      </c>
      <c r="L19" s="68">
        <f t="shared" si="1"/>
        <v>0</v>
      </c>
      <c r="N19" s="120">
        <v>6.4266666666666667</v>
      </c>
      <c r="O19" s="464">
        <v>289</v>
      </c>
    </row>
    <row r="20" spans="1:15" x14ac:dyDescent="0.35">
      <c r="A20" s="24">
        <v>6</v>
      </c>
      <c r="B20" s="543" t="s">
        <v>955</v>
      </c>
      <c r="C20" s="543"/>
      <c r="D20" s="543"/>
      <c r="F20" s="117">
        <v>1070812.5391070042</v>
      </c>
      <c r="G20" s="68">
        <f>IFERROR(F20*'As-Filed Schedule 1'!$E$103,0)</f>
        <v>330541.46186090744</v>
      </c>
      <c r="H20" s="68">
        <f t="shared" si="0"/>
        <v>1401354.0009679117</v>
      </c>
      <c r="J20" s="117"/>
      <c r="K20" s="68">
        <f>IFERROR(J20*'As-Filed Schedule 1'!$E$103,0)</f>
        <v>0</v>
      </c>
      <c r="L20" s="68">
        <f t="shared" si="1"/>
        <v>0</v>
      </c>
      <c r="N20" s="120">
        <v>8.6616666666666671</v>
      </c>
      <c r="O20" s="464">
        <v>616</v>
      </c>
    </row>
    <row r="21" spans="1:15" x14ac:dyDescent="0.35">
      <c r="A21" s="24">
        <v>7</v>
      </c>
      <c r="B21" s="465" t="s">
        <v>956</v>
      </c>
      <c r="C21" s="466"/>
      <c r="D21" s="467"/>
      <c r="F21" s="117">
        <v>963161.81578116911</v>
      </c>
      <c r="G21" s="68">
        <f>IFERROR(F21*'As-Filed Schedule 1'!$E$103,0)</f>
        <v>297311.53023517225</v>
      </c>
      <c r="H21" s="68">
        <f t="shared" si="0"/>
        <v>1260473.3460163414</v>
      </c>
      <c r="J21" s="117"/>
      <c r="K21" s="68">
        <f>IFERROR(J21*'As-Filed Schedule 1'!$E$103,0)</f>
        <v>0</v>
      </c>
      <c r="L21" s="68">
        <f t="shared" si="1"/>
        <v>0</v>
      </c>
      <c r="N21" s="120">
        <v>8.5391666666666648</v>
      </c>
      <c r="O21" s="464">
        <v>169</v>
      </c>
    </row>
    <row r="22" spans="1:15" x14ac:dyDescent="0.35">
      <c r="A22" s="24">
        <v>8</v>
      </c>
      <c r="B22" s="465" t="s">
        <v>957</v>
      </c>
      <c r="C22" s="466"/>
      <c r="D22" s="467"/>
      <c r="F22" s="117">
        <v>233268.03049747541</v>
      </c>
      <c r="G22" s="68">
        <f>IFERROR(F22*'As-Filed Schedule 1'!$E$103,0)</f>
        <v>72005.839481811796</v>
      </c>
      <c r="H22" s="68">
        <f t="shared" si="0"/>
        <v>305273.86997928721</v>
      </c>
      <c r="J22" s="117"/>
      <c r="K22" s="68">
        <f>IFERROR(J22*'As-Filed Schedule 1'!$E$103,0)</f>
        <v>0</v>
      </c>
      <c r="L22" s="68">
        <f t="shared" si="1"/>
        <v>0</v>
      </c>
      <c r="N22" s="120">
        <v>1.875</v>
      </c>
      <c r="O22" s="464">
        <v>56</v>
      </c>
    </row>
    <row r="23" spans="1:15" x14ac:dyDescent="0.35">
      <c r="A23" s="24">
        <v>9</v>
      </c>
      <c r="B23" s="465" t="s">
        <v>958</v>
      </c>
      <c r="C23" s="466"/>
      <c r="D23" s="467"/>
      <c r="F23" s="117">
        <v>162799.9645585189</v>
      </c>
      <c r="G23" s="68">
        <f>IFERROR(F23*'As-Filed Schedule 1'!$E$103,0)</f>
        <v>50253.556351658874</v>
      </c>
      <c r="H23" s="68">
        <f t="shared" si="0"/>
        <v>213053.52091017779</v>
      </c>
      <c r="J23" s="117"/>
      <c r="K23" s="68">
        <f>IFERROR(J23*'As-Filed Schedule 1'!$E$103,0)</f>
        <v>0</v>
      </c>
      <c r="L23" s="68">
        <f t="shared" si="1"/>
        <v>0</v>
      </c>
      <c r="N23" s="120">
        <v>1.0999999999999999</v>
      </c>
      <c r="O23" s="464">
        <v>70</v>
      </c>
    </row>
    <row r="24" spans="1:15" x14ac:dyDescent="0.35">
      <c r="A24" s="24">
        <v>10</v>
      </c>
      <c r="B24" s="465" t="s">
        <v>959</v>
      </c>
      <c r="C24" s="466"/>
      <c r="D24" s="467"/>
      <c r="F24" s="117">
        <v>1014615.3465416236</v>
      </c>
      <c r="G24" s="68">
        <f>IFERROR(F24*'As-Filed Schedule 1'!$E$103,0)</f>
        <v>313194.35253537534</v>
      </c>
      <c r="H24" s="68">
        <f t="shared" si="0"/>
        <v>1327809.699076999</v>
      </c>
      <c r="J24" s="117"/>
      <c r="K24" s="68">
        <f>IFERROR(J24*'As-Filed Schedule 1'!$E$103,0)</f>
        <v>0</v>
      </c>
      <c r="L24" s="68">
        <f t="shared" si="1"/>
        <v>0</v>
      </c>
      <c r="N24" s="120">
        <v>14.638333333333334</v>
      </c>
      <c r="O24" s="464">
        <v>7</v>
      </c>
    </row>
    <row r="25" spans="1:15" x14ac:dyDescent="0.35">
      <c r="A25" s="24">
        <v>11</v>
      </c>
      <c r="B25" s="465" t="s">
        <v>960</v>
      </c>
      <c r="C25" s="466"/>
      <c r="D25" s="467"/>
      <c r="F25" s="117">
        <v>2203634.6710617878</v>
      </c>
      <c r="G25" s="68">
        <f>IFERROR(F25*'As-Filed Schedule 1'!$E$103,0)</f>
        <v>680224.22130728932</v>
      </c>
      <c r="H25" s="68">
        <f t="shared" si="0"/>
        <v>2883858.8923690771</v>
      </c>
      <c r="J25" s="117"/>
      <c r="K25" s="68">
        <f>IFERROR(J25*'As-Filed Schedule 1'!$E$103,0)</f>
        <v>0</v>
      </c>
      <c r="L25" s="68">
        <f t="shared" si="1"/>
        <v>0</v>
      </c>
      <c r="N25" s="120">
        <v>13.030833333333335</v>
      </c>
      <c r="O25" s="464">
        <v>3545</v>
      </c>
    </row>
    <row r="26" spans="1:15" x14ac:dyDescent="0.35">
      <c r="A26" s="24">
        <v>12</v>
      </c>
      <c r="B26" s="465" t="s">
        <v>961</v>
      </c>
      <c r="C26" s="466"/>
      <c r="D26" s="467"/>
      <c r="F26" s="117">
        <v>1402688.1173412416</v>
      </c>
      <c r="G26" s="68">
        <f>IFERROR(F26*'As-Filed Schedule 1'!$E$103,0)</f>
        <v>432985.75979279482</v>
      </c>
      <c r="H26" s="68">
        <f t="shared" si="0"/>
        <v>1835673.8771340363</v>
      </c>
      <c r="J26" s="117"/>
      <c r="K26" s="68">
        <f>IFERROR(J26*'As-Filed Schedule 1'!$E$103,0)</f>
        <v>0</v>
      </c>
      <c r="L26" s="68">
        <f t="shared" si="1"/>
        <v>0</v>
      </c>
      <c r="N26" s="120">
        <v>10.465833333333334</v>
      </c>
      <c r="O26" s="464">
        <v>489</v>
      </c>
    </row>
    <row r="27" spans="1:15" x14ac:dyDescent="0.35">
      <c r="A27" s="24">
        <v>13</v>
      </c>
      <c r="B27" s="465" t="s">
        <v>962</v>
      </c>
      <c r="C27" s="466"/>
      <c r="D27" s="467"/>
      <c r="F27" s="117">
        <v>1349298.4178615354</v>
      </c>
      <c r="G27" s="68">
        <f>IFERROR(F27*'As-Filed Schedule 1'!$E$103,0)</f>
        <v>416505.27542243659</v>
      </c>
      <c r="H27" s="68">
        <f t="shared" si="0"/>
        <v>1765803.6932839721</v>
      </c>
      <c r="J27" s="117"/>
      <c r="K27" s="68">
        <f>IFERROR(J27*'As-Filed Schedule 1'!$E$103,0)</f>
        <v>0</v>
      </c>
      <c r="L27" s="68">
        <f t="shared" si="1"/>
        <v>0</v>
      </c>
      <c r="N27" s="120">
        <v>6.7816666666666654</v>
      </c>
      <c r="O27" s="464">
        <v>2689</v>
      </c>
    </row>
    <row r="28" spans="1:15" x14ac:dyDescent="0.35">
      <c r="A28" s="24">
        <v>14</v>
      </c>
      <c r="B28" s="465" t="s">
        <v>963</v>
      </c>
      <c r="C28" s="466"/>
      <c r="D28" s="467"/>
      <c r="F28" s="117">
        <v>1125747.7451935525</v>
      </c>
      <c r="G28" s="68">
        <f>IFERROR(F28*'As-Filed Schedule 1'!$E$103,0)</f>
        <v>347499.01760882657</v>
      </c>
      <c r="H28" s="68">
        <f t="shared" si="0"/>
        <v>1473246.762802379</v>
      </c>
      <c r="J28" s="117"/>
      <c r="K28" s="68">
        <f>IFERROR(J28*'As-Filed Schedule 1'!$E$103,0)</f>
        <v>0</v>
      </c>
      <c r="L28" s="68">
        <f t="shared" si="1"/>
        <v>0</v>
      </c>
      <c r="N28" s="120">
        <v>10.729999999999999</v>
      </c>
      <c r="O28" s="464">
        <v>3356</v>
      </c>
    </row>
    <row r="29" spans="1:15" x14ac:dyDescent="0.35">
      <c r="A29" s="24">
        <v>15</v>
      </c>
      <c r="B29" s="465" t="s">
        <v>964</v>
      </c>
      <c r="C29" s="466"/>
      <c r="D29" s="467"/>
      <c r="F29" s="117">
        <v>1095980.0479350078</v>
      </c>
      <c r="G29" s="68">
        <f>IFERROR(F29*'As-Filed Schedule 1'!$E$103,0)</f>
        <v>338310.24010695145</v>
      </c>
      <c r="H29" s="68">
        <f t="shared" si="0"/>
        <v>1434290.2880419593</v>
      </c>
      <c r="J29" s="117"/>
      <c r="K29" s="68">
        <f>IFERROR(J29*'As-Filed Schedule 1'!$E$103,0)</f>
        <v>0</v>
      </c>
      <c r="L29" s="68">
        <f t="shared" si="1"/>
        <v>0</v>
      </c>
      <c r="N29" s="120">
        <v>12.62</v>
      </c>
      <c r="O29" s="464">
        <v>2708</v>
      </c>
    </row>
    <row r="30" spans="1:15" x14ac:dyDescent="0.35">
      <c r="A30" s="24">
        <v>16</v>
      </c>
      <c r="B30" s="465" t="s">
        <v>965</v>
      </c>
      <c r="C30" s="466"/>
      <c r="D30" s="467"/>
      <c r="F30" s="117">
        <v>13175</v>
      </c>
      <c r="G30" s="68">
        <f>IFERROR(F30*'As-Filed Schedule 1'!$E$103,0)</f>
        <v>4066.8964930586048</v>
      </c>
      <c r="H30" s="68">
        <f t="shared" si="0"/>
        <v>17241.896493058604</v>
      </c>
      <c r="J30" s="117"/>
      <c r="K30" s="68">
        <f>IFERROR(J30*'As-Filed Schedule 1'!$E$103,0)</f>
        <v>0</v>
      </c>
      <c r="L30" s="68">
        <f t="shared" si="1"/>
        <v>0</v>
      </c>
      <c r="N30" s="120">
        <v>0</v>
      </c>
      <c r="O30" s="464"/>
    </row>
    <row r="31" spans="1:15" x14ac:dyDescent="0.35">
      <c r="A31" s="24">
        <v>17</v>
      </c>
      <c r="B31" s="465" t="s">
        <v>966</v>
      </c>
      <c r="C31" s="466"/>
      <c r="D31" s="467"/>
      <c r="F31" s="117">
        <v>678168.00982327806</v>
      </c>
      <c r="G31" s="68">
        <f>IFERROR(F31*'As-Filed Schedule 1'!$E$103,0)</f>
        <v>209338.83118442679</v>
      </c>
      <c r="H31" s="68">
        <f t="shared" si="0"/>
        <v>887506.84100770485</v>
      </c>
      <c r="J31" s="117"/>
      <c r="K31" s="68">
        <f>IFERROR(J31*'As-Filed Schedule 1'!$E$103,0)</f>
        <v>0</v>
      </c>
      <c r="L31" s="68">
        <f t="shared" si="1"/>
        <v>0</v>
      </c>
      <c r="N31" s="120">
        <v>2.5166666666666662</v>
      </c>
      <c r="O31" s="464">
        <v>812</v>
      </c>
    </row>
    <row r="32" spans="1:15" x14ac:dyDescent="0.35">
      <c r="A32" s="24">
        <v>18</v>
      </c>
      <c r="B32" s="465" t="s">
        <v>967</v>
      </c>
      <c r="C32" s="466"/>
      <c r="D32" s="467"/>
      <c r="F32" s="117">
        <v>514831.13284082082</v>
      </c>
      <c r="G32" s="68">
        <f>IFERROR(F32*'As-Filed Schedule 1'!$E$103,0)</f>
        <v>158919.53917781578</v>
      </c>
      <c r="H32" s="68">
        <f t="shared" si="0"/>
        <v>673750.6720186366</v>
      </c>
      <c r="J32" s="117"/>
      <c r="K32" s="68">
        <f>IFERROR(J32*'As-Filed Schedule 1'!$E$103,0)</f>
        <v>0</v>
      </c>
      <c r="L32" s="68">
        <f t="shared" si="1"/>
        <v>0</v>
      </c>
      <c r="N32" s="120">
        <v>4.3416666666666659</v>
      </c>
      <c r="O32" s="464"/>
    </row>
    <row r="33" spans="1:15" x14ac:dyDescent="0.35">
      <c r="A33" s="24">
        <v>19</v>
      </c>
      <c r="B33" s="465" t="s">
        <v>968</v>
      </c>
      <c r="C33" s="466"/>
      <c r="D33" s="467"/>
      <c r="F33" s="117">
        <v>447954.29838814086</v>
      </c>
      <c r="G33" s="68">
        <f>IFERROR(F33*'As-Filed Schedule 1'!$E$103,0)</f>
        <v>138275.80760267613</v>
      </c>
      <c r="H33" s="68">
        <f t="shared" si="0"/>
        <v>586230.10599081696</v>
      </c>
      <c r="J33" s="117"/>
      <c r="K33" s="68">
        <f>IFERROR(J33*'As-Filed Schedule 1'!$E$103,0)</f>
        <v>0</v>
      </c>
      <c r="L33" s="68">
        <f t="shared" si="1"/>
        <v>0</v>
      </c>
      <c r="N33" s="120">
        <v>4.8466666666666667</v>
      </c>
      <c r="O33" s="464">
        <v>204</v>
      </c>
    </row>
    <row r="34" spans="1:15" x14ac:dyDescent="0.35">
      <c r="A34" s="24">
        <v>20</v>
      </c>
      <c r="B34" s="465" t="s">
        <v>969</v>
      </c>
      <c r="C34" s="466"/>
      <c r="D34" s="467"/>
      <c r="F34" s="117">
        <v>347416.97733525373</v>
      </c>
      <c r="G34" s="68">
        <f>IFERROR(F34*'As-Filed Schedule 1'!$E$103,0)</f>
        <v>107241.66123368229</v>
      </c>
      <c r="H34" s="68">
        <f t="shared" si="0"/>
        <v>454658.63856893603</v>
      </c>
      <c r="J34" s="117"/>
      <c r="K34" s="68">
        <f>IFERROR(J34*'As-Filed Schedule 1'!$E$103,0)</f>
        <v>0</v>
      </c>
      <c r="L34" s="68">
        <f t="shared" si="1"/>
        <v>0</v>
      </c>
      <c r="N34" s="120">
        <v>3.5249999999999999</v>
      </c>
      <c r="O34" s="464">
        <v>99</v>
      </c>
    </row>
    <row r="35" spans="1:15" x14ac:dyDescent="0.35">
      <c r="A35" s="24">
        <v>21</v>
      </c>
      <c r="B35" s="465" t="s">
        <v>970</v>
      </c>
      <c r="C35" s="466"/>
      <c r="D35" s="467"/>
      <c r="F35" s="117">
        <v>638670.87544099556</v>
      </c>
      <c r="G35" s="68">
        <f>IFERROR(F35*'As-Filed Schedule 1'!$E$103,0)</f>
        <v>197146.74334342722</v>
      </c>
      <c r="H35" s="68">
        <f t="shared" si="0"/>
        <v>835817.61878442275</v>
      </c>
      <c r="J35" s="117"/>
      <c r="K35" s="68">
        <f>IFERROR(J35*'As-Filed Schedule 1'!$E$103,0)</f>
        <v>0</v>
      </c>
      <c r="L35" s="68">
        <f t="shared" si="1"/>
        <v>0</v>
      </c>
      <c r="N35" s="120">
        <v>6.6875</v>
      </c>
      <c r="O35" s="464">
        <v>435</v>
      </c>
    </row>
    <row r="36" spans="1:15" x14ac:dyDescent="0.35">
      <c r="A36" s="24">
        <v>22</v>
      </c>
      <c r="B36" s="465" t="s">
        <v>971</v>
      </c>
      <c r="C36" s="466"/>
      <c r="D36" s="467"/>
      <c r="F36" s="117">
        <v>338754.62084088556</v>
      </c>
      <c r="G36" s="68">
        <f>IFERROR(F36*'As-Filed Schedule 1'!$E$103,0)</f>
        <v>104567.74037990093</v>
      </c>
      <c r="H36" s="68">
        <f t="shared" si="0"/>
        <v>443322.36122078646</v>
      </c>
      <c r="J36" s="117"/>
      <c r="K36" s="68">
        <f>IFERROR(J36*'As-Filed Schedule 1'!$E$103,0)</f>
        <v>0</v>
      </c>
      <c r="L36" s="68">
        <f t="shared" si="1"/>
        <v>0</v>
      </c>
      <c r="N36" s="120">
        <v>3.3033333333333332</v>
      </c>
      <c r="O36" s="464">
        <v>346</v>
      </c>
    </row>
    <row r="37" spans="1:15" x14ac:dyDescent="0.35">
      <c r="A37" s="24">
        <v>23</v>
      </c>
      <c r="B37" s="465" t="s">
        <v>972</v>
      </c>
      <c r="C37" s="466"/>
      <c r="D37" s="467"/>
      <c r="F37" s="117">
        <v>2473635.2564085964</v>
      </c>
      <c r="G37" s="68">
        <f>IFERROR(F37*'As-Filed Schedule 1'!$E$103,0)</f>
        <v>763568.77035250422</v>
      </c>
      <c r="H37" s="68">
        <f t="shared" si="0"/>
        <v>3237204.0267611006</v>
      </c>
      <c r="J37" s="117"/>
      <c r="K37" s="68">
        <f>IFERROR(J37*'As-Filed Schedule 1'!$E$103,0)</f>
        <v>0</v>
      </c>
      <c r="L37" s="68">
        <f t="shared" si="1"/>
        <v>0</v>
      </c>
      <c r="N37" s="120">
        <v>37.186666666666667</v>
      </c>
      <c r="O37" s="464"/>
    </row>
    <row r="38" spans="1:15" x14ac:dyDescent="0.35">
      <c r="A38" s="24">
        <v>24</v>
      </c>
      <c r="B38" s="465" t="s">
        <v>973</v>
      </c>
      <c r="C38" s="466"/>
      <c r="D38" s="467"/>
      <c r="F38" s="117">
        <v>117126.58030165717</v>
      </c>
      <c r="G38" s="68">
        <f>IFERROR(F38*'As-Filed Schedule 1'!$E$103,0)</f>
        <v>36154.966123169383</v>
      </c>
      <c r="H38" s="68">
        <f t="shared" si="0"/>
        <v>153281.54642482655</v>
      </c>
      <c r="J38" s="117"/>
      <c r="K38" s="68">
        <f>IFERROR(J38*'As-Filed Schedule 1'!$E$103,0)</f>
        <v>0</v>
      </c>
      <c r="L38" s="68">
        <f t="shared" si="1"/>
        <v>0</v>
      </c>
      <c r="N38" s="120">
        <v>1.74</v>
      </c>
      <c r="O38" s="464">
        <v>68</v>
      </c>
    </row>
    <row r="39" spans="1:15" x14ac:dyDescent="0.35">
      <c r="A39" s="24">
        <v>25</v>
      </c>
      <c r="B39" s="465" t="s">
        <v>974</v>
      </c>
      <c r="C39" s="466"/>
      <c r="D39" s="467"/>
      <c r="F39" s="117">
        <v>310945.66218928015</v>
      </c>
      <c r="G39" s="68">
        <f>IFERROR(F39*'As-Filed Schedule 1'!$E$103,0)</f>
        <v>95983.591885341099</v>
      </c>
      <c r="H39" s="68">
        <f t="shared" si="0"/>
        <v>406929.25407462125</v>
      </c>
      <c r="J39" s="117"/>
      <c r="K39" s="68">
        <f>IFERROR(J39*'As-Filed Schedule 1'!$E$103,0)</f>
        <v>0</v>
      </c>
      <c r="L39" s="68">
        <f t="shared" si="1"/>
        <v>0</v>
      </c>
      <c r="N39" s="120">
        <v>2.02</v>
      </c>
      <c r="O39" s="464">
        <v>117</v>
      </c>
    </row>
    <row r="40" spans="1:15" x14ac:dyDescent="0.35">
      <c r="A40" s="24">
        <v>26</v>
      </c>
      <c r="B40" s="465" t="s">
        <v>975</v>
      </c>
      <c r="C40" s="466"/>
      <c r="D40" s="467"/>
      <c r="F40" s="117">
        <v>799930.60615047254</v>
      </c>
      <c r="G40" s="68">
        <f>IFERROR(F40*'As-Filed Schedule 1'!$E$103,0)</f>
        <v>246924.85592740803</v>
      </c>
      <c r="H40" s="68">
        <f t="shared" si="0"/>
        <v>1046855.4620778805</v>
      </c>
      <c r="J40" s="117"/>
      <c r="K40" s="68">
        <f>IFERROR(J40*'As-Filed Schedule 1'!$E$103,0)</f>
        <v>0</v>
      </c>
      <c r="L40" s="68">
        <f t="shared" si="1"/>
        <v>0</v>
      </c>
      <c r="N40" s="120">
        <v>6.5808333333333318</v>
      </c>
      <c r="O40" s="464">
        <v>603</v>
      </c>
    </row>
    <row r="41" spans="1:15" x14ac:dyDescent="0.35">
      <c r="A41" s="24">
        <v>27</v>
      </c>
      <c r="B41" s="465" t="s">
        <v>976</v>
      </c>
      <c r="C41" s="466"/>
      <c r="D41" s="467"/>
      <c r="F41" s="117">
        <v>479304.43993559037</v>
      </c>
      <c r="G41" s="68">
        <f>IFERROR(F41*'As-Filed Schedule 1'!$E$103,0)</f>
        <v>147953.0585109276</v>
      </c>
      <c r="H41" s="68">
        <f t="shared" si="0"/>
        <v>627257.49844651797</v>
      </c>
      <c r="J41" s="117"/>
      <c r="K41" s="68">
        <f>IFERROR(J41*'As-Filed Schedule 1'!$E$103,0)</f>
        <v>0</v>
      </c>
      <c r="L41" s="68">
        <f t="shared" si="1"/>
        <v>0</v>
      </c>
      <c r="N41" s="120">
        <v>3.2749999999999999</v>
      </c>
      <c r="O41" s="464">
        <v>327</v>
      </c>
    </row>
    <row r="42" spans="1:15" x14ac:dyDescent="0.35">
      <c r="A42" s="24">
        <v>28</v>
      </c>
      <c r="B42" s="465" t="s">
        <v>977</v>
      </c>
      <c r="C42" s="466"/>
      <c r="D42" s="467"/>
      <c r="F42" s="117">
        <v>1274835.3813155424</v>
      </c>
      <c r="G42" s="68">
        <f>IFERROR(F42*'As-Filed Schedule 1'!$E$103,0)</f>
        <v>393519.81339652435</v>
      </c>
      <c r="H42" s="68">
        <f t="shared" si="0"/>
        <v>1668355.1947120668</v>
      </c>
      <c r="J42" s="117"/>
      <c r="K42" s="68">
        <f>IFERROR(J42*'As-Filed Schedule 1'!$E$103,0)</f>
        <v>0</v>
      </c>
      <c r="L42" s="68">
        <f t="shared" si="1"/>
        <v>0</v>
      </c>
      <c r="N42" s="120">
        <v>10.737500000000002</v>
      </c>
      <c r="O42" s="464">
        <v>975</v>
      </c>
    </row>
    <row r="43" spans="1:15" x14ac:dyDescent="0.35">
      <c r="A43" s="24">
        <v>29</v>
      </c>
      <c r="B43" s="465" t="s">
        <v>978</v>
      </c>
      <c r="C43" s="466"/>
      <c r="D43" s="467"/>
      <c r="F43" s="117"/>
      <c r="G43" s="68">
        <f>IFERROR(F43*'As-Filed Schedule 1'!$E$103,0)</f>
        <v>0</v>
      </c>
      <c r="H43" s="68">
        <f t="shared" si="0"/>
        <v>0</v>
      </c>
      <c r="J43" s="117">
        <v>176870</v>
      </c>
      <c r="K43" s="68">
        <f>IFERROR(J43*'As-Filed Schedule 1'!$E$103,0)</f>
        <v>54596.734931861516</v>
      </c>
      <c r="L43" s="68">
        <f t="shared" si="1"/>
        <v>231466.73493186152</v>
      </c>
      <c r="N43" s="120"/>
      <c r="O43" s="464"/>
    </row>
    <row r="44" spans="1:15" x14ac:dyDescent="0.35">
      <c r="A44" s="24">
        <v>30</v>
      </c>
      <c r="B44" s="452" t="s">
        <v>979</v>
      </c>
      <c r="C44" s="453"/>
      <c r="D44" s="454"/>
      <c r="F44" s="117">
        <v>879500.79325802694</v>
      </c>
      <c r="G44" s="68">
        <f>IFERROR(F44*'As-Filed Schedule 1'!$E$103,0)</f>
        <v>271486.80772245396</v>
      </c>
      <c r="H44" s="68">
        <f t="shared" si="0"/>
        <v>1150987.6009804809</v>
      </c>
      <c r="J44" s="117"/>
      <c r="K44" s="68">
        <f>IFERROR(J44*'As-Filed Schedule 1'!$E$103,0)</f>
        <v>0</v>
      </c>
      <c r="L44" s="68">
        <f t="shared" si="1"/>
        <v>0</v>
      </c>
      <c r="N44" s="120">
        <v>6.416666666666667</v>
      </c>
      <c r="O44" s="464"/>
    </row>
    <row r="45" spans="1:15" x14ac:dyDescent="0.35">
      <c r="A45" s="24">
        <v>31</v>
      </c>
      <c r="B45" s="513"/>
      <c r="C45" s="513"/>
      <c r="D45" s="51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3"/>
      <c r="C46" s="513"/>
      <c r="D46" s="51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3"/>
      <c r="C47" s="513"/>
      <c r="D47" s="51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3"/>
      <c r="C48" s="513"/>
      <c r="D48" s="51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3"/>
      <c r="C49" s="513"/>
      <c r="D49" s="51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3"/>
      <c r="C50" s="513"/>
      <c r="D50" s="51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3"/>
      <c r="C51" s="513"/>
      <c r="D51" s="51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3"/>
      <c r="C52" s="513"/>
      <c r="D52" s="51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3"/>
      <c r="C53" s="513"/>
      <c r="D53" s="51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3"/>
      <c r="C54" s="513"/>
      <c r="D54" s="51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3"/>
      <c r="C55" s="513"/>
      <c r="D55" s="51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3"/>
      <c r="C56" s="513"/>
      <c r="D56" s="51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3"/>
      <c r="C57" s="513"/>
      <c r="D57" s="51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3"/>
      <c r="C58" s="513"/>
      <c r="D58" s="51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3"/>
      <c r="C59" s="513"/>
      <c r="D59" s="51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3"/>
      <c r="C60" s="513"/>
      <c r="D60" s="51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3"/>
      <c r="C61" s="513"/>
      <c r="D61" s="51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3"/>
      <c r="C62" s="513"/>
      <c r="D62" s="51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3"/>
      <c r="C63" s="513"/>
      <c r="D63" s="51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3"/>
      <c r="C64" s="513"/>
      <c r="D64" s="51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3"/>
      <c r="C65" s="513"/>
      <c r="D65" s="51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3"/>
      <c r="C66" s="513"/>
      <c r="D66" s="51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3"/>
      <c r="C67" s="513"/>
      <c r="D67" s="51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3"/>
      <c r="C68" s="513"/>
      <c r="D68" s="51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3"/>
      <c r="C69" s="513"/>
      <c r="D69" s="51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3"/>
      <c r="C70" s="513"/>
      <c r="D70" s="51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3"/>
      <c r="C71" s="513"/>
      <c r="D71" s="51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3"/>
      <c r="C72" s="513"/>
      <c r="D72" s="51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25850337.087696463</v>
      </c>
      <c r="G73" s="18">
        <f t="shared" ref="G73:H73" si="2">SUM(G15:G72)</f>
        <v>7979555.6164201554</v>
      </c>
      <c r="H73" s="18">
        <f t="shared" si="2"/>
        <v>33829892.70411662</v>
      </c>
      <c r="J73" s="18">
        <f>SUM(J15:J72)</f>
        <v>176870</v>
      </c>
      <c r="K73" s="18">
        <f>SUM(K15:K72)</f>
        <v>54596.734931861516</v>
      </c>
      <c r="L73" s="18">
        <f>SUM(L15:L72)</f>
        <v>231466.73493186152</v>
      </c>
      <c r="O73" s="83" t="s">
        <v>313</v>
      </c>
    </row>
    <row r="74" spans="1:15" ht="15" thickBot="1" x14ac:dyDescent="0.4">
      <c r="H74" s="37" t="s">
        <v>257</v>
      </c>
      <c r="L74" s="37" t="s">
        <v>258</v>
      </c>
    </row>
    <row r="75" spans="1:15" s="72" customFormat="1" ht="16" thickBot="1" x14ac:dyDescent="0.4">
      <c r="A75" s="24">
        <v>60</v>
      </c>
      <c r="B75" s="73" t="s">
        <v>461</v>
      </c>
      <c r="F75" s="75">
        <f>H73+L73</f>
        <v>34061359.439048484</v>
      </c>
      <c r="G75" s="74"/>
      <c r="H75" s="74"/>
      <c r="I75" s="74"/>
      <c r="J75" s="74"/>
      <c r="K75" s="74"/>
    </row>
  </sheetData>
  <customSheetViews>
    <customSheetView guid="{27BAF95E-10B4-4025-9660-F5A8EBC66DC3}">
      <selection activeCell="C6" sqref="C6"/>
      <pageMargins left="0.7" right="0.7" top="0.75" bottom="0.75" header="0.3" footer="0.3"/>
    </customSheetView>
    <customSheetView guid="{D0F83CC0-0361-4280-BCA4-9A92C986158B}">
      <selection activeCell="C6" sqref="C6"/>
      <pageMargins left="0.7" right="0.7" top="0.75" bottom="0.75" header="0.3" footer="0.3"/>
    </customSheetView>
  </customSheetViews>
  <mergeCells count="41">
    <mergeCell ref="B64:D64"/>
    <mergeCell ref="B65:D65"/>
    <mergeCell ref="B66:D66"/>
    <mergeCell ref="B72:D72"/>
    <mergeCell ref="B67:D67"/>
    <mergeCell ref="B68:D68"/>
    <mergeCell ref="B69:D69"/>
    <mergeCell ref="B70:D70"/>
    <mergeCell ref="B71:D71"/>
    <mergeCell ref="B59:D59"/>
    <mergeCell ref="B60:D60"/>
    <mergeCell ref="B61:D61"/>
    <mergeCell ref="B62:D62"/>
    <mergeCell ref="B63:D63"/>
    <mergeCell ref="B58:D58"/>
    <mergeCell ref="B55:D55"/>
    <mergeCell ref="B56:D56"/>
    <mergeCell ref="B45:D45"/>
    <mergeCell ref="B46:D46"/>
    <mergeCell ref="B47:D47"/>
    <mergeCell ref="B48:D48"/>
    <mergeCell ref="B49:D49"/>
    <mergeCell ref="B50:D50"/>
    <mergeCell ref="B51:D51"/>
    <mergeCell ref="B52:D52"/>
    <mergeCell ref="B53:D53"/>
    <mergeCell ref="B54:D54"/>
    <mergeCell ref="B57:D57"/>
    <mergeCell ref="N13:N14"/>
    <mergeCell ref="O13:O14"/>
    <mergeCell ref="J13:L13"/>
    <mergeCell ref="A3:H3"/>
    <mergeCell ref="F13:H13"/>
    <mergeCell ref="B12:D12"/>
    <mergeCell ref="B13:D14"/>
    <mergeCell ref="B20:D20"/>
    <mergeCell ref="B15:D15"/>
    <mergeCell ref="B16:D16"/>
    <mergeCell ref="B17:D17"/>
    <mergeCell ref="B18:D18"/>
    <mergeCell ref="B19:D19"/>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tabColor rgb="FF9CC5CA"/>
  </sheetPr>
  <dimension ref="A1:O75"/>
  <sheetViews>
    <sheetView workbookViewId="0">
      <selection activeCell="C6" sqref="C6"/>
    </sheetView>
  </sheetViews>
  <sheetFormatPr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494" t="s">
        <v>770</v>
      </c>
      <c r="B3" s="494"/>
      <c r="C3" s="494"/>
      <c r="D3" s="494"/>
      <c r="E3" s="494"/>
      <c r="F3" s="494"/>
      <c r="G3" s="494"/>
      <c r="H3" s="494"/>
    </row>
    <row r="5" spans="1:15" x14ac:dyDescent="0.35">
      <c r="A5" s="1" t="s">
        <v>773</v>
      </c>
      <c r="C5" s="420">
        <f>'As-Filed Schedule 1'!C5</f>
        <v>0</v>
      </c>
    </row>
    <row r="6" spans="1:15" x14ac:dyDescent="0.35">
      <c r="A6" s="1" t="s">
        <v>0</v>
      </c>
      <c r="C6" s="35">
        <f>'As-Filed Schedule 1'!C6</f>
        <v>45473</v>
      </c>
      <c r="F6" s="35"/>
    </row>
    <row r="8" spans="1:15" x14ac:dyDescent="0.35">
      <c r="A8" s="1" t="s">
        <v>253</v>
      </c>
      <c r="B8" s="1" t="s">
        <v>203</v>
      </c>
      <c r="C8" s="1"/>
      <c r="F8" s="119" t="s">
        <v>939</v>
      </c>
      <c r="G8" s="41" t="s">
        <v>259</v>
      </c>
    </row>
    <row r="10" spans="1:15" x14ac:dyDescent="0.35">
      <c r="A10" s="1" t="s">
        <v>254</v>
      </c>
      <c r="B10" s="1" t="s">
        <v>256</v>
      </c>
      <c r="C10" s="1"/>
    </row>
    <row r="12" spans="1:15" x14ac:dyDescent="0.35">
      <c r="B12" s="508">
        <v>1</v>
      </c>
      <c r="C12" s="508"/>
      <c r="D12" s="508"/>
      <c r="F12" s="23">
        <v>2</v>
      </c>
      <c r="G12" s="23">
        <v>3</v>
      </c>
      <c r="H12" s="23">
        <v>4</v>
      </c>
      <c r="J12" s="23">
        <v>5</v>
      </c>
      <c r="K12" s="23">
        <v>6</v>
      </c>
      <c r="L12" s="23">
        <v>7</v>
      </c>
      <c r="N12" s="23">
        <v>8</v>
      </c>
      <c r="O12" s="23">
        <v>9</v>
      </c>
    </row>
    <row r="13" spans="1:15" x14ac:dyDescent="0.35">
      <c r="B13" s="509" t="s">
        <v>255</v>
      </c>
      <c r="C13" s="509"/>
      <c r="D13" s="509"/>
      <c r="F13" s="511" t="s">
        <v>261</v>
      </c>
      <c r="G13" s="516"/>
      <c r="H13" s="512"/>
      <c r="J13" s="511" t="s">
        <v>262</v>
      </c>
      <c r="K13" s="516"/>
      <c r="L13" s="512"/>
      <c r="N13" s="510" t="s">
        <v>250</v>
      </c>
      <c r="O13" s="510" t="s">
        <v>312</v>
      </c>
    </row>
    <row r="14" spans="1:15" ht="55.5" customHeight="1" x14ac:dyDescent="0.35">
      <c r="B14" s="509"/>
      <c r="C14" s="509"/>
      <c r="D14" s="509"/>
      <c r="E14" s="48"/>
      <c r="F14" s="10" t="s">
        <v>214</v>
      </c>
      <c r="G14" s="151" t="s">
        <v>491</v>
      </c>
      <c r="H14" s="151" t="s">
        <v>215</v>
      </c>
      <c r="I14" s="100"/>
      <c r="J14" s="151" t="s">
        <v>214</v>
      </c>
      <c r="K14" s="151" t="s">
        <v>491</v>
      </c>
      <c r="L14" s="10" t="s">
        <v>215</v>
      </c>
      <c r="M14" s="48"/>
      <c r="N14" s="510"/>
      <c r="O14" s="510"/>
    </row>
    <row r="15" spans="1:15" x14ac:dyDescent="0.35">
      <c r="A15" s="24">
        <v>1</v>
      </c>
      <c r="B15" s="543" t="s">
        <v>980</v>
      </c>
      <c r="C15" s="543"/>
      <c r="D15" s="543"/>
      <c r="F15" s="117">
        <v>988359.81556269422</v>
      </c>
      <c r="G15" s="68">
        <f>IFERROR(F15*'As-Filed Schedule 1'!$E$103,0)</f>
        <v>305089.72051551961</v>
      </c>
      <c r="H15" s="68">
        <f>SUM(F15:G15)</f>
        <v>1293449.5360782137</v>
      </c>
      <c r="J15" s="117"/>
      <c r="K15" s="68">
        <f>IFERROR(J15*'As-Filed Schedule 1'!$E$103,0)</f>
        <v>0</v>
      </c>
      <c r="L15" s="68">
        <f>SUM(J15:K15)</f>
        <v>0</v>
      </c>
      <c r="N15" s="120">
        <v>11.3675</v>
      </c>
      <c r="O15" s="464">
        <v>145</v>
      </c>
    </row>
    <row r="16" spans="1:15" x14ac:dyDescent="0.35">
      <c r="A16" s="24">
        <v>2</v>
      </c>
      <c r="B16" s="543" t="s">
        <v>981</v>
      </c>
      <c r="C16" s="543"/>
      <c r="D16" s="543"/>
      <c r="F16" s="117">
        <v>422351.89278951968</v>
      </c>
      <c r="G16" s="68">
        <f>IFERROR(F16*'As-Filed Schedule 1'!$E$103,0)</f>
        <v>130372.78418386045</v>
      </c>
      <c r="H16" s="68">
        <f t="shared" ref="H16:H72" si="0">SUM(F16:G16)</f>
        <v>552724.67697338015</v>
      </c>
      <c r="J16" s="117"/>
      <c r="K16" s="68">
        <f>IFERROR(J16*'As-Filed Schedule 1'!$E$103,0)</f>
        <v>0</v>
      </c>
      <c r="L16" s="68">
        <f t="shared" ref="L16:L72" si="1">SUM(J16:K16)</f>
        <v>0</v>
      </c>
      <c r="N16" s="120">
        <v>3.3275000000000001</v>
      </c>
      <c r="O16" s="464">
        <v>129</v>
      </c>
    </row>
    <row r="17" spans="1:15" x14ac:dyDescent="0.35">
      <c r="A17" s="24">
        <v>3</v>
      </c>
      <c r="B17" s="543" t="s">
        <v>982</v>
      </c>
      <c r="C17" s="543"/>
      <c r="D17" s="543"/>
      <c r="F17" s="117">
        <v>355097.70095643448</v>
      </c>
      <c r="G17" s="68">
        <f>IFERROR(F17*'As-Filed Schedule 1'!$E$103,0)</f>
        <v>109612.56885866387</v>
      </c>
      <c r="H17" s="68">
        <f t="shared" si="0"/>
        <v>464710.26981509838</v>
      </c>
      <c r="J17" s="117"/>
      <c r="K17" s="68">
        <f>IFERROR(J17*'As-Filed Schedule 1'!$E$103,0)</f>
        <v>0</v>
      </c>
      <c r="L17" s="68">
        <f t="shared" si="1"/>
        <v>0</v>
      </c>
      <c r="N17" s="120">
        <v>3.6383333333333336</v>
      </c>
      <c r="O17" s="464">
        <v>764</v>
      </c>
    </row>
    <row r="18" spans="1:15" x14ac:dyDescent="0.35">
      <c r="A18" s="24">
        <v>4</v>
      </c>
      <c r="B18" s="543" t="s">
        <v>983</v>
      </c>
      <c r="C18" s="543"/>
      <c r="D18" s="543"/>
      <c r="F18" s="117">
        <v>651233.26176527701</v>
      </c>
      <c r="G18" s="68">
        <f>IFERROR(F18*'As-Filed Schedule 1'!$E$103,0)</f>
        <v>201024.5365037056</v>
      </c>
      <c r="H18" s="68">
        <f t="shared" si="0"/>
        <v>852257.79826898267</v>
      </c>
      <c r="J18" s="117"/>
      <c r="K18" s="68">
        <f>IFERROR(J18*'As-Filed Schedule 1'!$E$103,0)</f>
        <v>0</v>
      </c>
      <c r="L18" s="68">
        <f t="shared" si="1"/>
        <v>0</v>
      </c>
      <c r="N18" s="120">
        <v>5.9833333333333334</v>
      </c>
      <c r="O18" s="464">
        <v>170</v>
      </c>
    </row>
    <row r="19" spans="1:15" x14ac:dyDescent="0.35">
      <c r="A19" s="24">
        <v>5</v>
      </c>
      <c r="B19" s="513"/>
      <c r="C19" s="513"/>
      <c r="D19" s="513"/>
      <c r="F19" s="117"/>
      <c r="G19" s="68">
        <f>IFERROR(F19*'As-Filed Schedule 1'!$E$103,0)</f>
        <v>0</v>
      </c>
      <c r="H19" s="68">
        <f t="shared" si="0"/>
        <v>0</v>
      </c>
      <c r="J19" s="117"/>
      <c r="K19" s="68">
        <f>IFERROR(J19*'As-Filed Schedule 1'!$E$103,0)</f>
        <v>0</v>
      </c>
      <c r="L19" s="68">
        <f t="shared" si="1"/>
        <v>0</v>
      </c>
      <c r="N19" s="120"/>
      <c r="O19" s="448"/>
    </row>
    <row r="20" spans="1:15" x14ac:dyDescent="0.35">
      <c r="A20" s="24">
        <v>6</v>
      </c>
      <c r="B20" s="513"/>
      <c r="C20" s="513"/>
      <c r="D20" s="513"/>
      <c r="F20" s="117"/>
      <c r="G20" s="68">
        <f>IFERROR(F20*'As-Filed Schedule 1'!$E$103,0)</f>
        <v>0</v>
      </c>
      <c r="H20" s="68">
        <f t="shared" si="0"/>
        <v>0</v>
      </c>
      <c r="J20" s="117"/>
      <c r="K20" s="68">
        <f>IFERROR(J20*'As-Filed Schedule 1'!$E$103,0)</f>
        <v>0</v>
      </c>
      <c r="L20" s="68">
        <f t="shared" si="1"/>
        <v>0</v>
      </c>
      <c r="N20" s="120"/>
      <c r="O20" s="448"/>
    </row>
    <row r="21" spans="1:15" x14ac:dyDescent="0.35">
      <c r="A21" s="24">
        <v>7</v>
      </c>
      <c r="B21" s="513"/>
      <c r="C21" s="513"/>
      <c r="D21" s="513"/>
      <c r="F21" s="117"/>
      <c r="G21" s="68">
        <f>IFERROR(F21*'As-Filed Schedule 1'!$E$103,0)</f>
        <v>0</v>
      </c>
      <c r="H21" s="68">
        <f t="shared" si="0"/>
        <v>0</v>
      </c>
      <c r="J21" s="117"/>
      <c r="K21" s="68">
        <f>IFERROR(J21*'As-Filed Schedule 1'!$E$103,0)</f>
        <v>0</v>
      </c>
      <c r="L21" s="68">
        <f t="shared" si="1"/>
        <v>0</v>
      </c>
      <c r="N21" s="120"/>
      <c r="O21" s="448"/>
    </row>
    <row r="22" spans="1:15" x14ac:dyDescent="0.35">
      <c r="A22" s="24">
        <v>8</v>
      </c>
      <c r="B22" s="513"/>
      <c r="C22" s="513"/>
      <c r="D22" s="513"/>
      <c r="F22" s="117"/>
      <c r="G22" s="68">
        <f>IFERROR(F22*'As-Filed Schedule 1'!$E$103,0)</f>
        <v>0</v>
      </c>
      <c r="H22" s="68">
        <f t="shared" si="0"/>
        <v>0</v>
      </c>
      <c r="J22" s="117"/>
      <c r="K22" s="68">
        <f>IFERROR(J22*'As-Filed Schedule 1'!$E$103,0)</f>
        <v>0</v>
      </c>
      <c r="L22" s="68">
        <f t="shared" si="1"/>
        <v>0</v>
      </c>
      <c r="N22" s="120"/>
      <c r="O22" s="448"/>
    </row>
    <row r="23" spans="1:15" x14ac:dyDescent="0.35">
      <c r="A23" s="24">
        <v>9</v>
      </c>
      <c r="B23" s="513"/>
      <c r="C23" s="513"/>
      <c r="D23" s="513"/>
      <c r="F23" s="117"/>
      <c r="G23" s="68">
        <f>IFERROR(F23*'As-Filed Schedule 1'!$E$103,0)</f>
        <v>0</v>
      </c>
      <c r="H23" s="68">
        <f t="shared" si="0"/>
        <v>0</v>
      </c>
      <c r="J23" s="117"/>
      <c r="K23" s="68">
        <f>IFERROR(J23*'As-Filed Schedule 1'!$E$103,0)</f>
        <v>0</v>
      </c>
      <c r="L23" s="68">
        <f t="shared" si="1"/>
        <v>0</v>
      </c>
      <c r="N23" s="120"/>
      <c r="O23" s="448"/>
    </row>
    <row r="24" spans="1:15" x14ac:dyDescent="0.35">
      <c r="A24" s="24">
        <v>10</v>
      </c>
      <c r="B24" s="513"/>
      <c r="C24" s="513"/>
      <c r="D24" s="513"/>
      <c r="F24" s="117"/>
      <c r="G24" s="68">
        <f>IFERROR(F24*'As-Filed Schedule 1'!$E$103,0)</f>
        <v>0</v>
      </c>
      <c r="H24" s="68">
        <f t="shared" si="0"/>
        <v>0</v>
      </c>
      <c r="J24" s="117"/>
      <c r="K24" s="68">
        <f>IFERROR(J24*'As-Filed Schedule 1'!$E$103,0)</f>
        <v>0</v>
      </c>
      <c r="L24" s="68">
        <f t="shared" si="1"/>
        <v>0</v>
      </c>
      <c r="N24" s="120"/>
      <c r="O24" s="448"/>
    </row>
    <row r="25" spans="1:15" x14ac:dyDescent="0.35">
      <c r="A25" s="24">
        <v>11</v>
      </c>
      <c r="B25" s="513"/>
      <c r="C25" s="513"/>
      <c r="D25" s="513"/>
      <c r="F25" s="117"/>
      <c r="G25" s="68">
        <f>IFERROR(F25*'As-Filed Schedule 1'!$E$103,0)</f>
        <v>0</v>
      </c>
      <c r="H25" s="68">
        <f t="shared" si="0"/>
        <v>0</v>
      </c>
      <c r="J25" s="117"/>
      <c r="K25" s="68">
        <f>IFERROR(J25*'As-Filed Schedule 1'!$E$103,0)</f>
        <v>0</v>
      </c>
      <c r="L25" s="68">
        <f t="shared" si="1"/>
        <v>0</v>
      </c>
      <c r="N25" s="120"/>
      <c r="O25" s="448"/>
    </row>
    <row r="26" spans="1:15" x14ac:dyDescent="0.35">
      <c r="A26" s="24">
        <v>12</v>
      </c>
      <c r="B26" s="513"/>
      <c r="C26" s="513"/>
      <c r="D26" s="513"/>
      <c r="F26" s="117"/>
      <c r="G26" s="68">
        <f>IFERROR(F26*'As-Filed Schedule 1'!$E$103,0)</f>
        <v>0</v>
      </c>
      <c r="H26" s="68">
        <f t="shared" si="0"/>
        <v>0</v>
      </c>
      <c r="J26" s="117"/>
      <c r="K26" s="68">
        <f>IFERROR(J26*'As-Filed Schedule 1'!$E$103,0)</f>
        <v>0</v>
      </c>
      <c r="L26" s="68">
        <f t="shared" si="1"/>
        <v>0</v>
      </c>
      <c r="N26" s="120"/>
      <c r="O26" s="448"/>
    </row>
    <row r="27" spans="1:15" x14ac:dyDescent="0.35">
      <c r="A27" s="24">
        <v>13</v>
      </c>
      <c r="B27" s="513"/>
      <c r="C27" s="513"/>
      <c r="D27" s="513"/>
      <c r="F27" s="117"/>
      <c r="G27" s="68">
        <f>IFERROR(F27*'As-Filed Schedule 1'!$E$103,0)</f>
        <v>0</v>
      </c>
      <c r="H27" s="68">
        <f t="shared" si="0"/>
        <v>0</v>
      </c>
      <c r="J27" s="117"/>
      <c r="K27" s="68">
        <f>IFERROR(J27*'As-Filed Schedule 1'!$E$103,0)</f>
        <v>0</v>
      </c>
      <c r="L27" s="68">
        <f t="shared" si="1"/>
        <v>0</v>
      </c>
      <c r="N27" s="120"/>
      <c r="O27" s="448"/>
    </row>
    <row r="28" spans="1:15" x14ac:dyDescent="0.35">
      <c r="A28" s="24">
        <v>14</v>
      </c>
      <c r="B28" s="513"/>
      <c r="C28" s="513"/>
      <c r="D28" s="513"/>
      <c r="F28" s="117"/>
      <c r="G28" s="68">
        <f>IFERROR(F28*'As-Filed Schedule 1'!$E$103,0)</f>
        <v>0</v>
      </c>
      <c r="H28" s="68">
        <f t="shared" si="0"/>
        <v>0</v>
      </c>
      <c r="J28" s="117"/>
      <c r="K28" s="68">
        <f>IFERROR(J28*'As-Filed Schedule 1'!$E$103,0)</f>
        <v>0</v>
      </c>
      <c r="L28" s="68">
        <f t="shared" si="1"/>
        <v>0</v>
      </c>
      <c r="N28" s="120"/>
      <c r="O28" s="448"/>
    </row>
    <row r="29" spans="1:15" x14ac:dyDescent="0.35">
      <c r="A29" s="24">
        <v>15</v>
      </c>
      <c r="B29" s="513"/>
      <c r="C29" s="513"/>
      <c r="D29" s="513"/>
      <c r="F29" s="117"/>
      <c r="G29" s="68">
        <f>IFERROR(F29*'As-Filed Schedule 1'!$E$103,0)</f>
        <v>0</v>
      </c>
      <c r="H29" s="68">
        <f t="shared" si="0"/>
        <v>0</v>
      </c>
      <c r="J29" s="117"/>
      <c r="K29" s="68">
        <f>IFERROR(J29*'As-Filed Schedule 1'!$E$103,0)</f>
        <v>0</v>
      </c>
      <c r="L29" s="68">
        <f t="shared" si="1"/>
        <v>0</v>
      </c>
      <c r="N29" s="120"/>
      <c r="O29" s="448"/>
    </row>
    <row r="30" spans="1:15" x14ac:dyDescent="0.35">
      <c r="A30" s="24">
        <v>16</v>
      </c>
      <c r="B30" s="513"/>
      <c r="C30" s="513"/>
      <c r="D30" s="513"/>
      <c r="F30" s="117"/>
      <c r="G30" s="68">
        <f>IFERROR(F30*'As-Filed Schedule 1'!$E$103,0)</f>
        <v>0</v>
      </c>
      <c r="H30" s="68">
        <f t="shared" si="0"/>
        <v>0</v>
      </c>
      <c r="J30" s="117"/>
      <c r="K30" s="68">
        <f>IFERROR(J30*'As-Filed Schedule 1'!$E$103,0)</f>
        <v>0</v>
      </c>
      <c r="L30" s="68">
        <f t="shared" si="1"/>
        <v>0</v>
      </c>
      <c r="N30" s="120"/>
      <c r="O30" s="448"/>
    </row>
    <row r="31" spans="1:15" x14ac:dyDescent="0.35">
      <c r="A31" s="24">
        <v>17</v>
      </c>
      <c r="B31" s="513"/>
      <c r="C31" s="513"/>
      <c r="D31" s="513"/>
      <c r="F31" s="117"/>
      <c r="G31" s="68">
        <f>IFERROR(F31*'As-Filed Schedule 1'!$E$103,0)</f>
        <v>0</v>
      </c>
      <c r="H31" s="68">
        <f t="shared" si="0"/>
        <v>0</v>
      </c>
      <c r="J31" s="117"/>
      <c r="K31" s="68">
        <f>IFERROR(J31*'As-Filed Schedule 1'!$E$103,0)</f>
        <v>0</v>
      </c>
      <c r="L31" s="68">
        <f t="shared" si="1"/>
        <v>0</v>
      </c>
      <c r="N31" s="120"/>
      <c r="O31" s="448"/>
    </row>
    <row r="32" spans="1:15" x14ac:dyDescent="0.35">
      <c r="A32" s="24">
        <v>18</v>
      </c>
      <c r="B32" s="513"/>
      <c r="C32" s="513"/>
      <c r="D32" s="513"/>
      <c r="F32" s="117"/>
      <c r="G32" s="68">
        <f>IFERROR(F32*'As-Filed Schedule 1'!$E$103,0)</f>
        <v>0</v>
      </c>
      <c r="H32" s="68">
        <f t="shared" si="0"/>
        <v>0</v>
      </c>
      <c r="J32" s="117"/>
      <c r="K32" s="68">
        <f>IFERROR(J32*'As-Filed Schedule 1'!$E$103,0)</f>
        <v>0</v>
      </c>
      <c r="L32" s="68">
        <f t="shared" si="1"/>
        <v>0</v>
      </c>
      <c r="N32" s="120"/>
      <c r="O32" s="448"/>
    </row>
    <row r="33" spans="1:15" x14ac:dyDescent="0.35">
      <c r="A33" s="24">
        <v>19</v>
      </c>
      <c r="B33" s="513"/>
      <c r="C33" s="513"/>
      <c r="D33" s="513"/>
      <c r="F33" s="117"/>
      <c r="G33" s="68">
        <f>IFERROR(F33*'As-Filed Schedule 1'!$E$103,0)</f>
        <v>0</v>
      </c>
      <c r="H33" s="68">
        <f t="shared" si="0"/>
        <v>0</v>
      </c>
      <c r="J33" s="117"/>
      <c r="K33" s="68">
        <f>IFERROR(J33*'As-Filed Schedule 1'!$E$103,0)</f>
        <v>0</v>
      </c>
      <c r="L33" s="68">
        <f t="shared" si="1"/>
        <v>0</v>
      </c>
      <c r="N33" s="120"/>
      <c r="O33" s="448"/>
    </row>
    <row r="34" spans="1:15" x14ac:dyDescent="0.35">
      <c r="A34" s="24">
        <v>20</v>
      </c>
      <c r="B34" s="513"/>
      <c r="C34" s="513"/>
      <c r="D34" s="513"/>
      <c r="F34" s="117"/>
      <c r="G34" s="68">
        <f>IFERROR(F34*'As-Filed Schedule 1'!$E$103,0)</f>
        <v>0</v>
      </c>
      <c r="H34" s="68">
        <f t="shared" si="0"/>
        <v>0</v>
      </c>
      <c r="J34" s="117"/>
      <c r="K34" s="68">
        <f>IFERROR(J34*'As-Filed Schedule 1'!$E$103,0)</f>
        <v>0</v>
      </c>
      <c r="L34" s="68">
        <f t="shared" si="1"/>
        <v>0</v>
      </c>
      <c r="N34" s="120"/>
      <c r="O34" s="448"/>
    </row>
    <row r="35" spans="1:15" x14ac:dyDescent="0.35">
      <c r="A35" s="24">
        <v>21</v>
      </c>
      <c r="B35" s="513"/>
      <c r="C35" s="513"/>
      <c r="D35" s="513"/>
      <c r="F35" s="117"/>
      <c r="G35" s="68">
        <f>IFERROR(F35*'As-Filed Schedule 1'!$E$103,0)</f>
        <v>0</v>
      </c>
      <c r="H35" s="68">
        <f t="shared" si="0"/>
        <v>0</v>
      </c>
      <c r="J35" s="117"/>
      <c r="K35" s="68">
        <f>IFERROR(J35*'As-Filed Schedule 1'!$E$103,0)</f>
        <v>0</v>
      </c>
      <c r="L35" s="68">
        <f t="shared" si="1"/>
        <v>0</v>
      </c>
      <c r="N35" s="120"/>
      <c r="O35" s="448"/>
    </row>
    <row r="36" spans="1:15" x14ac:dyDescent="0.35">
      <c r="A36" s="24">
        <v>22</v>
      </c>
      <c r="B36" s="513"/>
      <c r="C36" s="513"/>
      <c r="D36" s="513"/>
      <c r="F36" s="117"/>
      <c r="G36" s="68">
        <f>IFERROR(F36*'As-Filed Schedule 1'!$E$103,0)</f>
        <v>0</v>
      </c>
      <c r="H36" s="68">
        <f t="shared" si="0"/>
        <v>0</v>
      </c>
      <c r="J36" s="117"/>
      <c r="K36" s="68">
        <f>IFERROR(J36*'As-Filed Schedule 1'!$E$103,0)</f>
        <v>0</v>
      </c>
      <c r="L36" s="68">
        <f t="shared" si="1"/>
        <v>0</v>
      </c>
      <c r="N36" s="120"/>
      <c r="O36" s="448"/>
    </row>
    <row r="37" spans="1:15" x14ac:dyDescent="0.35">
      <c r="A37" s="24">
        <v>23</v>
      </c>
      <c r="B37" s="513"/>
      <c r="C37" s="513"/>
      <c r="D37" s="513"/>
      <c r="F37" s="117"/>
      <c r="G37" s="68">
        <f>IFERROR(F37*'As-Filed Schedule 1'!$E$103,0)</f>
        <v>0</v>
      </c>
      <c r="H37" s="68">
        <f t="shared" si="0"/>
        <v>0</v>
      </c>
      <c r="J37" s="117"/>
      <c r="K37" s="68">
        <f>IFERROR(J37*'As-Filed Schedule 1'!$E$103,0)</f>
        <v>0</v>
      </c>
      <c r="L37" s="68">
        <f t="shared" si="1"/>
        <v>0</v>
      </c>
      <c r="N37" s="120"/>
      <c r="O37" s="448"/>
    </row>
    <row r="38" spans="1:15" x14ac:dyDescent="0.35">
      <c r="A38" s="24">
        <v>24</v>
      </c>
      <c r="B38" s="513"/>
      <c r="C38" s="513"/>
      <c r="D38" s="51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3"/>
      <c r="C39" s="513"/>
      <c r="D39" s="51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3"/>
      <c r="C40" s="513"/>
      <c r="D40" s="51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3"/>
      <c r="C41" s="513"/>
      <c r="D41" s="51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3"/>
      <c r="C42" s="513"/>
      <c r="D42" s="51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3"/>
      <c r="C43" s="513"/>
      <c r="D43" s="51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3"/>
      <c r="C44" s="513"/>
      <c r="D44" s="51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3"/>
      <c r="C45" s="513"/>
      <c r="D45" s="51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3"/>
      <c r="C46" s="513"/>
      <c r="D46" s="51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3"/>
      <c r="C47" s="513"/>
      <c r="D47" s="51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3"/>
      <c r="C48" s="513"/>
      <c r="D48" s="51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3"/>
      <c r="C49" s="513"/>
      <c r="D49" s="51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3"/>
      <c r="C50" s="513"/>
      <c r="D50" s="51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3"/>
      <c r="C51" s="513"/>
      <c r="D51" s="51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3"/>
      <c r="C52" s="513"/>
      <c r="D52" s="51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3"/>
      <c r="C53" s="513"/>
      <c r="D53" s="51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3"/>
      <c r="C54" s="513"/>
      <c r="D54" s="51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3"/>
      <c r="C55" s="513"/>
      <c r="D55" s="51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3"/>
      <c r="C56" s="513"/>
      <c r="D56" s="51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3"/>
      <c r="C57" s="513"/>
      <c r="D57" s="51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3"/>
      <c r="C58" s="513"/>
      <c r="D58" s="51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3"/>
      <c r="C59" s="513"/>
      <c r="D59" s="51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3"/>
      <c r="C60" s="513"/>
      <c r="D60" s="51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3"/>
      <c r="C61" s="513"/>
      <c r="D61" s="51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3"/>
      <c r="C62" s="513"/>
      <c r="D62" s="51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3"/>
      <c r="C63" s="513"/>
      <c r="D63" s="51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3"/>
      <c r="C64" s="513"/>
      <c r="D64" s="51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3"/>
      <c r="C65" s="513"/>
      <c r="D65" s="51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3"/>
      <c r="C66" s="513"/>
      <c r="D66" s="51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3"/>
      <c r="C67" s="513"/>
      <c r="D67" s="51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3"/>
      <c r="C68" s="513"/>
      <c r="D68" s="51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3"/>
      <c r="C69" s="513"/>
      <c r="D69" s="51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3"/>
      <c r="C70" s="513"/>
      <c r="D70" s="51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3"/>
      <c r="C71" s="513"/>
      <c r="D71" s="51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3"/>
      <c r="C72" s="513"/>
      <c r="D72" s="51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2417042.6710739257</v>
      </c>
      <c r="G73" s="18">
        <f t="shared" ref="G73:H73" si="2">SUM(G15:G72)</f>
        <v>746099.61006174958</v>
      </c>
      <c r="H73" s="18">
        <f t="shared" si="2"/>
        <v>3163142.281135675</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462</v>
      </c>
      <c r="F75" s="75">
        <f>H73+L73</f>
        <v>3163142.281135675</v>
      </c>
      <c r="G75" s="74"/>
      <c r="H75" s="74"/>
      <c r="I75" s="74"/>
      <c r="J75" s="74"/>
      <c r="K75" s="74"/>
    </row>
  </sheetData>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65">
    <mergeCell ref="B15:D15"/>
    <mergeCell ref="B16:D16"/>
    <mergeCell ref="B17:D17"/>
    <mergeCell ref="B18:D18"/>
    <mergeCell ref="B25:D25"/>
    <mergeCell ref="B53:D53"/>
    <mergeCell ref="B54:D54"/>
    <mergeCell ref="B55:D55"/>
    <mergeCell ref="B57:D57"/>
    <mergeCell ref="B58:D58"/>
    <mergeCell ref="B56:D56"/>
    <mergeCell ref="B64:D64"/>
    <mergeCell ref="B65:D65"/>
    <mergeCell ref="B59:D59"/>
    <mergeCell ref="B60:D60"/>
    <mergeCell ref="B61:D61"/>
    <mergeCell ref="B62:D62"/>
    <mergeCell ref="B63:D63"/>
    <mergeCell ref="B66:D66"/>
    <mergeCell ref="B72:D72"/>
    <mergeCell ref="B67:D67"/>
    <mergeCell ref="B68:D68"/>
    <mergeCell ref="B69:D69"/>
    <mergeCell ref="B70:D70"/>
    <mergeCell ref="B71:D71"/>
    <mergeCell ref="B49:D49"/>
    <mergeCell ref="B50:D50"/>
    <mergeCell ref="B51:D51"/>
    <mergeCell ref="B52:D52"/>
    <mergeCell ref="B39:D39"/>
    <mergeCell ref="B40:D40"/>
    <mergeCell ref="B41:D41"/>
    <mergeCell ref="B46:D46"/>
    <mergeCell ref="B47:D47"/>
    <mergeCell ref="B42:D42"/>
    <mergeCell ref="B43:D43"/>
    <mergeCell ref="B44:D44"/>
    <mergeCell ref="B45:D45"/>
    <mergeCell ref="B48:D48"/>
    <mergeCell ref="B38:D38"/>
    <mergeCell ref="B34:D34"/>
    <mergeCell ref="B35:D35"/>
    <mergeCell ref="B36:D36"/>
    <mergeCell ref="B37:D37"/>
    <mergeCell ref="B33:D33"/>
    <mergeCell ref="B32:D32"/>
    <mergeCell ref="B30:D30"/>
    <mergeCell ref="B31:D31"/>
    <mergeCell ref="B19:D19"/>
    <mergeCell ref="B20:D20"/>
    <mergeCell ref="B28:D28"/>
    <mergeCell ref="B29:D29"/>
    <mergeCell ref="B21:D21"/>
    <mergeCell ref="B22:D22"/>
    <mergeCell ref="B23:D23"/>
    <mergeCell ref="B24:D24"/>
    <mergeCell ref="B26:D26"/>
    <mergeCell ref="B27:D27"/>
    <mergeCell ref="A3:H3"/>
    <mergeCell ref="F13:H13"/>
    <mergeCell ref="B12:D12"/>
    <mergeCell ref="B13:D14"/>
    <mergeCell ref="O13:O14"/>
    <mergeCell ref="N13:N14"/>
    <mergeCell ref="J13:L13"/>
  </mergeCells>
  <pageMargins left="0.7" right="0.7" top="0.75" bottom="0.75" header="0.3" footer="0.3"/>
  <pageSetup orientation="portrait" horizontalDpi="1200" verticalDpi="1200"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5">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20.81640625" customWidth="1"/>
    <col min="3" max="3" width="22.81640625" customWidth="1"/>
    <col min="4" max="4" width="22.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812</v>
      </c>
      <c r="B3" s="5"/>
      <c r="C3" s="5"/>
      <c r="D3" s="5"/>
      <c r="E3" s="5"/>
      <c r="F3" s="5"/>
      <c r="G3" s="5"/>
      <c r="H3" s="5"/>
    </row>
    <row r="5" spans="1:15" x14ac:dyDescent="0.35">
      <c r="A5" s="1" t="s">
        <v>773</v>
      </c>
      <c r="C5" s="420">
        <f>'As-Filed Schedule 1'!C5</f>
        <v>0</v>
      </c>
    </row>
    <row r="6" spans="1:15" x14ac:dyDescent="0.35">
      <c r="A6" s="1" t="s">
        <v>0</v>
      </c>
      <c r="C6" s="35">
        <f>'As-Filed Schedule 1'!C6</f>
        <v>45473</v>
      </c>
      <c r="F6" s="35"/>
    </row>
    <row r="8" spans="1:15" x14ac:dyDescent="0.35">
      <c r="A8" s="1" t="s">
        <v>253</v>
      </c>
      <c r="B8" s="1" t="s">
        <v>810</v>
      </c>
      <c r="C8" s="1"/>
      <c r="F8" s="119" t="s">
        <v>177</v>
      </c>
      <c r="G8" s="41" t="s">
        <v>259</v>
      </c>
    </row>
    <row r="10" spans="1:15" x14ac:dyDescent="0.35">
      <c r="A10" s="1" t="s">
        <v>254</v>
      </c>
      <c r="B10" s="1" t="s">
        <v>256</v>
      </c>
      <c r="C10" s="1"/>
    </row>
    <row r="12" spans="1:15" x14ac:dyDescent="0.35">
      <c r="B12" s="547">
        <v>1</v>
      </c>
      <c r="C12" s="548"/>
      <c r="D12" s="549"/>
      <c r="F12" s="23">
        <v>2</v>
      </c>
      <c r="G12" s="23">
        <v>3</v>
      </c>
      <c r="H12" s="23">
        <v>4</v>
      </c>
      <c r="J12" s="23">
        <v>5</v>
      </c>
      <c r="K12" s="23">
        <v>6</v>
      </c>
      <c r="L12" s="23">
        <v>7</v>
      </c>
      <c r="N12" s="23">
        <v>8</v>
      </c>
      <c r="O12" s="23">
        <v>9</v>
      </c>
    </row>
    <row r="13" spans="1:15" ht="15" customHeight="1" x14ac:dyDescent="0.35">
      <c r="B13" s="517" t="s">
        <v>255</v>
      </c>
      <c r="C13" s="518"/>
      <c r="D13" s="519"/>
      <c r="F13" s="511" t="s">
        <v>261</v>
      </c>
      <c r="G13" s="516"/>
      <c r="H13" s="512"/>
      <c r="J13" s="511" t="s">
        <v>262</v>
      </c>
      <c r="K13" s="516"/>
      <c r="L13" s="512"/>
      <c r="N13" s="514" t="s">
        <v>250</v>
      </c>
      <c r="O13" s="514" t="s">
        <v>312</v>
      </c>
    </row>
    <row r="14" spans="1:15" ht="55.5" customHeight="1" x14ac:dyDescent="0.35">
      <c r="B14" s="520"/>
      <c r="C14" s="521"/>
      <c r="D14" s="522"/>
      <c r="E14" s="48"/>
      <c r="F14" s="10" t="s">
        <v>214</v>
      </c>
      <c r="G14" s="151" t="s">
        <v>491</v>
      </c>
      <c r="H14" s="151" t="s">
        <v>215</v>
      </c>
      <c r="I14" s="100"/>
      <c r="J14" s="151" t="s">
        <v>214</v>
      </c>
      <c r="K14" s="151" t="s">
        <v>491</v>
      </c>
      <c r="L14" s="10" t="s">
        <v>215</v>
      </c>
      <c r="M14" s="48"/>
      <c r="N14" s="515"/>
      <c r="O14" s="515"/>
    </row>
    <row r="15" spans="1:15" x14ac:dyDescent="0.35">
      <c r="A15" s="24">
        <v>1</v>
      </c>
      <c r="B15" s="513"/>
      <c r="C15" s="513"/>
      <c r="D15" s="513"/>
      <c r="F15" s="117"/>
      <c r="G15" s="68">
        <f>IFERROR(F15*'As-Filed Schedule 1'!$E$103,0)</f>
        <v>0</v>
      </c>
      <c r="H15" s="68">
        <f>SUM(F15:G15)</f>
        <v>0</v>
      </c>
      <c r="J15" s="117"/>
      <c r="K15" s="68">
        <f>IFERROR(J15*'As-Filed Schedule 1'!$E$103,0)</f>
        <v>0</v>
      </c>
      <c r="L15" s="68">
        <f>SUM(J15:K15)</f>
        <v>0</v>
      </c>
      <c r="N15" s="120"/>
      <c r="O15" s="120"/>
    </row>
    <row r="16" spans="1:15" x14ac:dyDescent="0.35">
      <c r="A16" s="24">
        <v>2</v>
      </c>
      <c r="B16" s="544"/>
      <c r="C16" s="545"/>
      <c r="D16" s="546"/>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44"/>
      <c r="C17" s="545"/>
      <c r="D17" s="546"/>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44"/>
      <c r="C18" s="545"/>
      <c r="D18" s="546"/>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44"/>
      <c r="C19" s="545"/>
      <c r="D19" s="546"/>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44"/>
      <c r="C20" s="545"/>
      <c r="D20" s="546"/>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44"/>
      <c r="C21" s="545"/>
      <c r="D21" s="546"/>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44"/>
      <c r="C22" s="545"/>
      <c r="D22" s="546"/>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44"/>
      <c r="C23" s="545"/>
      <c r="D23" s="546"/>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44"/>
      <c r="C24" s="545"/>
      <c r="D24" s="546"/>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44"/>
      <c r="C25" s="545"/>
      <c r="D25" s="546"/>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44"/>
      <c r="C26" s="545"/>
      <c r="D26" s="546"/>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44"/>
      <c r="C27" s="545"/>
      <c r="D27" s="546"/>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44"/>
      <c r="C28" s="545"/>
      <c r="D28" s="546"/>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44"/>
      <c r="C29" s="545"/>
      <c r="D29" s="546"/>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44"/>
      <c r="C30" s="545"/>
      <c r="D30" s="546"/>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44"/>
      <c r="C31" s="545"/>
      <c r="D31" s="546"/>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44"/>
      <c r="C32" s="545"/>
      <c r="D32" s="546"/>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44"/>
      <c r="C33" s="545"/>
      <c r="D33" s="546"/>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44"/>
      <c r="C34" s="545"/>
      <c r="D34" s="546"/>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44"/>
      <c r="C35" s="545"/>
      <c r="D35" s="546"/>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44"/>
      <c r="C36" s="545"/>
      <c r="D36" s="546"/>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44"/>
      <c r="C37" s="545"/>
      <c r="D37" s="546"/>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44"/>
      <c r="C38" s="545"/>
      <c r="D38" s="546"/>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44"/>
      <c r="C39" s="545"/>
      <c r="D39" s="546"/>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44"/>
      <c r="C40" s="545"/>
      <c r="D40" s="546"/>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44"/>
      <c r="C41" s="545"/>
      <c r="D41" s="546"/>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44"/>
      <c r="C42" s="545"/>
      <c r="D42" s="546"/>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44"/>
      <c r="C43" s="545"/>
      <c r="D43" s="546"/>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44"/>
      <c r="C44" s="545"/>
      <c r="D44" s="546"/>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44"/>
      <c r="C45" s="545"/>
      <c r="D45" s="546"/>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44"/>
      <c r="C46" s="545"/>
      <c r="D46" s="546"/>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44"/>
      <c r="C47" s="545"/>
      <c r="D47" s="546"/>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44"/>
      <c r="C48" s="545"/>
      <c r="D48" s="546"/>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44"/>
      <c r="C49" s="545"/>
      <c r="D49" s="546"/>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44"/>
      <c r="C50" s="545"/>
      <c r="D50" s="546"/>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44"/>
      <c r="C51" s="545"/>
      <c r="D51" s="546"/>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44"/>
      <c r="C52" s="545"/>
      <c r="D52" s="546"/>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44"/>
      <c r="C53" s="545"/>
      <c r="D53" s="546"/>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44"/>
      <c r="C54" s="545"/>
      <c r="D54" s="546"/>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44"/>
      <c r="C55" s="545"/>
      <c r="D55" s="546"/>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44"/>
      <c r="C56" s="545"/>
      <c r="D56" s="546"/>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44"/>
      <c r="C57" s="545"/>
      <c r="D57" s="546"/>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44"/>
      <c r="C58" s="545"/>
      <c r="D58" s="546"/>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44"/>
      <c r="C59" s="545"/>
      <c r="D59" s="546"/>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44"/>
      <c r="C60" s="545"/>
      <c r="D60" s="546"/>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44"/>
      <c r="C61" s="545"/>
      <c r="D61" s="546"/>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44"/>
      <c r="C62" s="545"/>
      <c r="D62" s="546"/>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44"/>
      <c r="C63" s="545"/>
      <c r="D63" s="546"/>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44"/>
      <c r="C64" s="545"/>
      <c r="D64" s="546"/>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44"/>
      <c r="C65" s="545"/>
      <c r="D65" s="546"/>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44"/>
      <c r="C66" s="545"/>
      <c r="D66" s="546"/>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44"/>
      <c r="C67" s="545"/>
      <c r="D67" s="546"/>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44"/>
      <c r="C68" s="545"/>
      <c r="D68" s="546"/>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44"/>
      <c r="C69" s="545"/>
      <c r="D69" s="546"/>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44"/>
      <c r="C70" s="545"/>
      <c r="D70" s="546"/>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44"/>
      <c r="C71" s="545"/>
      <c r="D71" s="546"/>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44"/>
      <c r="C72" s="545"/>
      <c r="D72" s="546"/>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811</v>
      </c>
      <c r="F75" s="75">
        <f>H73+L73</f>
        <v>0</v>
      </c>
      <c r="G75" s="74"/>
      <c r="H75" s="74"/>
      <c r="I75" s="74"/>
      <c r="J75" s="74"/>
      <c r="K75" s="74"/>
    </row>
  </sheetData>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12:D12"/>
    <mergeCell ref="B13:D14"/>
    <mergeCell ref="F13:H13"/>
    <mergeCell ref="J13:L13"/>
    <mergeCell ref="N13:N14"/>
    <mergeCell ref="B37:D37"/>
    <mergeCell ref="B23:D23"/>
    <mergeCell ref="B24:D24"/>
    <mergeCell ref="B25:D25"/>
    <mergeCell ref="O13:O14"/>
    <mergeCell ref="B18:D18"/>
    <mergeCell ref="B19:D19"/>
    <mergeCell ref="B20:D20"/>
    <mergeCell ref="B21:D21"/>
    <mergeCell ref="B22:D22"/>
    <mergeCell ref="B15:D15"/>
    <mergeCell ref="B32:D32"/>
    <mergeCell ref="B33:D33"/>
    <mergeCell ref="B34:D34"/>
    <mergeCell ref="B35:D35"/>
    <mergeCell ref="B36:D36"/>
    <mergeCell ref="B27:D27"/>
    <mergeCell ref="B28:D28"/>
    <mergeCell ref="B29:D29"/>
    <mergeCell ref="B30:D30"/>
    <mergeCell ref="B31:D31"/>
    <mergeCell ref="B26:D26"/>
    <mergeCell ref="B16:D1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6">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815</v>
      </c>
      <c r="B3" s="5"/>
      <c r="C3" s="5"/>
      <c r="D3" s="5"/>
      <c r="E3" s="5"/>
      <c r="F3" s="5"/>
      <c r="G3" s="5"/>
      <c r="H3" s="5"/>
    </row>
    <row r="5" spans="1:15" x14ac:dyDescent="0.35">
      <c r="A5" s="1" t="s">
        <v>773</v>
      </c>
      <c r="C5" s="420">
        <f>'As-Filed Schedule 1'!C5</f>
        <v>0</v>
      </c>
    </row>
    <row r="6" spans="1:15" x14ac:dyDescent="0.35">
      <c r="A6" s="1" t="s">
        <v>0</v>
      </c>
      <c r="C6" s="35">
        <f>'As-Filed Schedule 1'!C6</f>
        <v>45473</v>
      </c>
      <c r="F6" s="35"/>
    </row>
    <row r="8" spans="1:15" x14ac:dyDescent="0.35">
      <c r="A8" s="1" t="s">
        <v>253</v>
      </c>
      <c r="B8" s="1" t="s">
        <v>813</v>
      </c>
      <c r="C8" s="1"/>
      <c r="F8" s="119" t="s">
        <v>177</v>
      </c>
      <c r="G8" s="41" t="s">
        <v>259</v>
      </c>
    </row>
    <row r="10" spans="1:15" x14ac:dyDescent="0.35">
      <c r="A10" s="1" t="s">
        <v>254</v>
      </c>
      <c r="B10" s="1" t="s">
        <v>256</v>
      </c>
      <c r="C10" s="1"/>
    </row>
    <row r="12" spans="1:15" x14ac:dyDescent="0.35">
      <c r="B12" s="508">
        <v>1</v>
      </c>
      <c r="C12" s="508"/>
      <c r="D12" s="508"/>
      <c r="F12" s="23">
        <v>2</v>
      </c>
      <c r="G12" s="23">
        <v>3</v>
      </c>
      <c r="H12" s="23">
        <v>4</v>
      </c>
      <c r="J12" s="23">
        <v>5</v>
      </c>
      <c r="K12" s="23">
        <v>6</v>
      </c>
      <c r="L12" s="23">
        <v>7</v>
      </c>
      <c r="N12" s="23">
        <v>8</v>
      </c>
      <c r="O12" s="23">
        <v>9</v>
      </c>
    </row>
    <row r="13" spans="1:15" x14ac:dyDescent="0.35">
      <c r="B13" s="509" t="s">
        <v>255</v>
      </c>
      <c r="C13" s="509"/>
      <c r="D13" s="509"/>
      <c r="F13" s="511" t="s">
        <v>261</v>
      </c>
      <c r="G13" s="516"/>
      <c r="H13" s="512"/>
      <c r="J13" s="511" t="s">
        <v>262</v>
      </c>
      <c r="K13" s="516"/>
      <c r="L13" s="512"/>
      <c r="N13" s="510" t="s">
        <v>250</v>
      </c>
      <c r="O13" s="510" t="s">
        <v>312</v>
      </c>
    </row>
    <row r="14" spans="1:15" ht="55.5" customHeight="1" x14ac:dyDescent="0.35">
      <c r="B14" s="509"/>
      <c r="C14" s="509"/>
      <c r="D14" s="509"/>
      <c r="E14" s="48"/>
      <c r="F14" s="10" t="s">
        <v>214</v>
      </c>
      <c r="G14" s="151" t="s">
        <v>491</v>
      </c>
      <c r="H14" s="151" t="s">
        <v>215</v>
      </c>
      <c r="I14" s="100"/>
      <c r="J14" s="151" t="s">
        <v>214</v>
      </c>
      <c r="K14" s="151" t="s">
        <v>491</v>
      </c>
      <c r="L14" s="10" t="s">
        <v>215</v>
      </c>
      <c r="M14" s="48"/>
      <c r="N14" s="510"/>
      <c r="O14" s="510"/>
    </row>
    <row r="15" spans="1:15" x14ac:dyDescent="0.35">
      <c r="A15" s="24">
        <v>1</v>
      </c>
      <c r="B15" s="513"/>
      <c r="C15" s="513"/>
      <c r="D15" s="513"/>
      <c r="F15" s="117"/>
      <c r="G15" s="68">
        <f>IFERROR(F15*'As-Filed Schedule 1'!$E$103,0)</f>
        <v>0</v>
      </c>
      <c r="H15" s="68">
        <f>SUM(F15:G15)</f>
        <v>0</v>
      </c>
      <c r="J15" s="117"/>
      <c r="K15" s="68">
        <f>IFERROR(J15*'As-Filed Schedule 1'!$E$103,0)</f>
        <v>0</v>
      </c>
      <c r="L15" s="68">
        <f>SUM(J15:K15)</f>
        <v>0</v>
      </c>
      <c r="N15" s="120"/>
      <c r="O15" s="120"/>
    </row>
    <row r="16" spans="1:15" x14ac:dyDescent="0.35">
      <c r="A16" s="24">
        <v>2</v>
      </c>
      <c r="B16" s="513"/>
      <c r="C16" s="513"/>
      <c r="D16" s="51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3"/>
      <c r="C17" s="513"/>
      <c r="D17" s="51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3"/>
      <c r="C18" s="513"/>
      <c r="D18" s="51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3"/>
      <c r="C19" s="513"/>
      <c r="D19" s="51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3"/>
      <c r="C20" s="513"/>
      <c r="D20" s="51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3"/>
      <c r="C21" s="513"/>
      <c r="D21" s="51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452"/>
      <c r="C22" s="453"/>
      <c r="D22" s="454"/>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452"/>
      <c r="C23" s="453"/>
      <c r="D23" s="454"/>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452"/>
      <c r="C24" s="453"/>
      <c r="D24" s="454"/>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3"/>
      <c r="C25" s="513"/>
      <c r="D25" s="51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3"/>
      <c r="C26" s="513"/>
      <c r="D26" s="51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452"/>
      <c r="C27" s="453"/>
      <c r="D27" s="454"/>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449"/>
      <c r="C28" s="450"/>
      <c r="D28" s="451"/>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449"/>
      <c r="C29" s="450"/>
      <c r="D29" s="451"/>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50"/>
      <c r="C30" s="551"/>
      <c r="D30" s="552"/>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50"/>
      <c r="C31" s="551"/>
      <c r="D31" s="552"/>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50"/>
      <c r="C32" s="551"/>
      <c r="D32" s="552"/>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50"/>
      <c r="C33" s="551"/>
      <c r="D33" s="552"/>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50"/>
      <c r="C34" s="551"/>
      <c r="D34" s="552"/>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50"/>
      <c r="C35" s="551"/>
      <c r="D35" s="552"/>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50"/>
      <c r="C36" s="551"/>
      <c r="D36" s="552"/>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50"/>
      <c r="C37" s="551"/>
      <c r="D37" s="552"/>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50"/>
      <c r="C38" s="551"/>
      <c r="D38" s="552"/>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50"/>
      <c r="C39" s="551"/>
      <c r="D39" s="552"/>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50"/>
      <c r="C40" s="551"/>
      <c r="D40" s="552"/>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3"/>
      <c r="C41" s="513"/>
      <c r="D41" s="51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3"/>
      <c r="C42" s="513"/>
      <c r="D42" s="51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3"/>
      <c r="C43" s="513"/>
      <c r="D43" s="51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3"/>
      <c r="C44" s="513"/>
      <c r="D44" s="51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3"/>
      <c r="C45" s="513"/>
      <c r="D45" s="51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3"/>
      <c r="C46" s="513"/>
      <c r="D46" s="51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3"/>
      <c r="C47" s="513"/>
      <c r="D47" s="51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3"/>
      <c r="C48" s="513"/>
      <c r="D48" s="51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3"/>
      <c r="C49" s="513"/>
      <c r="D49" s="51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3"/>
      <c r="C50" s="513"/>
      <c r="D50" s="51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3"/>
      <c r="C51" s="513"/>
      <c r="D51" s="51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3"/>
      <c r="C52" s="513"/>
      <c r="D52" s="51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3"/>
      <c r="C53" s="513"/>
      <c r="D53" s="51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3"/>
      <c r="C54" s="513"/>
      <c r="D54" s="51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3"/>
      <c r="C55" s="513"/>
      <c r="D55" s="51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3"/>
      <c r="C56" s="513"/>
      <c r="D56" s="51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3"/>
      <c r="C57" s="513"/>
      <c r="D57" s="51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3"/>
      <c r="C58" s="513"/>
      <c r="D58" s="51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3"/>
      <c r="C59" s="513"/>
      <c r="D59" s="51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3"/>
      <c r="C60" s="513"/>
      <c r="D60" s="51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3"/>
      <c r="C61" s="513"/>
      <c r="D61" s="51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3"/>
      <c r="C62" s="513"/>
      <c r="D62" s="51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3"/>
      <c r="C63" s="513"/>
      <c r="D63" s="51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3"/>
      <c r="C64" s="513"/>
      <c r="D64" s="51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3"/>
      <c r="C65" s="513"/>
      <c r="D65" s="51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3"/>
      <c r="C66" s="513"/>
      <c r="D66" s="51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3"/>
      <c r="C67" s="513"/>
      <c r="D67" s="51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3"/>
      <c r="C68" s="513"/>
      <c r="D68" s="51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3"/>
      <c r="C69" s="513"/>
      <c r="D69" s="51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3"/>
      <c r="C70" s="513"/>
      <c r="D70" s="51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3"/>
      <c r="C71" s="513"/>
      <c r="D71" s="51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3"/>
      <c r="C72" s="513"/>
      <c r="D72" s="51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814</v>
      </c>
      <c r="F75" s="75">
        <f>H73+L73</f>
        <v>0</v>
      </c>
      <c r="G75" s="74"/>
      <c r="H75" s="74"/>
      <c r="I75" s="74"/>
      <c r="J75" s="74"/>
      <c r="K75" s="74"/>
    </row>
  </sheetData>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58">
    <mergeCell ref="B15:D15"/>
    <mergeCell ref="B16:D16"/>
    <mergeCell ref="B17:D17"/>
    <mergeCell ref="B32:D32"/>
    <mergeCell ref="B33:D33"/>
    <mergeCell ref="B18:D18"/>
    <mergeCell ref="B31:D31"/>
    <mergeCell ref="B20:D20"/>
    <mergeCell ref="B21:D21"/>
    <mergeCell ref="B25:D25"/>
    <mergeCell ref="B26:D26"/>
    <mergeCell ref="B30:D30"/>
    <mergeCell ref="B19:D19"/>
    <mergeCell ref="O13:O14"/>
    <mergeCell ref="B12:D12"/>
    <mergeCell ref="B13:D14"/>
    <mergeCell ref="F13:H13"/>
    <mergeCell ref="J13:L13"/>
    <mergeCell ref="N13:N14"/>
    <mergeCell ref="B34:D34"/>
    <mergeCell ref="B35:D35"/>
    <mergeCell ref="B50:D50"/>
    <mergeCell ref="B41:D41"/>
    <mergeCell ref="B42:D42"/>
    <mergeCell ref="B43:D43"/>
    <mergeCell ref="B44:D44"/>
    <mergeCell ref="B45:D45"/>
    <mergeCell ref="B46:D46"/>
    <mergeCell ref="B47:D47"/>
    <mergeCell ref="B48:D48"/>
    <mergeCell ref="B49:D49"/>
    <mergeCell ref="B36:D36"/>
    <mergeCell ref="B37:D37"/>
    <mergeCell ref="B38:D38"/>
    <mergeCell ref="B39:D39"/>
    <mergeCell ref="B40:D40"/>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5.54296875" customWidth="1"/>
    <col min="4" max="4" width="30"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818</v>
      </c>
      <c r="B3" s="5"/>
      <c r="C3" s="5"/>
      <c r="D3" s="5"/>
      <c r="E3" s="5"/>
      <c r="F3" s="5"/>
      <c r="G3" s="5"/>
      <c r="H3" s="5"/>
    </row>
    <row r="5" spans="1:15" x14ac:dyDescent="0.35">
      <c r="A5" s="1" t="s">
        <v>773</v>
      </c>
      <c r="C5" s="420">
        <f>'As-Filed Schedule 1'!C5</f>
        <v>0</v>
      </c>
    </row>
    <row r="6" spans="1:15" x14ac:dyDescent="0.35">
      <c r="A6" s="1" t="s">
        <v>0</v>
      </c>
      <c r="C6" s="35">
        <f>'As-Filed Schedule 1'!C6</f>
        <v>45473</v>
      </c>
      <c r="F6" s="35"/>
    </row>
    <row r="8" spans="1:15" x14ac:dyDescent="0.35">
      <c r="A8" s="1" t="s">
        <v>253</v>
      </c>
      <c r="B8" s="1" t="s">
        <v>816</v>
      </c>
      <c r="C8" s="1"/>
      <c r="F8" s="119" t="s">
        <v>177</v>
      </c>
      <c r="G8" s="41" t="s">
        <v>259</v>
      </c>
    </row>
    <row r="10" spans="1:15" x14ac:dyDescent="0.35">
      <c r="A10" s="1" t="s">
        <v>254</v>
      </c>
      <c r="B10" s="1" t="s">
        <v>256</v>
      </c>
      <c r="C10" s="1"/>
    </row>
    <row r="12" spans="1:15" x14ac:dyDescent="0.35">
      <c r="B12" s="508">
        <v>1</v>
      </c>
      <c r="C12" s="508"/>
      <c r="D12" s="508"/>
      <c r="F12" s="23">
        <v>2</v>
      </c>
      <c r="G12" s="23">
        <v>3</v>
      </c>
      <c r="H12" s="23">
        <v>4</v>
      </c>
      <c r="J12" s="23">
        <v>5</v>
      </c>
      <c r="K12" s="23">
        <v>6</v>
      </c>
      <c r="L12" s="23">
        <v>7</v>
      </c>
      <c r="N12" s="23">
        <v>8</v>
      </c>
      <c r="O12" s="23">
        <v>9</v>
      </c>
    </row>
    <row r="13" spans="1:15" x14ac:dyDescent="0.35">
      <c r="B13" s="509" t="s">
        <v>255</v>
      </c>
      <c r="C13" s="509"/>
      <c r="D13" s="509"/>
      <c r="F13" s="511" t="s">
        <v>261</v>
      </c>
      <c r="G13" s="516"/>
      <c r="H13" s="512"/>
      <c r="J13" s="511" t="s">
        <v>262</v>
      </c>
      <c r="K13" s="516"/>
      <c r="L13" s="512"/>
      <c r="N13" s="510" t="s">
        <v>250</v>
      </c>
      <c r="O13" s="510" t="s">
        <v>312</v>
      </c>
    </row>
    <row r="14" spans="1:15" ht="55.5" customHeight="1" x14ac:dyDescent="0.35">
      <c r="B14" s="509"/>
      <c r="C14" s="509"/>
      <c r="D14" s="509"/>
      <c r="E14" s="48"/>
      <c r="F14" s="10" t="s">
        <v>214</v>
      </c>
      <c r="G14" s="151" t="s">
        <v>491</v>
      </c>
      <c r="H14" s="151" t="s">
        <v>215</v>
      </c>
      <c r="I14" s="100"/>
      <c r="J14" s="151" t="s">
        <v>214</v>
      </c>
      <c r="K14" s="151" t="s">
        <v>491</v>
      </c>
      <c r="L14" s="10" t="s">
        <v>215</v>
      </c>
      <c r="M14" s="48"/>
      <c r="N14" s="510"/>
      <c r="O14" s="510"/>
    </row>
    <row r="15" spans="1:15" x14ac:dyDescent="0.35">
      <c r="A15" s="24">
        <v>1</v>
      </c>
      <c r="B15" s="513"/>
      <c r="C15" s="513"/>
      <c r="D15" s="513"/>
      <c r="F15" s="117"/>
      <c r="G15" s="68">
        <f>IFERROR(F15*'As-Filed Schedule 1'!$E$103,0)</f>
        <v>0</v>
      </c>
      <c r="H15" s="68">
        <f>SUM(F15:G15)</f>
        <v>0</v>
      </c>
      <c r="J15" s="117"/>
      <c r="K15" s="68">
        <f>IFERROR(J15*'As-Filed Schedule 1'!$E$103,0)</f>
        <v>0</v>
      </c>
      <c r="L15" s="68">
        <f>SUM(J15:K15)</f>
        <v>0</v>
      </c>
      <c r="N15" s="120"/>
      <c r="O15" s="120"/>
    </row>
    <row r="16" spans="1:15" x14ac:dyDescent="0.35">
      <c r="A16" s="24">
        <v>2</v>
      </c>
      <c r="B16" s="550"/>
      <c r="C16" s="551"/>
      <c r="D16" s="552"/>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3"/>
      <c r="C17" s="513"/>
      <c r="D17" s="51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3"/>
      <c r="C18" s="513"/>
      <c r="D18" s="51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3"/>
      <c r="C19" s="513"/>
      <c r="D19" s="51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3"/>
      <c r="C20" s="513"/>
      <c r="D20" s="51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3"/>
      <c r="C21" s="513"/>
      <c r="D21" s="51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3"/>
      <c r="C22" s="513"/>
      <c r="D22" s="51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3"/>
      <c r="C23" s="513"/>
      <c r="D23" s="51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3"/>
      <c r="C24" s="513"/>
      <c r="D24" s="51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3"/>
      <c r="C25" s="513"/>
      <c r="D25" s="51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3"/>
      <c r="C26" s="513"/>
      <c r="D26" s="51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3"/>
      <c r="C27" s="513"/>
      <c r="D27" s="51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3"/>
      <c r="C28" s="513"/>
      <c r="D28" s="51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3"/>
      <c r="C29" s="513"/>
      <c r="D29" s="51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3"/>
      <c r="C30" s="513"/>
      <c r="D30" s="51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3"/>
      <c r="C31" s="513"/>
      <c r="D31" s="51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3"/>
      <c r="C32" s="513"/>
      <c r="D32" s="51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3"/>
      <c r="C33" s="513"/>
      <c r="D33" s="51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3"/>
      <c r="C34" s="513"/>
      <c r="D34" s="51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3"/>
      <c r="C35" s="513"/>
      <c r="D35" s="51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3"/>
      <c r="C36" s="513"/>
      <c r="D36" s="51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3"/>
      <c r="C37" s="513"/>
      <c r="D37" s="51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3"/>
      <c r="C38" s="513"/>
      <c r="D38" s="51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3"/>
      <c r="C39" s="513"/>
      <c r="D39" s="51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3"/>
      <c r="C40" s="513"/>
      <c r="D40" s="51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3"/>
      <c r="C41" s="513"/>
      <c r="D41" s="51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3"/>
      <c r="C42" s="513"/>
      <c r="D42" s="51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3"/>
      <c r="C43" s="513"/>
      <c r="D43" s="51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3"/>
      <c r="C44" s="513"/>
      <c r="D44" s="51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3"/>
      <c r="C45" s="513"/>
      <c r="D45" s="51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3"/>
      <c r="C46" s="513"/>
      <c r="D46" s="51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3"/>
      <c r="C47" s="513"/>
      <c r="D47" s="51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3"/>
      <c r="C48" s="513"/>
      <c r="D48" s="51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3"/>
      <c r="C49" s="513"/>
      <c r="D49" s="51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3"/>
      <c r="C50" s="513"/>
      <c r="D50" s="51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3"/>
      <c r="C51" s="513"/>
      <c r="D51" s="51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3"/>
      <c r="C52" s="513"/>
      <c r="D52" s="51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3"/>
      <c r="C53" s="513"/>
      <c r="D53" s="51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3"/>
      <c r="C54" s="513"/>
      <c r="D54" s="51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3"/>
      <c r="C55" s="513"/>
      <c r="D55" s="51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3"/>
      <c r="C56" s="513"/>
      <c r="D56" s="51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3"/>
      <c r="C57" s="513"/>
      <c r="D57" s="51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3"/>
      <c r="C58" s="513"/>
      <c r="D58" s="51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3"/>
      <c r="C59" s="513"/>
      <c r="D59" s="51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3"/>
      <c r="C60" s="513"/>
      <c r="D60" s="51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3"/>
      <c r="C61" s="513"/>
      <c r="D61" s="51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3"/>
      <c r="C62" s="513"/>
      <c r="D62" s="51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3"/>
      <c r="C63" s="513"/>
      <c r="D63" s="51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3"/>
      <c r="C64" s="513"/>
      <c r="D64" s="51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3"/>
      <c r="C65" s="513"/>
      <c r="D65" s="51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3"/>
      <c r="C66" s="513"/>
      <c r="D66" s="51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3"/>
      <c r="C67" s="513"/>
      <c r="D67" s="51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3"/>
      <c r="C68" s="513"/>
      <c r="D68" s="51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3"/>
      <c r="C69" s="513"/>
      <c r="D69" s="51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3"/>
      <c r="C70" s="513"/>
      <c r="D70" s="51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3"/>
      <c r="C71" s="513"/>
      <c r="D71" s="51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3"/>
      <c r="C72" s="513"/>
      <c r="D72" s="51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SUM(K15:K72)</f>
        <v>0</v>
      </c>
      <c r="L73" s="18">
        <f t="shared" ref="L73" si="3">SUM(L15:L72)</f>
        <v>0</v>
      </c>
      <c r="O73" s="83" t="s">
        <v>313</v>
      </c>
    </row>
    <row r="74" spans="1:15" ht="15" thickBot="1" x14ac:dyDescent="0.4">
      <c r="H74" s="37" t="s">
        <v>257</v>
      </c>
      <c r="L74" s="37" t="s">
        <v>258</v>
      </c>
    </row>
    <row r="75" spans="1:15" s="72" customFormat="1" ht="16" thickBot="1" x14ac:dyDescent="0.4">
      <c r="A75" s="24">
        <v>60</v>
      </c>
      <c r="B75" s="73" t="s">
        <v>817</v>
      </c>
      <c r="F75" s="75">
        <f>H73+L73</f>
        <v>0</v>
      </c>
      <c r="G75" s="74"/>
      <c r="H75" s="74"/>
      <c r="I75" s="74"/>
      <c r="J75" s="74"/>
      <c r="K75" s="74"/>
    </row>
  </sheetData>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 ref="B33:D33"/>
    <mergeCell ref="B34:D34"/>
    <mergeCell ref="B35:D35"/>
    <mergeCell ref="B36:D36"/>
    <mergeCell ref="B37:D37"/>
    <mergeCell ref="B28:D28"/>
    <mergeCell ref="B29:D29"/>
    <mergeCell ref="B30:D30"/>
    <mergeCell ref="B31:D31"/>
    <mergeCell ref="B32:D32"/>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8">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821</v>
      </c>
      <c r="B3" s="5"/>
      <c r="C3" s="5"/>
      <c r="D3" s="5"/>
      <c r="E3" s="5"/>
      <c r="F3" s="5"/>
      <c r="G3" s="5"/>
      <c r="H3" s="5"/>
    </row>
    <row r="5" spans="1:15" x14ac:dyDescent="0.35">
      <c r="A5" s="1" t="s">
        <v>773</v>
      </c>
      <c r="C5" s="420">
        <f>'As-Filed Schedule 1'!C5</f>
        <v>0</v>
      </c>
    </row>
    <row r="6" spans="1:15" x14ac:dyDescent="0.35">
      <c r="A6" s="1" t="s">
        <v>0</v>
      </c>
      <c r="C6" s="35">
        <f>'As-Filed Schedule 1'!C6</f>
        <v>45473</v>
      </c>
      <c r="F6" s="35"/>
    </row>
    <row r="8" spans="1:15" x14ac:dyDescent="0.35">
      <c r="A8" s="1" t="s">
        <v>253</v>
      </c>
      <c r="B8" s="1" t="s">
        <v>819</v>
      </c>
      <c r="C8" s="1"/>
      <c r="F8" s="119" t="s">
        <v>177</v>
      </c>
      <c r="G8" s="41" t="s">
        <v>259</v>
      </c>
    </row>
    <row r="10" spans="1:15" x14ac:dyDescent="0.35">
      <c r="A10" s="1" t="s">
        <v>254</v>
      </c>
      <c r="B10" s="1" t="s">
        <v>256</v>
      </c>
      <c r="C10" s="1"/>
    </row>
    <row r="12" spans="1:15" x14ac:dyDescent="0.35">
      <c r="B12" s="508">
        <v>1</v>
      </c>
      <c r="C12" s="508"/>
      <c r="D12" s="508"/>
      <c r="F12" s="23">
        <v>2</v>
      </c>
      <c r="G12" s="23">
        <v>3</v>
      </c>
      <c r="H12" s="23">
        <v>4</v>
      </c>
      <c r="J12" s="23">
        <v>5</v>
      </c>
      <c r="K12" s="23">
        <v>6</v>
      </c>
      <c r="L12" s="23">
        <v>7</v>
      </c>
      <c r="N12" s="23">
        <v>8</v>
      </c>
      <c r="O12" s="23">
        <v>9</v>
      </c>
    </row>
    <row r="13" spans="1:15" x14ac:dyDescent="0.35">
      <c r="B13" s="509" t="s">
        <v>255</v>
      </c>
      <c r="C13" s="509"/>
      <c r="D13" s="509"/>
      <c r="F13" s="511" t="s">
        <v>261</v>
      </c>
      <c r="G13" s="516"/>
      <c r="H13" s="512"/>
      <c r="J13" s="511" t="s">
        <v>262</v>
      </c>
      <c r="K13" s="516"/>
      <c r="L13" s="512"/>
      <c r="N13" s="510" t="s">
        <v>250</v>
      </c>
      <c r="O13" s="510" t="s">
        <v>312</v>
      </c>
    </row>
    <row r="14" spans="1:15" ht="55.5" customHeight="1" x14ac:dyDescent="0.35">
      <c r="B14" s="509"/>
      <c r="C14" s="509"/>
      <c r="D14" s="509"/>
      <c r="E14" s="48"/>
      <c r="F14" s="10" t="s">
        <v>214</v>
      </c>
      <c r="G14" s="151" t="s">
        <v>491</v>
      </c>
      <c r="H14" s="151" t="s">
        <v>215</v>
      </c>
      <c r="I14" s="100"/>
      <c r="J14" s="151" t="s">
        <v>214</v>
      </c>
      <c r="K14" s="151" t="s">
        <v>491</v>
      </c>
      <c r="L14" s="10" t="s">
        <v>215</v>
      </c>
      <c r="M14" s="48"/>
      <c r="N14" s="510"/>
      <c r="O14" s="510"/>
    </row>
    <row r="15" spans="1:15" x14ac:dyDescent="0.35">
      <c r="A15" s="24">
        <v>1</v>
      </c>
      <c r="B15" s="513"/>
      <c r="C15" s="513"/>
      <c r="D15" s="513"/>
      <c r="F15" s="117"/>
      <c r="G15" s="68">
        <f>IFERROR(F15*'As-Filed Schedule 1'!$E$103,0)</f>
        <v>0</v>
      </c>
      <c r="H15" s="68">
        <f>SUM(F15:G15)</f>
        <v>0</v>
      </c>
      <c r="J15" s="117"/>
      <c r="K15" s="68">
        <f>IFERROR(J15*'As-Filed Schedule 1'!$E$103,0)</f>
        <v>0</v>
      </c>
      <c r="L15" s="68">
        <f>SUM(J15:K15)</f>
        <v>0</v>
      </c>
      <c r="N15" s="120"/>
      <c r="O15" s="120"/>
    </row>
    <row r="16" spans="1:15" x14ac:dyDescent="0.35">
      <c r="A16" s="24">
        <v>2</v>
      </c>
      <c r="B16" s="513"/>
      <c r="C16" s="513"/>
      <c r="D16" s="51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3"/>
      <c r="C17" s="513"/>
      <c r="D17" s="51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3"/>
      <c r="C18" s="513"/>
      <c r="D18" s="51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3"/>
      <c r="C19" s="513"/>
      <c r="D19" s="51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3"/>
      <c r="C20" s="513"/>
      <c r="D20" s="51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3"/>
      <c r="C21" s="513"/>
      <c r="D21" s="51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3"/>
      <c r="C22" s="513"/>
      <c r="D22" s="51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3"/>
      <c r="C23" s="513"/>
      <c r="D23" s="51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3"/>
      <c r="C24" s="513"/>
      <c r="D24" s="51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3"/>
      <c r="C25" s="513"/>
      <c r="D25" s="51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3"/>
      <c r="C26" s="513"/>
      <c r="D26" s="51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3"/>
      <c r="C27" s="513"/>
      <c r="D27" s="51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3"/>
      <c r="C28" s="513"/>
      <c r="D28" s="51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3"/>
      <c r="C29" s="513"/>
      <c r="D29" s="51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3"/>
      <c r="C30" s="513"/>
      <c r="D30" s="51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3"/>
      <c r="C31" s="513"/>
      <c r="D31" s="51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3"/>
      <c r="C32" s="513"/>
      <c r="D32" s="51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3"/>
      <c r="C33" s="513"/>
      <c r="D33" s="51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3"/>
      <c r="C34" s="513"/>
      <c r="D34" s="51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3"/>
      <c r="C35" s="513"/>
      <c r="D35" s="51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3"/>
      <c r="C36" s="513"/>
      <c r="D36" s="51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3"/>
      <c r="C37" s="513"/>
      <c r="D37" s="51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3"/>
      <c r="C38" s="513"/>
      <c r="D38" s="51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3"/>
      <c r="C39" s="513"/>
      <c r="D39" s="51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3"/>
      <c r="C40" s="513"/>
      <c r="D40" s="51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3"/>
      <c r="C41" s="513"/>
      <c r="D41" s="51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3"/>
      <c r="C42" s="513"/>
      <c r="D42" s="51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3"/>
      <c r="C43" s="513"/>
      <c r="D43" s="51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3"/>
      <c r="C44" s="513"/>
      <c r="D44" s="51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3"/>
      <c r="C45" s="513"/>
      <c r="D45" s="51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3"/>
      <c r="C46" s="513"/>
      <c r="D46" s="51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3"/>
      <c r="C47" s="513"/>
      <c r="D47" s="51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3"/>
      <c r="C48" s="513"/>
      <c r="D48" s="51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3"/>
      <c r="C49" s="513"/>
      <c r="D49" s="51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3"/>
      <c r="C50" s="513"/>
      <c r="D50" s="51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3"/>
      <c r="C51" s="513"/>
      <c r="D51" s="51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3"/>
      <c r="C52" s="513"/>
      <c r="D52" s="51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3"/>
      <c r="C53" s="513"/>
      <c r="D53" s="51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3"/>
      <c r="C54" s="513"/>
      <c r="D54" s="51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3"/>
      <c r="C55" s="513"/>
      <c r="D55" s="51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3"/>
      <c r="C56" s="513"/>
      <c r="D56" s="51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3"/>
      <c r="C57" s="513"/>
      <c r="D57" s="51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3"/>
      <c r="C58" s="513"/>
      <c r="D58" s="51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3"/>
      <c r="C59" s="513"/>
      <c r="D59" s="51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3"/>
      <c r="C60" s="513"/>
      <c r="D60" s="51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3"/>
      <c r="C61" s="513"/>
      <c r="D61" s="51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3"/>
      <c r="C62" s="513"/>
      <c r="D62" s="51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3"/>
      <c r="C63" s="513"/>
      <c r="D63" s="51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3"/>
      <c r="C64" s="513"/>
      <c r="D64" s="51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3"/>
      <c r="C65" s="513"/>
      <c r="D65" s="51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3"/>
      <c r="C66" s="513"/>
      <c r="D66" s="51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3"/>
      <c r="C67" s="513"/>
      <c r="D67" s="51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3"/>
      <c r="C68" s="513"/>
      <c r="D68" s="51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3"/>
      <c r="C69" s="513"/>
      <c r="D69" s="51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3"/>
      <c r="C70" s="513"/>
      <c r="D70" s="51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3"/>
      <c r="C71" s="513"/>
      <c r="D71" s="51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3"/>
      <c r="C72" s="513"/>
      <c r="D72" s="51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820</v>
      </c>
      <c r="F75" s="75">
        <f>H73+L73</f>
        <v>0</v>
      </c>
      <c r="G75" s="74"/>
      <c r="H75" s="74"/>
      <c r="I75" s="74"/>
      <c r="J75" s="74"/>
      <c r="K75" s="74"/>
    </row>
  </sheetData>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18:D18"/>
    <mergeCell ref="O13:O14"/>
    <mergeCell ref="B12:D12"/>
    <mergeCell ref="B13:D14"/>
    <mergeCell ref="F13:H13"/>
    <mergeCell ref="J13:L13"/>
    <mergeCell ref="N13:N14"/>
    <mergeCell ref="B26:D26"/>
    <mergeCell ref="B20:D20"/>
    <mergeCell ref="B21:D21"/>
    <mergeCell ref="B22:D22"/>
    <mergeCell ref="B23:D23"/>
    <mergeCell ref="B24:D24"/>
    <mergeCell ref="B25:D25"/>
    <mergeCell ref="B19:D19"/>
    <mergeCell ref="B15:D15"/>
    <mergeCell ref="B16:D16"/>
    <mergeCell ref="B17:D17"/>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9">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6.7265625" customWidth="1"/>
    <col min="4" max="4" width="24.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824</v>
      </c>
      <c r="B3" s="5"/>
      <c r="C3" s="5"/>
      <c r="D3" s="5"/>
      <c r="E3" s="5"/>
      <c r="F3" s="5"/>
      <c r="G3" s="5"/>
      <c r="H3" s="5"/>
    </row>
    <row r="5" spans="1:15" x14ac:dyDescent="0.35">
      <c r="A5" s="1" t="s">
        <v>773</v>
      </c>
      <c r="C5" s="420">
        <f>'As-Filed Schedule 1'!C5</f>
        <v>0</v>
      </c>
    </row>
    <row r="6" spans="1:15" x14ac:dyDescent="0.35">
      <c r="A6" s="1" t="s">
        <v>0</v>
      </c>
      <c r="C6" s="35">
        <f>'As-Filed Schedule 1'!C6</f>
        <v>45473</v>
      </c>
      <c r="F6" s="35"/>
    </row>
    <row r="8" spans="1:15" x14ac:dyDescent="0.35">
      <c r="A8" s="1" t="s">
        <v>253</v>
      </c>
      <c r="B8" s="1" t="s">
        <v>822</v>
      </c>
      <c r="C8" s="1"/>
      <c r="F8" s="119" t="s">
        <v>177</v>
      </c>
      <c r="G8" s="41" t="s">
        <v>259</v>
      </c>
    </row>
    <row r="10" spans="1:15" x14ac:dyDescent="0.35">
      <c r="A10" s="1" t="s">
        <v>254</v>
      </c>
      <c r="B10" s="1" t="s">
        <v>256</v>
      </c>
      <c r="C10" s="1"/>
    </row>
    <row r="12" spans="1:15" x14ac:dyDescent="0.35">
      <c r="B12" s="508">
        <v>1</v>
      </c>
      <c r="C12" s="508"/>
      <c r="D12" s="508"/>
      <c r="F12" s="23">
        <v>2</v>
      </c>
      <c r="G12" s="23">
        <v>3</v>
      </c>
      <c r="H12" s="23">
        <v>4</v>
      </c>
      <c r="J12" s="23">
        <v>5</v>
      </c>
      <c r="K12" s="23">
        <v>6</v>
      </c>
      <c r="L12" s="23">
        <v>7</v>
      </c>
      <c r="N12" s="23">
        <v>8</v>
      </c>
      <c r="O12" s="23">
        <v>9</v>
      </c>
    </row>
    <row r="13" spans="1:15" x14ac:dyDescent="0.35">
      <c r="B13" s="509" t="s">
        <v>255</v>
      </c>
      <c r="C13" s="509"/>
      <c r="D13" s="509"/>
      <c r="F13" s="511" t="s">
        <v>261</v>
      </c>
      <c r="G13" s="516"/>
      <c r="H13" s="512"/>
      <c r="J13" s="511" t="s">
        <v>262</v>
      </c>
      <c r="K13" s="516"/>
      <c r="L13" s="512"/>
      <c r="N13" s="510" t="s">
        <v>250</v>
      </c>
      <c r="O13" s="510" t="s">
        <v>312</v>
      </c>
    </row>
    <row r="14" spans="1:15" ht="55.5" customHeight="1" x14ac:dyDescent="0.35">
      <c r="B14" s="509"/>
      <c r="C14" s="509"/>
      <c r="D14" s="509"/>
      <c r="E14" s="48"/>
      <c r="F14" s="10" t="s">
        <v>214</v>
      </c>
      <c r="G14" s="151" t="s">
        <v>491</v>
      </c>
      <c r="H14" s="151" t="s">
        <v>215</v>
      </c>
      <c r="I14" s="100"/>
      <c r="J14" s="151" t="s">
        <v>214</v>
      </c>
      <c r="K14" s="151" t="s">
        <v>491</v>
      </c>
      <c r="L14" s="10" t="s">
        <v>215</v>
      </c>
      <c r="M14" s="48"/>
      <c r="N14" s="510"/>
      <c r="O14" s="510"/>
    </row>
    <row r="15" spans="1:15" x14ac:dyDescent="0.35">
      <c r="A15" s="24">
        <v>1</v>
      </c>
      <c r="B15" s="513"/>
      <c r="C15" s="513"/>
      <c r="D15" s="513"/>
      <c r="F15" s="117"/>
      <c r="G15" s="68">
        <f>IFERROR(F15*'As-Filed Schedule 1'!$E$103,0)</f>
        <v>0</v>
      </c>
      <c r="H15" s="68">
        <f>SUM(F15:G15)</f>
        <v>0</v>
      </c>
      <c r="J15" s="117"/>
      <c r="K15" s="68">
        <f>IFERROR(J15*'As-Filed Schedule 1'!$E$103,0)</f>
        <v>0</v>
      </c>
      <c r="L15" s="68">
        <f>SUM(J15:K15)</f>
        <v>0</v>
      </c>
      <c r="N15" s="120"/>
      <c r="O15" s="120"/>
    </row>
    <row r="16" spans="1:15" x14ac:dyDescent="0.35">
      <c r="A16" s="24">
        <v>2</v>
      </c>
      <c r="B16" s="513"/>
      <c r="C16" s="513"/>
      <c r="D16" s="51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3"/>
      <c r="C17" s="513"/>
      <c r="D17" s="51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3"/>
      <c r="C18" s="513"/>
      <c r="D18" s="51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3"/>
      <c r="C19" s="513"/>
      <c r="D19" s="51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3"/>
      <c r="C20" s="513"/>
      <c r="D20" s="51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3"/>
      <c r="C21" s="513"/>
      <c r="D21" s="51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3"/>
      <c r="C22" s="513"/>
      <c r="D22" s="51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3"/>
      <c r="C23" s="513"/>
      <c r="D23" s="51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3"/>
      <c r="C24" s="513"/>
      <c r="D24" s="51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3"/>
      <c r="C25" s="513"/>
      <c r="D25" s="51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3"/>
      <c r="C26" s="513"/>
      <c r="D26" s="51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3"/>
      <c r="C27" s="513"/>
      <c r="D27" s="51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3"/>
      <c r="C28" s="513"/>
      <c r="D28" s="51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3"/>
      <c r="C29" s="513"/>
      <c r="D29" s="51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3"/>
      <c r="C30" s="513"/>
      <c r="D30" s="51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3"/>
      <c r="C31" s="513"/>
      <c r="D31" s="51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3"/>
      <c r="C32" s="513"/>
      <c r="D32" s="51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3"/>
      <c r="C33" s="513"/>
      <c r="D33" s="51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3"/>
      <c r="C34" s="513"/>
      <c r="D34" s="51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3"/>
      <c r="C35" s="513"/>
      <c r="D35" s="51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3"/>
      <c r="C36" s="513"/>
      <c r="D36" s="51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3"/>
      <c r="C37" s="513"/>
      <c r="D37" s="51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3"/>
      <c r="C38" s="513"/>
      <c r="D38" s="51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3"/>
      <c r="C39" s="513"/>
      <c r="D39" s="51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3"/>
      <c r="C40" s="513"/>
      <c r="D40" s="51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3"/>
      <c r="C41" s="513"/>
      <c r="D41" s="51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3"/>
      <c r="C42" s="513"/>
      <c r="D42" s="51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3"/>
      <c r="C43" s="513"/>
      <c r="D43" s="51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3"/>
      <c r="C44" s="513"/>
      <c r="D44" s="51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3"/>
      <c r="C45" s="513"/>
      <c r="D45" s="51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3"/>
      <c r="C46" s="513"/>
      <c r="D46" s="51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3"/>
      <c r="C47" s="513"/>
      <c r="D47" s="51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3"/>
      <c r="C48" s="513"/>
      <c r="D48" s="51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3"/>
      <c r="C49" s="513"/>
      <c r="D49" s="51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3"/>
      <c r="C50" s="513"/>
      <c r="D50" s="51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3"/>
      <c r="C51" s="513"/>
      <c r="D51" s="51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3"/>
      <c r="C52" s="513"/>
      <c r="D52" s="51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3"/>
      <c r="C53" s="513"/>
      <c r="D53" s="51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3"/>
      <c r="C54" s="513"/>
      <c r="D54" s="51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3"/>
      <c r="C55" s="513"/>
      <c r="D55" s="51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3"/>
      <c r="C56" s="513"/>
      <c r="D56" s="51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3"/>
      <c r="C57" s="513"/>
      <c r="D57" s="51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3"/>
      <c r="C58" s="513"/>
      <c r="D58" s="51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3"/>
      <c r="C59" s="513"/>
      <c r="D59" s="51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3"/>
      <c r="C60" s="513"/>
      <c r="D60" s="51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3"/>
      <c r="C61" s="513"/>
      <c r="D61" s="51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3"/>
      <c r="C62" s="513"/>
      <c r="D62" s="51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3"/>
      <c r="C63" s="513"/>
      <c r="D63" s="51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3"/>
      <c r="C64" s="513"/>
      <c r="D64" s="51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3"/>
      <c r="C65" s="513"/>
      <c r="D65" s="51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3"/>
      <c r="C66" s="513"/>
      <c r="D66" s="51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3"/>
      <c r="C67" s="513"/>
      <c r="D67" s="51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3"/>
      <c r="C68" s="513"/>
      <c r="D68" s="51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3"/>
      <c r="C69" s="513"/>
      <c r="D69" s="513"/>
      <c r="F69" s="117"/>
      <c r="G69" s="68">
        <f>IFERROR(F69*'As-Filed Schedule 1'!$E$103,0)</f>
        <v>0</v>
      </c>
      <c r="H69" s="68">
        <f t="shared" si="0"/>
        <v>0</v>
      </c>
      <c r="J69" s="117"/>
      <c r="K69" s="68">
        <f>IFERROR(J69*'As-Filed Schedule 1'!$E$103,0)</f>
        <v>0</v>
      </c>
      <c r="L69" s="68">
        <f>SUM(J69:K69)</f>
        <v>0</v>
      </c>
      <c r="N69" s="120"/>
      <c r="O69" s="120"/>
    </row>
    <row r="70" spans="1:15" x14ac:dyDescent="0.35">
      <c r="A70" s="24">
        <v>56</v>
      </c>
      <c r="B70" s="513"/>
      <c r="C70" s="513"/>
      <c r="D70" s="51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3"/>
      <c r="C71" s="513"/>
      <c r="D71" s="51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3"/>
      <c r="C72" s="513"/>
      <c r="D72" s="51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823</v>
      </c>
      <c r="F75" s="75">
        <f>H73+L73</f>
        <v>0</v>
      </c>
      <c r="G75" s="74"/>
      <c r="H75" s="74"/>
      <c r="I75" s="74"/>
      <c r="J75" s="74"/>
      <c r="K75" s="74"/>
    </row>
  </sheetData>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O13:O14"/>
    <mergeCell ref="B12:D12"/>
    <mergeCell ref="B13:D14"/>
    <mergeCell ref="F13:H13"/>
    <mergeCell ref="J13:L13"/>
    <mergeCell ref="N13:N14"/>
    <mergeCell ref="B26:D26"/>
    <mergeCell ref="B25:D25"/>
    <mergeCell ref="B19:D19"/>
    <mergeCell ref="B15:D15"/>
    <mergeCell ref="B16:D16"/>
    <mergeCell ref="B17:D17"/>
    <mergeCell ref="B24:D24"/>
    <mergeCell ref="B18:D18"/>
    <mergeCell ref="B20:D20"/>
    <mergeCell ref="B21:D21"/>
    <mergeCell ref="B22:D22"/>
    <mergeCell ref="B23:D23"/>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0">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23.1796875" customWidth="1"/>
    <col min="3" max="3" width="26.7265625" customWidth="1"/>
    <col min="4" max="4" width="21.816406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827</v>
      </c>
      <c r="B3" s="5"/>
      <c r="C3" s="5"/>
      <c r="D3" s="5"/>
      <c r="E3" s="5"/>
      <c r="F3" s="5"/>
      <c r="G3" s="5"/>
      <c r="H3" s="5"/>
    </row>
    <row r="5" spans="1:15" x14ac:dyDescent="0.35">
      <c r="A5" s="1" t="s">
        <v>773</v>
      </c>
      <c r="C5" s="420">
        <f>'As-Filed Schedule 1'!C5</f>
        <v>0</v>
      </c>
    </row>
    <row r="6" spans="1:15" x14ac:dyDescent="0.35">
      <c r="A6" s="1" t="s">
        <v>0</v>
      </c>
      <c r="C6" s="35">
        <f>'As-Filed Schedule 1'!C6</f>
        <v>45473</v>
      </c>
      <c r="F6" s="35"/>
    </row>
    <row r="8" spans="1:15" x14ac:dyDescent="0.35">
      <c r="A8" s="1" t="s">
        <v>253</v>
      </c>
      <c r="B8" s="1" t="s">
        <v>825</v>
      </c>
      <c r="C8" s="1"/>
      <c r="F8" s="119" t="s">
        <v>177</v>
      </c>
      <c r="G8" s="41" t="s">
        <v>259</v>
      </c>
    </row>
    <row r="10" spans="1:15" x14ac:dyDescent="0.35">
      <c r="A10" s="1" t="s">
        <v>254</v>
      </c>
      <c r="B10" s="1" t="s">
        <v>256</v>
      </c>
      <c r="C10" s="1"/>
    </row>
    <row r="12" spans="1:15" x14ac:dyDescent="0.35">
      <c r="B12" s="508">
        <v>1</v>
      </c>
      <c r="C12" s="508"/>
      <c r="D12" s="508"/>
      <c r="F12" s="23">
        <v>2</v>
      </c>
      <c r="G12" s="23">
        <v>3</v>
      </c>
      <c r="H12" s="23">
        <v>4</v>
      </c>
      <c r="J12" s="23">
        <v>5</v>
      </c>
      <c r="K12" s="23">
        <v>6</v>
      </c>
      <c r="L12" s="23">
        <v>7</v>
      </c>
      <c r="N12" s="23">
        <v>8</v>
      </c>
      <c r="O12" s="23">
        <v>9</v>
      </c>
    </row>
    <row r="13" spans="1:15" x14ac:dyDescent="0.35">
      <c r="B13" s="509" t="s">
        <v>255</v>
      </c>
      <c r="C13" s="509"/>
      <c r="D13" s="509"/>
      <c r="F13" s="511" t="s">
        <v>261</v>
      </c>
      <c r="G13" s="516"/>
      <c r="H13" s="512"/>
      <c r="J13" s="511" t="s">
        <v>262</v>
      </c>
      <c r="K13" s="516"/>
      <c r="L13" s="512"/>
      <c r="N13" s="510" t="s">
        <v>250</v>
      </c>
      <c r="O13" s="510" t="s">
        <v>312</v>
      </c>
    </row>
    <row r="14" spans="1:15" ht="55.5" customHeight="1" x14ac:dyDescent="0.35">
      <c r="B14" s="509"/>
      <c r="C14" s="509"/>
      <c r="D14" s="509"/>
      <c r="E14" s="48"/>
      <c r="F14" s="10" t="s">
        <v>214</v>
      </c>
      <c r="G14" s="151" t="s">
        <v>491</v>
      </c>
      <c r="H14" s="151" t="s">
        <v>215</v>
      </c>
      <c r="I14" s="100"/>
      <c r="J14" s="151" t="s">
        <v>214</v>
      </c>
      <c r="K14" s="151" t="s">
        <v>491</v>
      </c>
      <c r="L14" s="10" t="s">
        <v>215</v>
      </c>
      <c r="M14" s="48"/>
      <c r="N14" s="510"/>
      <c r="O14" s="510"/>
    </row>
    <row r="15" spans="1:15" x14ac:dyDescent="0.35">
      <c r="A15" s="24">
        <v>1</v>
      </c>
      <c r="B15" s="513"/>
      <c r="C15" s="513"/>
      <c r="D15" s="513"/>
      <c r="F15" s="117"/>
      <c r="G15" s="68">
        <f>IFERROR(F15*'As-Filed Schedule 1'!$E$103,0)</f>
        <v>0</v>
      </c>
      <c r="H15" s="68">
        <f>SUM(F15:G15)</f>
        <v>0</v>
      </c>
      <c r="J15" s="117"/>
      <c r="K15" s="68">
        <f>IFERROR(J15*'As-Filed Schedule 1'!$E$103,0)</f>
        <v>0</v>
      </c>
      <c r="L15" s="68">
        <f>SUM(J15:K15)</f>
        <v>0</v>
      </c>
      <c r="N15" s="120"/>
      <c r="O15" s="120"/>
    </row>
    <row r="16" spans="1:15" x14ac:dyDescent="0.35">
      <c r="A16" s="24">
        <v>2</v>
      </c>
      <c r="B16" s="513"/>
      <c r="C16" s="513"/>
      <c r="D16" s="51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3"/>
      <c r="C17" s="513"/>
      <c r="D17" s="51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3"/>
      <c r="C18" s="513"/>
      <c r="D18" s="51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3"/>
      <c r="C19" s="513"/>
      <c r="D19" s="51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3"/>
      <c r="C20" s="513"/>
      <c r="D20" s="51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3"/>
      <c r="C21" s="513"/>
      <c r="D21" s="51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3"/>
      <c r="C22" s="513"/>
      <c r="D22" s="51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3"/>
      <c r="C23" s="513"/>
      <c r="D23" s="51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3"/>
      <c r="C24" s="513"/>
      <c r="D24" s="51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3"/>
      <c r="C25" s="513"/>
      <c r="D25" s="51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3"/>
      <c r="C26" s="513"/>
      <c r="D26" s="51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3"/>
      <c r="C27" s="513"/>
      <c r="D27" s="51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3"/>
      <c r="C28" s="513"/>
      <c r="D28" s="51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3"/>
      <c r="C29" s="513"/>
      <c r="D29" s="51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3"/>
      <c r="C30" s="513"/>
      <c r="D30" s="51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3"/>
      <c r="C31" s="513"/>
      <c r="D31" s="51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3"/>
      <c r="C32" s="513"/>
      <c r="D32" s="51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3"/>
      <c r="C33" s="513"/>
      <c r="D33" s="51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3"/>
      <c r="C34" s="513"/>
      <c r="D34" s="51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3"/>
      <c r="C35" s="513"/>
      <c r="D35" s="51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3"/>
      <c r="C36" s="513"/>
      <c r="D36" s="51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3"/>
      <c r="C37" s="513"/>
      <c r="D37" s="51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3"/>
      <c r="C38" s="513"/>
      <c r="D38" s="51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3"/>
      <c r="C39" s="513"/>
      <c r="D39" s="51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3"/>
      <c r="C40" s="513"/>
      <c r="D40" s="51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3"/>
      <c r="C41" s="513"/>
      <c r="D41" s="51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3"/>
      <c r="C42" s="513"/>
      <c r="D42" s="51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3"/>
      <c r="C43" s="513"/>
      <c r="D43" s="51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3"/>
      <c r="C44" s="513"/>
      <c r="D44" s="51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3"/>
      <c r="C45" s="513"/>
      <c r="D45" s="51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3"/>
      <c r="C46" s="513"/>
      <c r="D46" s="51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3"/>
      <c r="C47" s="513"/>
      <c r="D47" s="51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3"/>
      <c r="C48" s="513"/>
      <c r="D48" s="51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3"/>
      <c r="C49" s="513"/>
      <c r="D49" s="51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3"/>
      <c r="C50" s="513"/>
      <c r="D50" s="51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3"/>
      <c r="C51" s="513"/>
      <c r="D51" s="51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3"/>
      <c r="C52" s="513"/>
      <c r="D52" s="51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3"/>
      <c r="C53" s="513"/>
      <c r="D53" s="51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3"/>
      <c r="C54" s="513"/>
      <c r="D54" s="51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3"/>
      <c r="C55" s="513"/>
      <c r="D55" s="51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3"/>
      <c r="C56" s="513"/>
      <c r="D56" s="51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3"/>
      <c r="C57" s="513"/>
      <c r="D57" s="51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3"/>
      <c r="C58" s="513"/>
      <c r="D58" s="51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3"/>
      <c r="C59" s="513"/>
      <c r="D59" s="51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3"/>
      <c r="C60" s="513"/>
      <c r="D60" s="51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3"/>
      <c r="C61" s="513"/>
      <c r="D61" s="51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3"/>
      <c r="C62" s="513"/>
      <c r="D62" s="51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3"/>
      <c r="C63" s="513"/>
      <c r="D63" s="51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3"/>
      <c r="C64" s="513"/>
      <c r="D64" s="51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3"/>
      <c r="C65" s="513"/>
      <c r="D65" s="51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3"/>
      <c r="C66" s="513"/>
      <c r="D66" s="51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3"/>
      <c r="C67" s="513"/>
      <c r="D67" s="51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3"/>
      <c r="C68" s="513"/>
      <c r="D68" s="51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3"/>
      <c r="C69" s="513"/>
      <c r="D69" s="51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3"/>
      <c r="C70" s="513"/>
      <c r="D70" s="51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3"/>
      <c r="C71" s="513"/>
      <c r="D71" s="51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3"/>
      <c r="C72" s="513"/>
      <c r="D72" s="51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826</v>
      </c>
      <c r="F75" s="75">
        <f>H73+L73</f>
        <v>0</v>
      </c>
      <c r="H75" s="74"/>
      <c r="I75" s="74"/>
      <c r="J75" s="74"/>
      <c r="K75" s="74"/>
    </row>
  </sheetData>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18:D18"/>
    <mergeCell ref="B20:D20"/>
    <mergeCell ref="B21:D21"/>
    <mergeCell ref="O13:O14"/>
    <mergeCell ref="B12:D12"/>
    <mergeCell ref="B13:D14"/>
    <mergeCell ref="F13:H13"/>
    <mergeCell ref="J13:L13"/>
    <mergeCell ref="N13:N14"/>
    <mergeCell ref="B19:D19"/>
    <mergeCell ref="B15:D15"/>
    <mergeCell ref="B16:D16"/>
    <mergeCell ref="B17:D17"/>
    <mergeCell ref="B26:D26"/>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1">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830</v>
      </c>
      <c r="B3" s="5"/>
      <c r="C3" s="5"/>
      <c r="D3" s="5"/>
      <c r="E3" s="5"/>
      <c r="F3" s="5"/>
      <c r="G3" s="5"/>
      <c r="H3" s="5"/>
    </row>
    <row r="5" spans="1:15" x14ac:dyDescent="0.35">
      <c r="A5" s="1" t="s">
        <v>773</v>
      </c>
      <c r="C5" s="420">
        <f>'As-Filed Schedule 1'!C5</f>
        <v>0</v>
      </c>
    </row>
    <row r="6" spans="1:15" x14ac:dyDescent="0.35">
      <c r="A6" s="1" t="s">
        <v>0</v>
      </c>
      <c r="C6" s="35">
        <f>'As-Filed Schedule 1'!C6</f>
        <v>45473</v>
      </c>
      <c r="F6" s="35"/>
    </row>
    <row r="8" spans="1:15" x14ac:dyDescent="0.35">
      <c r="A8" s="1" t="s">
        <v>253</v>
      </c>
      <c r="B8" s="1" t="s">
        <v>828</v>
      </c>
      <c r="C8" s="1"/>
      <c r="F8" s="119" t="s">
        <v>177</v>
      </c>
      <c r="G8" s="41" t="s">
        <v>259</v>
      </c>
    </row>
    <row r="10" spans="1:15" x14ac:dyDescent="0.35">
      <c r="A10" s="1" t="s">
        <v>254</v>
      </c>
      <c r="B10" s="1" t="s">
        <v>256</v>
      </c>
      <c r="C10" s="1"/>
    </row>
    <row r="12" spans="1:15" x14ac:dyDescent="0.35">
      <c r="B12" s="508">
        <v>1</v>
      </c>
      <c r="C12" s="508"/>
      <c r="D12" s="508"/>
      <c r="F12" s="23">
        <v>2</v>
      </c>
      <c r="G12" s="23">
        <v>3</v>
      </c>
      <c r="H12" s="23">
        <v>4</v>
      </c>
      <c r="J12" s="23">
        <v>5</v>
      </c>
      <c r="K12" s="23">
        <v>6</v>
      </c>
      <c r="L12" s="23">
        <v>7</v>
      </c>
      <c r="N12" s="23">
        <v>8</v>
      </c>
      <c r="O12" s="23">
        <v>9</v>
      </c>
    </row>
    <row r="13" spans="1:15" x14ac:dyDescent="0.35">
      <c r="B13" s="509" t="s">
        <v>255</v>
      </c>
      <c r="C13" s="509"/>
      <c r="D13" s="509"/>
      <c r="F13" s="511" t="s">
        <v>261</v>
      </c>
      <c r="G13" s="516"/>
      <c r="H13" s="512"/>
      <c r="J13" s="511" t="s">
        <v>262</v>
      </c>
      <c r="K13" s="516"/>
      <c r="L13" s="512"/>
      <c r="N13" s="510" t="s">
        <v>250</v>
      </c>
      <c r="O13" s="510" t="s">
        <v>312</v>
      </c>
    </row>
    <row r="14" spans="1:15" ht="55.5" customHeight="1" x14ac:dyDescent="0.35">
      <c r="B14" s="509"/>
      <c r="C14" s="509"/>
      <c r="D14" s="509"/>
      <c r="E14" s="48"/>
      <c r="F14" s="10" t="s">
        <v>214</v>
      </c>
      <c r="G14" s="151" t="s">
        <v>491</v>
      </c>
      <c r="H14" s="151" t="s">
        <v>215</v>
      </c>
      <c r="I14" s="100"/>
      <c r="J14" s="151" t="s">
        <v>214</v>
      </c>
      <c r="K14" s="151" t="s">
        <v>491</v>
      </c>
      <c r="L14" s="10" t="s">
        <v>215</v>
      </c>
      <c r="M14" s="48"/>
      <c r="N14" s="510"/>
      <c r="O14" s="510"/>
    </row>
    <row r="15" spans="1:15" x14ac:dyDescent="0.35">
      <c r="A15" s="24">
        <v>1</v>
      </c>
      <c r="B15" s="513"/>
      <c r="C15" s="513"/>
      <c r="D15" s="513"/>
      <c r="F15" s="117"/>
      <c r="G15" s="68">
        <f>IFERROR(F15*'As-Filed Schedule 1'!$E$103,0)</f>
        <v>0</v>
      </c>
      <c r="H15" s="68">
        <f>SUM(F15:G15)</f>
        <v>0</v>
      </c>
      <c r="J15" s="117"/>
      <c r="K15" s="68">
        <f>IFERROR(J15*'As-Filed Schedule 1'!$E$103,0)</f>
        <v>0</v>
      </c>
      <c r="L15" s="68">
        <f>SUM(J15:K15)</f>
        <v>0</v>
      </c>
      <c r="N15" s="120"/>
      <c r="O15" s="120"/>
    </row>
    <row r="16" spans="1:15" x14ac:dyDescent="0.35">
      <c r="A16" s="24">
        <v>2</v>
      </c>
      <c r="B16" s="513"/>
      <c r="C16" s="513"/>
      <c r="D16" s="51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3"/>
      <c r="C17" s="513"/>
      <c r="D17" s="51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3"/>
      <c r="C18" s="513"/>
      <c r="D18" s="51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3"/>
      <c r="C19" s="513"/>
      <c r="D19" s="51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3"/>
      <c r="C20" s="513"/>
      <c r="D20" s="51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3"/>
      <c r="C21" s="513"/>
      <c r="D21" s="51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3"/>
      <c r="C22" s="513"/>
      <c r="D22" s="51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3"/>
      <c r="C23" s="513"/>
      <c r="D23" s="51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3"/>
      <c r="C24" s="513"/>
      <c r="D24" s="51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3"/>
      <c r="C25" s="513"/>
      <c r="D25" s="51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3"/>
      <c r="C26" s="513"/>
      <c r="D26" s="51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3"/>
      <c r="C27" s="513"/>
      <c r="D27" s="51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3"/>
      <c r="C28" s="513"/>
      <c r="D28" s="51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3"/>
      <c r="C29" s="513"/>
      <c r="D29" s="51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3"/>
      <c r="C30" s="513"/>
      <c r="D30" s="51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3"/>
      <c r="C31" s="513"/>
      <c r="D31" s="51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3"/>
      <c r="C32" s="513"/>
      <c r="D32" s="51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3"/>
      <c r="C33" s="513"/>
      <c r="D33" s="51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3"/>
      <c r="C34" s="513"/>
      <c r="D34" s="51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3"/>
      <c r="C35" s="513"/>
      <c r="D35" s="51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3"/>
      <c r="C36" s="513"/>
      <c r="D36" s="51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3"/>
      <c r="C37" s="513"/>
      <c r="D37" s="51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3"/>
      <c r="C38" s="513"/>
      <c r="D38" s="51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3"/>
      <c r="C39" s="513"/>
      <c r="D39" s="51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3"/>
      <c r="C40" s="513"/>
      <c r="D40" s="51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3"/>
      <c r="C41" s="513"/>
      <c r="D41" s="51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3"/>
      <c r="C42" s="513"/>
      <c r="D42" s="51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3"/>
      <c r="C43" s="513"/>
      <c r="D43" s="51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3"/>
      <c r="C44" s="513"/>
      <c r="D44" s="51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3"/>
      <c r="C45" s="513"/>
      <c r="D45" s="51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3"/>
      <c r="C46" s="513"/>
      <c r="D46" s="51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3"/>
      <c r="C47" s="513"/>
      <c r="D47" s="51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3"/>
      <c r="C48" s="513"/>
      <c r="D48" s="51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3"/>
      <c r="C49" s="513"/>
      <c r="D49" s="51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3"/>
      <c r="C50" s="513"/>
      <c r="D50" s="51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3"/>
      <c r="C51" s="513"/>
      <c r="D51" s="51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3"/>
      <c r="C52" s="513"/>
      <c r="D52" s="51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3"/>
      <c r="C53" s="513"/>
      <c r="D53" s="51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3"/>
      <c r="C54" s="513"/>
      <c r="D54" s="51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3"/>
      <c r="C55" s="513"/>
      <c r="D55" s="51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3"/>
      <c r="C56" s="513"/>
      <c r="D56" s="51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3"/>
      <c r="C57" s="513"/>
      <c r="D57" s="51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3"/>
      <c r="C58" s="513"/>
      <c r="D58" s="51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3"/>
      <c r="C59" s="513"/>
      <c r="D59" s="51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3"/>
      <c r="C60" s="513"/>
      <c r="D60" s="51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3"/>
      <c r="C61" s="513"/>
      <c r="D61" s="51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3"/>
      <c r="C62" s="513"/>
      <c r="D62" s="51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3"/>
      <c r="C63" s="513"/>
      <c r="D63" s="51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3"/>
      <c r="C64" s="513"/>
      <c r="D64" s="51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3"/>
      <c r="C65" s="513"/>
      <c r="D65" s="51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3"/>
      <c r="C66" s="513"/>
      <c r="D66" s="51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3"/>
      <c r="C67" s="513"/>
      <c r="D67" s="51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3"/>
      <c r="C68" s="513"/>
      <c r="D68" s="51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3"/>
      <c r="C69" s="513"/>
      <c r="D69" s="51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3"/>
      <c r="C70" s="513"/>
      <c r="D70" s="51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3"/>
      <c r="C71" s="513"/>
      <c r="D71" s="51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3"/>
      <c r="C72" s="513"/>
      <c r="D72" s="51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829</v>
      </c>
      <c r="F75" s="75">
        <f>H73+L73</f>
        <v>0</v>
      </c>
      <c r="G75" s="74"/>
      <c r="H75" s="74"/>
      <c r="I75" s="74"/>
      <c r="J75" s="74"/>
      <c r="K75" s="74"/>
    </row>
  </sheetData>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 ref="B33:D33"/>
    <mergeCell ref="B34:D34"/>
    <mergeCell ref="B35:D35"/>
    <mergeCell ref="B36:D36"/>
    <mergeCell ref="B37:D37"/>
    <mergeCell ref="B28:D28"/>
    <mergeCell ref="B29:D29"/>
    <mergeCell ref="B30:D30"/>
    <mergeCell ref="B31:D31"/>
    <mergeCell ref="B32:D32"/>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2">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1.26953125" customWidth="1"/>
    <col min="4" max="4" width="20.269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833</v>
      </c>
      <c r="B3" s="5"/>
      <c r="C3" s="5"/>
      <c r="D3" s="5"/>
      <c r="E3" s="5"/>
      <c r="F3" s="5"/>
      <c r="G3" s="5"/>
      <c r="H3" s="5"/>
    </row>
    <row r="5" spans="1:15" x14ac:dyDescent="0.35">
      <c r="A5" s="1" t="s">
        <v>773</v>
      </c>
      <c r="C5" s="420">
        <f>'As-Filed Schedule 1'!C5</f>
        <v>0</v>
      </c>
    </row>
    <row r="6" spans="1:15" x14ac:dyDescent="0.35">
      <c r="A6" s="1" t="s">
        <v>0</v>
      </c>
      <c r="C6" s="35">
        <f>'As-Filed Schedule 1'!C6</f>
        <v>45473</v>
      </c>
      <c r="F6" s="35"/>
    </row>
    <row r="8" spans="1:15" x14ac:dyDescent="0.35">
      <c r="A8" s="1" t="s">
        <v>253</v>
      </c>
      <c r="B8" s="1" t="s">
        <v>831</v>
      </c>
      <c r="C8" s="1"/>
      <c r="F8" s="119" t="s">
        <v>177</v>
      </c>
      <c r="G8" s="41" t="s">
        <v>259</v>
      </c>
    </row>
    <row r="10" spans="1:15" x14ac:dyDescent="0.35">
      <c r="A10" s="1" t="s">
        <v>254</v>
      </c>
      <c r="B10" s="1" t="s">
        <v>256</v>
      </c>
      <c r="C10" s="1"/>
    </row>
    <row r="12" spans="1:15" x14ac:dyDescent="0.35">
      <c r="B12" s="508">
        <v>1</v>
      </c>
      <c r="C12" s="508"/>
      <c r="D12" s="508"/>
      <c r="F12" s="23">
        <v>2</v>
      </c>
      <c r="G12" s="23">
        <v>3</v>
      </c>
      <c r="H12" s="23">
        <v>4</v>
      </c>
      <c r="J12" s="23">
        <v>5</v>
      </c>
      <c r="K12" s="23">
        <v>6</v>
      </c>
      <c r="L12" s="23">
        <v>7</v>
      </c>
      <c r="N12" s="23">
        <v>8</v>
      </c>
      <c r="O12" s="23">
        <v>9</v>
      </c>
    </row>
    <row r="13" spans="1:15" x14ac:dyDescent="0.35">
      <c r="B13" s="509" t="s">
        <v>255</v>
      </c>
      <c r="C13" s="509"/>
      <c r="D13" s="509"/>
      <c r="F13" s="511" t="s">
        <v>261</v>
      </c>
      <c r="G13" s="516"/>
      <c r="H13" s="512"/>
      <c r="J13" s="511" t="s">
        <v>262</v>
      </c>
      <c r="K13" s="516"/>
      <c r="L13" s="512"/>
      <c r="N13" s="510" t="s">
        <v>250</v>
      </c>
      <c r="O13" s="510" t="s">
        <v>312</v>
      </c>
    </row>
    <row r="14" spans="1:15" ht="55.5" customHeight="1" x14ac:dyDescent="0.35">
      <c r="B14" s="509"/>
      <c r="C14" s="509"/>
      <c r="D14" s="509"/>
      <c r="E14" s="48"/>
      <c r="F14" s="10" t="s">
        <v>214</v>
      </c>
      <c r="G14" s="151" t="s">
        <v>491</v>
      </c>
      <c r="H14" s="151" t="s">
        <v>215</v>
      </c>
      <c r="I14" s="100"/>
      <c r="J14" s="151" t="s">
        <v>214</v>
      </c>
      <c r="K14" s="151" t="s">
        <v>491</v>
      </c>
      <c r="L14" s="10" t="s">
        <v>215</v>
      </c>
      <c r="M14" s="48"/>
      <c r="N14" s="510"/>
      <c r="O14" s="510"/>
    </row>
    <row r="15" spans="1:15" x14ac:dyDescent="0.35">
      <c r="A15" s="24">
        <v>1</v>
      </c>
      <c r="B15" s="513"/>
      <c r="C15" s="513"/>
      <c r="D15" s="513"/>
      <c r="F15" s="117"/>
      <c r="G15" s="68">
        <f>IFERROR(F15*'As-Filed Schedule 1'!$E$103,0)</f>
        <v>0</v>
      </c>
      <c r="H15" s="68">
        <f>SUM(F15:G15)</f>
        <v>0</v>
      </c>
      <c r="J15" s="117"/>
      <c r="K15" s="68">
        <f>IFERROR(J15*'As-Filed Schedule 1'!$E$103,0)</f>
        <v>0</v>
      </c>
      <c r="L15" s="68">
        <f>SUM(J15:K15)</f>
        <v>0</v>
      </c>
      <c r="N15" s="120"/>
      <c r="O15" s="120"/>
    </row>
    <row r="16" spans="1:15" x14ac:dyDescent="0.35">
      <c r="A16" s="24">
        <v>2</v>
      </c>
      <c r="B16" s="513"/>
      <c r="C16" s="513"/>
      <c r="D16" s="51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3"/>
      <c r="C17" s="513"/>
      <c r="D17" s="51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3"/>
      <c r="C18" s="513"/>
      <c r="D18" s="51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3"/>
      <c r="C19" s="513"/>
      <c r="D19" s="51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3"/>
      <c r="C20" s="513"/>
      <c r="D20" s="51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3"/>
      <c r="C21" s="513"/>
      <c r="D21" s="51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3"/>
      <c r="C22" s="513"/>
      <c r="D22" s="51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3"/>
      <c r="C23" s="513"/>
      <c r="D23" s="51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3"/>
      <c r="C24" s="513"/>
      <c r="D24" s="51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3"/>
      <c r="C25" s="513"/>
      <c r="D25" s="51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3"/>
      <c r="C26" s="513"/>
      <c r="D26" s="51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3"/>
      <c r="C27" s="513"/>
      <c r="D27" s="51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3"/>
      <c r="C28" s="513"/>
      <c r="D28" s="51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3"/>
      <c r="C29" s="513"/>
      <c r="D29" s="51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3"/>
      <c r="C30" s="513"/>
      <c r="D30" s="51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3"/>
      <c r="C31" s="513"/>
      <c r="D31" s="51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3"/>
      <c r="C32" s="513"/>
      <c r="D32" s="51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3"/>
      <c r="C33" s="513"/>
      <c r="D33" s="51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3"/>
      <c r="C34" s="513"/>
      <c r="D34" s="51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3"/>
      <c r="C35" s="513"/>
      <c r="D35" s="51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3"/>
      <c r="C36" s="513"/>
      <c r="D36" s="51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3"/>
      <c r="C37" s="513"/>
      <c r="D37" s="51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3"/>
      <c r="C38" s="513"/>
      <c r="D38" s="51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3"/>
      <c r="C39" s="513"/>
      <c r="D39" s="51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3"/>
      <c r="C40" s="513"/>
      <c r="D40" s="51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3"/>
      <c r="C41" s="513"/>
      <c r="D41" s="51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3"/>
      <c r="C42" s="513"/>
      <c r="D42" s="51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3"/>
      <c r="C43" s="513"/>
      <c r="D43" s="51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3"/>
      <c r="C44" s="513"/>
      <c r="D44" s="51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3"/>
      <c r="C45" s="513"/>
      <c r="D45" s="51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3"/>
      <c r="C46" s="513"/>
      <c r="D46" s="51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3"/>
      <c r="C47" s="513"/>
      <c r="D47" s="51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3"/>
      <c r="C48" s="513"/>
      <c r="D48" s="51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3"/>
      <c r="C49" s="513"/>
      <c r="D49" s="51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3"/>
      <c r="C50" s="513"/>
      <c r="D50" s="51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3"/>
      <c r="C51" s="513"/>
      <c r="D51" s="51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3"/>
      <c r="C52" s="513"/>
      <c r="D52" s="51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3"/>
      <c r="C53" s="513"/>
      <c r="D53" s="51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3"/>
      <c r="C54" s="513"/>
      <c r="D54" s="51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3"/>
      <c r="C55" s="513"/>
      <c r="D55" s="51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3"/>
      <c r="C56" s="513"/>
      <c r="D56" s="51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3"/>
      <c r="C57" s="513"/>
      <c r="D57" s="51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3"/>
      <c r="C58" s="513"/>
      <c r="D58" s="51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3"/>
      <c r="C59" s="513"/>
      <c r="D59" s="51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3"/>
      <c r="C60" s="513"/>
      <c r="D60" s="51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3"/>
      <c r="C61" s="513"/>
      <c r="D61" s="51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3"/>
      <c r="C62" s="513"/>
      <c r="D62" s="51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3"/>
      <c r="C63" s="513"/>
      <c r="D63" s="51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3"/>
      <c r="C64" s="513"/>
      <c r="D64" s="51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3"/>
      <c r="C65" s="513"/>
      <c r="D65" s="513"/>
      <c r="F65" s="117"/>
      <c r="G65" s="68">
        <f>IFERROR(F65*'As-Filed Schedule 1'!$E$103,0)</f>
        <v>0</v>
      </c>
      <c r="H65" s="68">
        <f t="shared" si="0"/>
        <v>0</v>
      </c>
      <c r="J65" s="117"/>
      <c r="K65" s="68">
        <f>IFERROR(J65*'As-Filed Schedule 1'!$E$103,0)</f>
        <v>0</v>
      </c>
      <c r="L65" s="68">
        <f>SUM(J65:K65)</f>
        <v>0</v>
      </c>
      <c r="N65" s="120"/>
      <c r="O65" s="120"/>
    </row>
    <row r="66" spans="1:15" x14ac:dyDescent="0.35">
      <c r="A66" s="24">
        <v>52</v>
      </c>
      <c r="B66" s="513"/>
      <c r="C66" s="513"/>
      <c r="D66" s="51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3"/>
      <c r="C67" s="513"/>
      <c r="D67" s="51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3"/>
      <c r="C68" s="513"/>
      <c r="D68" s="51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3"/>
      <c r="C69" s="513"/>
      <c r="D69" s="51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3"/>
      <c r="C70" s="513"/>
      <c r="D70" s="51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3"/>
      <c r="C71" s="513"/>
      <c r="D71" s="51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3"/>
      <c r="C72" s="513"/>
      <c r="D72" s="51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832</v>
      </c>
      <c r="F75" s="75">
        <f>H73+L73</f>
        <v>0</v>
      </c>
      <c r="G75" s="74"/>
      <c r="H75" s="74"/>
      <c r="I75" s="74"/>
      <c r="J75" s="74"/>
      <c r="K75" s="74"/>
    </row>
  </sheetData>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 ref="B33:D33"/>
    <mergeCell ref="B34:D34"/>
    <mergeCell ref="B35:D35"/>
    <mergeCell ref="B36:D36"/>
    <mergeCell ref="B37:D37"/>
    <mergeCell ref="B28:D28"/>
    <mergeCell ref="B29:D29"/>
    <mergeCell ref="B30:D30"/>
    <mergeCell ref="B31:D31"/>
    <mergeCell ref="B32:D32"/>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3">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837</v>
      </c>
      <c r="B3" s="5"/>
      <c r="C3" s="5"/>
      <c r="D3" s="5"/>
      <c r="E3" s="5"/>
      <c r="F3" s="5"/>
      <c r="G3" s="5"/>
      <c r="H3" s="5"/>
    </row>
    <row r="4" spans="1:15" ht="21" x14ac:dyDescent="0.5">
      <c r="A4" s="242" t="s">
        <v>834</v>
      </c>
    </row>
    <row r="5" spans="1:15" x14ac:dyDescent="0.35">
      <c r="A5" s="1" t="s">
        <v>773</v>
      </c>
      <c r="C5" s="420">
        <f>'As-Filed Schedule 1'!C5</f>
        <v>0</v>
      </c>
    </row>
    <row r="6" spans="1:15" x14ac:dyDescent="0.35">
      <c r="A6" s="1" t="s">
        <v>0</v>
      </c>
      <c r="C6" s="35">
        <f>'As-Filed Schedule 1'!C6</f>
        <v>45473</v>
      </c>
      <c r="F6" s="35"/>
    </row>
    <row r="8" spans="1:15" x14ac:dyDescent="0.35">
      <c r="A8" s="1" t="s">
        <v>253</v>
      </c>
      <c r="B8" s="1" t="s">
        <v>835</v>
      </c>
      <c r="C8" s="1"/>
      <c r="K8" s="119" t="s">
        <v>177</v>
      </c>
      <c r="L8" s="41" t="s">
        <v>259</v>
      </c>
    </row>
    <row r="10" spans="1:15" x14ac:dyDescent="0.35">
      <c r="A10" s="1" t="s">
        <v>254</v>
      </c>
      <c r="B10" s="1" t="s">
        <v>256</v>
      </c>
      <c r="C10" s="1"/>
    </row>
    <row r="12" spans="1:15" x14ac:dyDescent="0.35">
      <c r="B12" s="508">
        <v>1</v>
      </c>
      <c r="C12" s="508"/>
      <c r="D12" s="508"/>
      <c r="F12" s="23">
        <v>2</v>
      </c>
      <c r="G12" s="23">
        <v>3</v>
      </c>
      <c r="H12" s="23">
        <v>4</v>
      </c>
      <c r="J12" s="23">
        <v>5</v>
      </c>
      <c r="K12" s="23">
        <v>6</v>
      </c>
      <c r="L12" s="23">
        <v>7</v>
      </c>
      <c r="N12" s="23">
        <v>8</v>
      </c>
      <c r="O12" s="23">
        <v>9</v>
      </c>
    </row>
    <row r="13" spans="1:15" x14ac:dyDescent="0.35">
      <c r="B13" s="509" t="s">
        <v>255</v>
      </c>
      <c r="C13" s="509"/>
      <c r="D13" s="509"/>
      <c r="F13" s="511" t="s">
        <v>261</v>
      </c>
      <c r="G13" s="516"/>
      <c r="H13" s="512"/>
      <c r="J13" s="511" t="s">
        <v>262</v>
      </c>
      <c r="K13" s="516"/>
      <c r="L13" s="512"/>
      <c r="N13" s="510" t="s">
        <v>250</v>
      </c>
      <c r="O13" s="510" t="s">
        <v>312</v>
      </c>
    </row>
    <row r="14" spans="1:15" ht="55.5" customHeight="1" x14ac:dyDescent="0.35">
      <c r="B14" s="509"/>
      <c r="C14" s="509"/>
      <c r="D14" s="509"/>
      <c r="E14" s="48"/>
      <c r="F14" s="10" t="s">
        <v>214</v>
      </c>
      <c r="G14" s="151" t="s">
        <v>491</v>
      </c>
      <c r="H14" s="151" t="s">
        <v>215</v>
      </c>
      <c r="I14" s="100"/>
      <c r="J14" s="151" t="s">
        <v>214</v>
      </c>
      <c r="K14" s="151" t="s">
        <v>491</v>
      </c>
      <c r="L14" s="10" t="s">
        <v>215</v>
      </c>
      <c r="M14" s="48"/>
      <c r="N14" s="510"/>
      <c r="O14" s="510"/>
    </row>
    <row r="15" spans="1:15" x14ac:dyDescent="0.35">
      <c r="A15" s="24">
        <v>1</v>
      </c>
      <c r="B15" s="513"/>
      <c r="C15" s="513"/>
      <c r="D15" s="513"/>
      <c r="F15" s="117"/>
      <c r="G15" s="68">
        <f>IFERROR(F15*'As-Filed Schedule 1'!$E$103,0)</f>
        <v>0</v>
      </c>
      <c r="H15" s="68">
        <f>SUM(F15:G15)</f>
        <v>0</v>
      </c>
      <c r="J15" s="117"/>
      <c r="K15" s="68">
        <f>IFERROR(J15*'As-Filed Schedule 1'!$E$103,0)</f>
        <v>0</v>
      </c>
      <c r="L15" s="68">
        <f>SUM(J15:K15)</f>
        <v>0</v>
      </c>
      <c r="N15" s="120"/>
      <c r="O15" s="120"/>
    </row>
    <row r="16" spans="1:15" x14ac:dyDescent="0.35">
      <c r="A16" s="24">
        <v>2</v>
      </c>
      <c r="B16" s="513"/>
      <c r="C16" s="513"/>
      <c r="D16" s="51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3"/>
      <c r="C17" s="513"/>
      <c r="D17" s="51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3"/>
      <c r="C18" s="513"/>
      <c r="D18" s="51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3"/>
      <c r="C19" s="513"/>
      <c r="D19" s="51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3"/>
      <c r="C20" s="513"/>
      <c r="D20" s="51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3"/>
      <c r="C21" s="513"/>
      <c r="D21" s="51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3"/>
      <c r="C22" s="513"/>
      <c r="D22" s="51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3"/>
      <c r="C23" s="513"/>
      <c r="D23" s="51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3"/>
      <c r="C24" s="513"/>
      <c r="D24" s="51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3"/>
      <c r="C25" s="513"/>
      <c r="D25" s="51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3"/>
      <c r="C26" s="513"/>
      <c r="D26" s="51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3"/>
      <c r="C27" s="513"/>
      <c r="D27" s="51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3"/>
      <c r="C28" s="513"/>
      <c r="D28" s="51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3"/>
      <c r="C29" s="513"/>
      <c r="D29" s="51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3"/>
      <c r="C30" s="513"/>
      <c r="D30" s="51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3"/>
      <c r="C31" s="513"/>
      <c r="D31" s="51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3"/>
      <c r="C32" s="513"/>
      <c r="D32" s="51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3"/>
      <c r="C33" s="513"/>
      <c r="D33" s="51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3"/>
      <c r="C34" s="513"/>
      <c r="D34" s="51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3"/>
      <c r="C35" s="513"/>
      <c r="D35" s="51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3"/>
      <c r="C36" s="513"/>
      <c r="D36" s="51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3"/>
      <c r="C37" s="513"/>
      <c r="D37" s="51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3"/>
      <c r="C38" s="513"/>
      <c r="D38" s="51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3"/>
      <c r="C39" s="513"/>
      <c r="D39" s="51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3"/>
      <c r="C40" s="513"/>
      <c r="D40" s="51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3"/>
      <c r="C41" s="513"/>
      <c r="D41" s="51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3"/>
      <c r="C42" s="513"/>
      <c r="D42" s="51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3"/>
      <c r="C43" s="513"/>
      <c r="D43" s="51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3"/>
      <c r="C44" s="513"/>
      <c r="D44" s="51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3"/>
      <c r="C45" s="513"/>
      <c r="D45" s="51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3"/>
      <c r="C46" s="513"/>
      <c r="D46" s="51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3"/>
      <c r="C47" s="513"/>
      <c r="D47" s="51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3"/>
      <c r="C48" s="513"/>
      <c r="D48" s="51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3"/>
      <c r="C49" s="513"/>
      <c r="D49" s="51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3"/>
      <c r="C50" s="513"/>
      <c r="D50" s="51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3"/>
      <c r="C51" s="513"/>
      <c r="D51" s="51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3"/>
      <c r="C52" s="513"/>
      <c r="D52" s="51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3"/>
      <c r="C53" s="513"/>
      <c r="D53" s="51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3"/>
      <c r="C54" s="513"/>
      <c r="D54" s="51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3"/>
      <c r="C55" s="513"/>
      <c r="D55" s="51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3"/>
      <c r="C56" s="513"/>
      <c r="D56" s="51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3"/>
      <c r="C57" s="513"/>
      <c r="D57" s="51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3"/>
      <c r="C58" s="513"/>
      <c r="D58" s="51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3"/>
      <c r="C59" s="513"/>
      <c r="D59" s="51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3"/>
      <c r="C60" s="513"/>
      <c r="D60" s="51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3"/>
      <c r="C61" s="513"/>
      <c r="D61" s="51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3"/>
      <c r="C62" s="513"/>
      <c r="D62" s="51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3"/>
      <c r="C63" s="513"/>
      <c r="D63" s="51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3"/>
      <c r="C64" s="513"/>
      <c r="D64" s="51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3"/>
      <c r="C65" s="513"/>
      <c r="D65" s="51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3"/>
      <c r="C66" s="513"/>
      <c r="D66" s="51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3"/>
      <c r="C67" s="513"/>
      <c r="D67" s="51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3"/>
      <c r="C68" s="513"/>
      <c r="D68" s="51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3"/>
      <c r="C69" s="513"/>
      <c r="D69" s="51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3"/>
      <c r="C70" s="513"/>
      <c r="D70" s="51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3"/>
      <c r="C71" s="513"/>
      <c r="D71" s="51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3"/>
      <c r="C72" s="513"/>
      <c r="D72" s="51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836</v>
      </c>
      <c r="G75" s="74"/>
      <c r="H75" s="74"/>
      <c r="I75" s="74"/>
      <c r="J75" s="74"/>
      <c r="K75" s="74"/>
      <c r="L75" s="75">
        <f>H73+L73</f>
        <v>0</v>
      </c>
    </row>
  </sheetData>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tate="hidden">
      <selection activeCell="C6" sqref="C6"/>
      <pageMargins left="0.7" right="0.7" top="0.75" bottom="0.75" header="0.3" footer="0.3"/>
      <pageSetup orientation="portrait" horizontalDpi="1200" verticalDpi="1200" r:id="rId2"/>
    </customSheetView>
  </customSheetViews>
  <mergeCells count="64">
    <mergeCell ref="O13:O14"/>
    <mergeCell ref="B12:D12"/>
    <mergeCell ref="B13:D14"/>
    <mergeCell ref="F13:H13"/>
    <mergeCell ref="J13:L13"/>
    <mergeCell ref="N13:N14"/>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pageSetup orientation="portrait" horizontalDpi="1200" verticalDpi="1200"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9CC5CA"/>
  </sheetPr>
  <dimension ref="A1:V261"/>
  <sheetViews>
    <sheetView workbookViewId="0">
      <selection activeCell="D26" sqref="D26"/>
    </sheetView>
  </sheetViews>
  <sheetFormatPr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81640625" customWidth="1"/>
  </cols>
  <sheetData>
    <row r="1" spans="1:22" ht="26" x14ac:dyDescent="0.6">
      <c r="A1" s="3" t="s">
        <v>774</v>
      </c>
      <c r="C1" s="11"/>
      <c r="D1" s="4"/>
      <c r="E1" s="13"/>
      <c r="F1" s="13"/>
      <c r="G1" s="137"/>
      <c r="H1" s="137"/>
      <c r="I1" s="13"/>
      <c r="J1" s="13"/>
    </row>
    <row r="2" spans="1:22" ht="21" x14ac:dyDescent="0.5">
      <c r="A2" s="2" t="s">
        <v>772</v>
      </c>
      <c r="C2" s="11"/>
      <c r="D2" s="4"/>
      <c r="E2" s="13"/>
      <c r="F2" s="13"/>
      <c r="G2" s="137"/>
      <c r="H2" s="137"/>
      <c r="I2" s="13"/>
      <c r="J2" s="13"/>
    </row>
    <row r="3" spans="1:22" ht="25" customHeight="1" x14ac:dyDescent="0.5">
      <c r="A3" s="5" t="s">
        <v>925</v>
      </c>
      <c r="B3" s="5"/>
      <c r="C3" s="12"/>
      <c r="D3" s="7"/>
      <c r="E3" s="14"/>
      <c r="F3" s="13"/>
      <c r="G3" s="137"/>
      <c r="H3" s="137"/>
      <c r="I3" s="13"/>
      <c r="J3" s="14"/>
    </row>
    <row r="4" spans="1:22" x14ac:dyDescent="0.35">
      <c r="C4" s="11"/>
      <c r="D4" s="4"/>
      <c r="E4" s="13"/>
      <c r="F4" s="13"/>
      <c r="G4" s="137"/>
      <c r="H4" s="137"/>
      <c r="I4" s="13"/>
      <c r="J4" s="50"/>
      <c r="T4" s="130"/>
      <c r="U4" s="130"/>
      <c r="V4" s="130"/>
    </row>
    <row r="5" spans="1:22" x14ac:dyDescent="0.35">
      <c r="A5" s="1" t="s">
        <v>773</v>
      </c>
      <c r="C5" s="420">
        <f>'As-Filed Schedule 1'!C5</f>
        <v>0</v>
      </c>
      <c r="D5" s="241"/>
      <c r="E5" s="13"/>
      <c r="F5" s="13"/>
      <c r="G5" s="137"/>
      <c r="H5" s="137"/>
      <c r="I5" s="13"/>
      <c r="J5" s="50"/>
      <c r="T5" s="40"/>
      <c r="U5" s="40"/>
      <c r="V5" s="40"/>
    </row>
    <row r="6" spans="1:22" x14ac:dyDescent="0.35">
      <c r="A6" s="1" t="s">
        <v>0</v>
      </c>
      <c r="C6" s="35">
        <f>'As-Filed Schedule 1'!C6</f>
        <v>45473</v>
      </c>
      <c r="D6" s="35"/>
      <c r="E6" s="50"/>
      <c r="F6" s="13"/>
      <c r="G6" s="137"/>
      <c r="H6" s="137"/>
      <c r="I6" s="13"/>
      <c r="J6" s="50"/>
      <c r="T6" s="40"/>
      <c r="U6" s="40"/>
    </row>
    <row r="7" spans="1:22" x14ac:dyDescent="0.35">
      <c r="A7" s="204"/>
      <c r="B7" s="100"/>
      <c r="C7" s="205"/>
      <c r="D7" s="205"/>
      <c r="E7" s="206"/>
      <c r="F7" s="206"/>
      <c r="G7" s="207"/>
      <c r="H7" s="207"/>
      <c r="I7" s="206"/>
      <c r="J7" s="206"/>
      <c r="K7" s="100"/>
      <c r="L7" s="100"/>
      <c r="T7" s="40"/>
      <c r="U7" s="40"/>
      <c r="V7" s="40"/>
    </row>
    <row r="8" spans="1:22" x14ac:dyDescent="0.35">
      <c r="A8" s="204" t="s">
        <v>479</v>
      </c>
      <c r="B8" s="100"/>
      <c r="C8" s="100"/>
      <c r="D8" s="100"/>
      <c r="E8" s="100"/>
      <c r="F8" s="100"/>
      <c r="G8" s="204"/>
      <c r="H8" s="113"/>
      <c r="I8" s="100"/>
      <c r="J8" s="206"/>
      <c r="K8" s="100"/>
      <c r="L8" s="100"/>
      <c r="T8" s="40"/>
      <c r="U8" s="40"/>
      <c r="V8" s="40"/>
    </row>
    <row r="9" spans="1:22" ht="15" customHeight="1" x14ac:dyDescent="0.35">
      <c r="A9" s="502" t="s">
        <v>480</v>
      </c>
      <c r="B9" s="502"/>
      <c r="C9" s="502"/>
      <c r="D9" s="502"/>
      <c r="E9" s="502"/>
      <c r="F9" s="502"/>
      <c r="G9" s="502"/>
      <c r="H9" s="502"/>
      <c r="I9" s="502"/>
      <c r="J9" s="502"/>
      <c r="K9" s="502"/>
      <c r="L9" s="100"/>
      <c r="T9" s="40"/>
      <c r="U9" s="40"/>
      <c r="V9" s="40"/>
    </row>
    <row r="10" spans="1:22" x14ac:dyDescent="0.35">
      <c r="A10" s="502"/>
      <c r="B10" s="502"/>
      <c r="C10" s="502"/>
      <c r="D10" s="502"/>
      <c r="E10" s="502"/>
      <c r="F10" s="502"/>
      <c r="G10" s="502"/>
      <c r="H10" s="502"/>
      <c r="I10" s="502"/>
      <c r="J10" s="502"/>
      <c r="K10" s="502"/>
      <c r="L10" s="100"/>
      <c r="T10" s="40"/>
      <c r="U10" s="40"/>
      <c r="V10" s="40"/>
    </row>
    <row r="11" spans="1:22" x14ac:dyDescent="0.35">
      <c r="A11" s="502"/>
      <c r="B11" s="502"/>
      <c r="C11" s="502"/>
      <c r="D11" s="502"/>
      <c r="E11" s="502"/>
      <c r="F11" s="502"/>
      <c r="G11" s="502"/>
      <c r="H11" s="502"/>
      <c r="I11" s="502"/>
      <c r="J11" s="502"/>
      <c r="K11" s="502"/>
      <c r="L11" s="100"/>
      <c r="T11" s="40"/>
      <c r="U11" s="40"/>
      <c r="V11" s="40"/>
    </row>
    <row r="12" spans="1:22" x14ac:dyDescent="0.35">
      <c r="A12" s="204"/>
      <c r="B12" s="100"/>
      <c r="C12" s="205"/>
      <c r="D12" s="205"/>
      <c r="E12" s="206"/>
      <c r="F12" s="206"/>
      <c r="G12" s="207"/>
      <c r="H12" s="207"/>
      <c r="I12" s="206"/>
      <c r="J12" s="206"/>
      <c r="K12" s="100"/>
      <c r="L12" s="100"/>
      <c r="T12" s="40"/>
      <c r="U12" s="40"/>
      <c r="V12" s="40"/>
    </row>
    <row r="13" spans="1:22" x14ac:dyDescent="0.35">
      <c r="A13" s="100"/>
      <c r="B13" s="496">
        <v>1</v>
      </c>
      <c r="C13" s="497"/>
      <c r="D13" s="175">
        <v>2</v>
      </c>
      <c r="E13" s="175">
        <v>3</v>
      </c>
      <c r="F13" s="175">
        <v>4</v>
      </c>
      <c r="G13" s="175">
        <v>5</v>
      </c>
      <c r="H13" s="175">
        <v>6</v>
      </c>
      <c r="I13" s="175">
        <v>7</v>
      </c>
      <c r="J13" s="175">
        <v>8</v>
      </c>
      <c r="K13" s="175">
        <v>9</v>
      </c>
      <c r="L13" s="175">
        <v>10</v>
      </c>
      <c r="M13" s="23">
        <v>11</v>
      </c>
      <c r="N13" s="23">
        <v>12</v>
      </c>
      <c r="O13" s="23">
        <v>13</v>
      </c>
      <c r="P13" s="23">
        <v>14</v>
      </c>
      <c r="Q13" s="23">
        <v>15</v>
      </c>
      <c r="R13" s="23">
        <v>16</v>
      </c>
    </row>
    <row r="14" spans="1:22" x14ac:dyDescent="0.35">
      <c r="A14" s="100"/>
      <c r="B14" s="529" t="s">
        <v>158</v>
      </c>
      <c r="C14" s="530"/>
      <c r="D14" s="526" t="s">
        <v>464</v>
      </c>
      <c r="E14" s="526" t="s">
        <v>437</v>
      </c>
      <c r="F14" s="526" t="s">
        <v>441</v>
      </c>
      <c r="G14" s="533" t="s">
        <v>492</v>
      </c>
      <c r="H14" s="533" t="s">
        <v>493</v>
      </c>
      <c r="I14" s="208"/>
      <c r="J14" s="208"/>
      <c r="K14" s="526" t="s">
        <v>160</v>
      </c>
      <c r="L14" s="526" t="s">
        <v>161</v>
      </c>
      <c r="M14" s="528" t="s">
        <v>168</v>
      </c>
      <c r="N14" s="528"/>
      <c r="O14" s="528" t="s">
        <v>34</v>
      </c>
      <c r="P14" s="528"/>
      <c r="Q14" s="528" t="s">
        <v>169</v>
      </c>
      <c r="R14" s="528"/>
    </row>
    <row r="15" spans="1:22" ht="60" customHeight="1" x14ac:dyDescent="0.35">
      <c r="A15" s="100"/>
      <c r="B15" s="531"/>
      <c r="C15" s="532"/>
      <c r="D15" s="527"/>
      <c r="E15" s="527"/>
      <c r="F15" s="527"/>
      <c r="G15" s="534"/>
      <c r="H15" s="534"/>
      <c r="I15" s="209" t="s">
        <v>454</v>
      </c>
      <c r="J15" s="209" t="s">
        <v>494</v>
      </c>
      <c r="K15" s="527"/>
      <c r="L15" s="527"/>
      <c r="M15" s="10" t="s">
        <v>162</v>
      </c>
      <c r="N15" s="10" t="s">
        <v>163</v>
      </c>
      <c r="O15" s="10" t="s">
        <v>164</v>
      </c>
      <c r="P15" s="10" t="s">
        <v>165</v>
      </c>
      <c r="Q15" s="10" t="s">
        <v>166</v>
      </c>
      <c r="R15" s="10" t="s">
        <v>167</v>
      </c>
    </row>
    <row r="16" spans="1:22" ht="10" customHeight="1" x14ac:dyDescent="0.35">
      <c r="A16" s="100"/>
      <c r="B16" s="210"/>
      <c r="C16" s="210"/>
      <c r="D16" s="97"/>
      <c r="E16" s="97"/>
      <c r="F16" s="97"/>
      <c r="G16" s="211"/>
      <c r="H16" s="211"/>
      <c r="I16" s="97"/>
      <c r="J16" s="97"/>
      <c r="K16" s="97"/>
      <c r="L16" s="97"/>
      <c r="M16" s="6"/>
      <c r="N16" s="6"/>
      <c r="O16" s="6"/>
      <c r="P16" s="6"/>
      <c r="Q16" s="6"/>
      <c r="R16" s="6"/>
    </row>
    <row r="17" spans="1:18" s="34" customFormat="1" x14ac:dyDescent="0.35">
      <c r="A17" s="212">
        <v>1</v>
      </c>
      <c r="B17" s="555" t="s">
        <v>984</v>
      </c>
      <c r="C17" s="556"/>
      <c r="D17" s="470" t="s">
        <v>176</v>
      </c>
      <c r="E17" s="470" t="s">
        <v>176</v>
      </c>
      <c r="F17" s="468">
        <v>16</v>
      </c>
      <c r="G17" s="469"/>
      <c r="H17" s="469"/>
      <c r="I17" s="213">
        <v>365</v>
      </c>
      <c r="J17" s="98"/>
      <c r="K17" s="214">
        <v>1986</v>
      </c>
      <c r="L17" s="215">
        <v>0.34006849315068494</v>
      </c>
      <c r="M17" s="126">
        <v>3659366.5359400609</v>
      </c>
      <c r="N17" s="85">
        <v>1842.5813373313499</v>
      </c>
      <c r="O17" s="126">
        <v>134370.53375429299</v>
      </c>
      <c r="P17" s="85">
        <v>67.658879030359003</v>
      </c>
      <c r="Q17" s="86">
        <v>3524996.002185768</v>
      </c>
      <c r="R17" s="85">
        <v>1774.9224583009909</v>
      </c>
    </row>
    <row r="18" spans="1:18" x14ac:dyDescent="0.35">
      <c r="A18" s="216" t="s">
        <v>447</v>
      </c>
      <c r="B18" s="217"/>
      <c r="C18" s="217"/>
      <c r="D18" s="217"/>
      <c r="E18" s="217"/>
      <c r="F18" s="218"/>
      <c r="G18" s="219"/>
      <c r="H18" s="219"/>
      <c r="I18" s="220"/>
      <c r="J18" s="99" t="s">
        <v>51</v>
      </c>
      <c r="K18" s="221">
        <v>1986</v>
      </c>
      <c r="L18" s="222"/>
      <c r="M18" s="87"/>
      <c r="N18" s="87"/>
      <c r="O18" s="87"/>
      <c r="P18" s="87"/>
      <c r="Q18" s="87"/>
      <c r="R18" s="87"/>
    </row>
    <row r="19" spans="1:18" x14ac:dyDescent="0.35">
      <c r="A19" s="223" t="s">
        <v>448</v>
      </c>
      <c r="B19" s="224"/>
      <c r="C19" s="224"/>
      <c r="D19" s="224"/>
      <c r="E19" s="224"/>
      <c r="F19" s="225"/>
      <c r="G19" s="226"/>
      <c r="H19" s="226"/>
      <c r="I19" s="227"/>
      <c r="J19" s="114"/>
      <c r="K19" s="228"/>
      <c r="L19" s="229"/>
      <c r="M19" s="88"/>
      <c r="N19" s="88"/>
      <c r="O19" s="88"/>
      <c r="P19" s="88"/>
      <c r="Q19" s="88"/>
      <c r="R19" s="88"/>
    </row>
    <row r="20" spans="1:18" x14ac:dyDescent="0.35">
      <c r="A20" s="230" t="s">
        <v>449</v>
      </c>
      <c r="B20" s="224"/>
      <c r="C20" s="224"/>
      <c r="D20" s="224"/>
      <c r="E20" s="224"/>
      <c r="F20" s="225"/>
      <c r="G20" s="226"/>
      <c r="H20" s="226"/>
      <c r="I20" s="227"/>
      <c r="J20" s="115"/>
      <c r="K20" s="231"/>
      <c r="L20" s="229"/>
      <c r="M20" s="88"/>
      <c r="N20" s="88"/>
      <c r="O20" s="88"/>
      <c r="P20" s="88"/>
      <c r="Q20" s="88"/>
      <c r="R20" s="88"/>
    </row>
    <row r="21" spans="1:18" x14ac:dyDescent="0.35">
      <c r="G21"/>
      <c r="H21"/>
      <c r="J21" s="100"/>
      <c r="L21" s="28"/>
    </row>
    <row r="22" spans="1:18" s="34" customFormat="1" x14ac:dyDescent="0.35">
      <c r="A22" s="84">
        <v>2</v>
      </c>
      <c r="B22" s="553"/>
      <c r="C22" s="554"/>
      <c r="D22" s="121"/>
      <c r="E22" s="121"/>
      <c r="F22" s="122"/>
      <c r="G22" s="134"/>
      <c r="H22" s="134"/>
      <c r="I22" s="139" t="str">
        <f>IF(B22=0,"",IF(AND(G22=0,H22=0),365,IF(AND(G22&gt;0,H22=0),$C$6-G22+1,IF(AND(G22=0,H22&gt;0),H22-($C$6-365),H22-G22+1))))</f>
        <v/>
      </c>
      <c r="J22" s="98"/>
      <c r="K22" s="8">
        <f>SUM(K23:K25)</f>
        <v>0</v>
      </c>
      <c r="L22" s="91" t="str">
        <f>IF(K22&gt;0,K22/(F22*I22),"")</f>
        <v/>
      </c>
      <c r="M22" s="126"/>
      <c r="N22" s="85" t="str">
        <f>IFERROR(M22/K22,"")</f>
        <v/>
      </c>
      <c r="O22" s="126"/>
      <c r="P22" s="85" t="str">
        <f>IFERROR(O22/K22,"")</f>
        <v/>
      </c>
      <c r="Q22" s="86" t="str">
        <f>IF(M22=0,"",M22-O22)</f>
        <v/>
      </c>
      <c r="R22" s="85" t="str">
        <f>IFERROR(Q22/K22,"")</f>
        <v/>
      </c>
    </row>
    <row r="23" spans="1:18" x14ac:dyDescent="0.35">
      <c r="A23" s="101" t="s">
        <v>447</v>
      </c>
      <c r="B23" s="87"/>
      <c r="C23" s="87"/>
      <c r="D23" s="87"/>
      <c r="E23" s="87"/>
      <c r="F23" s="132"/>
      <c r="G23" s="135"/>
      <c r="H23" s="135"/>
      <c r="I23" s="104"/>
      <c r="J23" s="99"/>
      <c r="K23" s="221"/>
      <c r="L23" s="89"/>
      <c r="M23" s="87"/>
      <c r="N23" s="87"/>
      <c r="O23" s="87"/>
      <c r="P23" s="87"/>
      <c r="Q23" s="87"/>
      <c r="R23" s="87"/>
    </row>
    <row r="24" spans="1:18" x14ac:dyDescent="0.35">
      <c r="A24" s="102" t="s">
        <v>448</v>
      </c>
      <c r="B24" s="88"/>
      <c r="C24" s="88"/>
      <c r="D24" s="88"/>
      <c r="E24" s="88"/>
      <c r="F24" s="133"/>
      <c r="G24" s="136"/>
      <c r="H24" s="136"/>
      <c r="I24" s="105"/>
      <c r="J24" s="114"/>
      <c r="K24" s="124"/>
      <c r="L24" s="90"/>
      <c r="M24" s="88"/>
      <c r="N24" s="88"/>
      <c r="O24" s="88"/>
      <c r="P24" s="88"/>
      <c r="Q24" s="88"/>
      <c r="R24" s="88"/>
    </row>
    <row r="25" spans="1:18" x14ac:dyDescent="0.35">
      <c r="A25" s="103" t="s">
        <v>449</v>
      </c>
      <c r="B25" s="88"/>
      <c r="C25" s="88"/>
      <c r="D25" s="88"/>
      <c r="E25" s="88"/>
      <c r="F25" s="133"/>
      <c r="G25" s="136"/>
      <c r="H25" s="136"/>
      <c r="I25" s="105"/>
      <c r="J25" s="115"/>
      <c r="K25" s="125"/>
      <c r="L25" s="90"/>
      <c r="M25" s="88"/>
      <c r="N25" s="88"/>
      <c r="O25" s="88"/>
      <c r="P25" s="88"/>
      <c r="Q25" s="88"/>
      <c r="R25" s="88"/>
    </row>
    <row r="26" spans="1:18" x14ac:dyDescent="0.35">
      <c r="G26"/>
      <c r="H26"/>
      <c r="J26" s="100"/>
      <c r="L26" s="28"/>
    </row>
    <row r="27" spans="1:18" s="34" customFormat="1" x14ac:dyDescent="0.35">
      <c r="A27" s="84">
        <v>3</v>
      </c>
      <c r="B27" s="553"/>
      <c r="C27" s="554"/>
      <c r="D27" s="121"/>
      <c r="E27" s="121"/>
      <c r="F27" s="122"/>
      <c r="G27" s="134"/>
      <c r="H27" s="134"/>
      <c r="I27" s="139" t="str">
        <f>IF(B27=0,"",IF(AND(G27=0,H27=0),365,IF(AND(G27&gt;0,H27=0),$C$6-G27+1,IF(AND(G27=0,H27&gt;0),H27-($C$6-365),H27-G27+1))))</f>
        <v/>
      </c>
      <c r="J27" s="98"/>
      <c r="K27" s="8">
        <f>SUM(K28:K30)</f>
        <v>0</v>
      </c>
      <c r="L27" s="91" t="str">
        <f>IF(K27&gt;0,K27/(F27*I27),"")</f>
        <v/>
      </c>
      <c r="M27" s="126"/>
      <c r="N27" s="85" t="str">
        <f>IFERROR(M27/K27,"")</f>
        <v/>
      </c>
      <c r="O27" s="126"/>
      <c r="P27" s="85" t="str">
        <f>IFERROR(O27/K27,"")</f>
        <v/>
      </c>
      <c r="Q27" s="86" t="str">
        <f>IF(M27=0,"",M27-O27)</f>
        <v/>
      </c>
      <c r="R27" s="85" t="str">
        <f>IFERROR(Q27/K27,"")</f>
        <v/>
      </c>
    </row>
    <row r="28" spans="1:18" x14ac:dyDescent="0.35">
      <c r="A28" s="101" t="s">
        <v>447</v>
      </c>
      <c r="B28" s="87"/>
      <c r="C28" s="87"/>
      <c r="D28" s="87"/>
      <c r="E28" s="87"/>
      <c r="F28" s="132"/>
      <c r="G28" s="135"/>
      <c r="H28" s="135"/>
      <c r="I28" s="104"/>
      <c r="J28" s="99"/>
      <c r="K28" s="221"/>
      <c r="L28" s="89"/>
      <c r="M28" s="87"/>
      <c r="N28" s="87"/>
      <c r="O28" s="87"/>
      <c r="P28" s="87"/>
      <c r="Q28" s="87"/>
      <c r="R28" s="87"/>
    </row>
    <row r="29" spans="1:18" x14ac:dyDescent="0.35">
      <c r="A29" s="102" t="s">
        <v>448</v>
      </c>
      <c r="B29" s="88"/>
      <c r="C29" s="88"/>
      <c r="D29" s="88"/>
      <c r="E29" s="88"/>
      <c r="F29" s="133"/>
      <c r="G29" s="136"/>
      <c r="H29" s="136"/>
      <c r="I29" s="105"/>
      <c r="J29" s="114"/>
      <c r="K29" s="124"/>
      <c r="L29" s="90"/>
      <c r="M29" s="88"/>
      <c r="N29" s="88"/>
      <c r="O29" s="88"/>
      <c r="P29" s="88"/>
      <c r="Q29" s="88"/>
      <c r="R29" s="88"/>
    </row>
    <row r="30" spans="1:18" x14ac:dyDescent="0.35">
      <c r="A30" s="103" t="s">
        <v>449</v>
      </c>
      <c r="B30" s="88"/>
      <c r="C30" s="88"/>
      <c r="D30" s="88"/>
      <c r="E30" s="88"/>
      <c r="F30" s="133"/>
      <c r="G30" s="136"/>
      <c r="H30" s="136"/>
      <c r="I30" s="105"/>
      <c r="J30" s="115"/>
      <c r="K30" s="125"/>
      <c r="L30" s="90"/>
      <c r="M30" s="88"/>
      <c r="N30" s="88"/>
      <c r="O30" s="88"/>
      <c r="P30" s="88"/>
      <c r="Q30" s="88"/>
      <c r="R30" s="88"/>
    </row>
    <row r="31" spans="1:18" x14ac:dyDescent="0.35">
      <c r="G31"/>
      <c r="H31"/>
      <c r="J31" s="100"/>
      <c r="L31" s="28"/>
    </row>
    <row r="32" spans="1:18" s="34" customFormat="1" x14ac:dyDescent="0.35">
      <c r="A32" s="84">
        <v>4</v>
      </c>
      <c r="B32" s="553"/>
      <c r="C32" s="554"/>
      <c r="D32" s="121"/>
      <c r="E32" s="121"/>
      <c r="F32" s="122"/>
      <c r="G32" s="134"/>
      <c r="H32" s="134"/>
      <c r="I32" s="139" t="str">
        <f>IF(B32=0,"",IF(AND(G32=0,H32=0),365,IF(AND(G32&gt;0,H32=0),$C$6-G32+1,IF(AND(G32=0,H32&gt;0),H32-($C$6-365),H32-G32+1))))</f>
        <v/>
      </c>
      <c r="J32" s="98"/>
      <c r="K32" s="8">
        <f>SUM(K33:K35)</f>
        <v>0</v>
      </c>
      <c r="L32" s="91" t="str">
        <f>IF(K32&gt;0,K32/(F32*I32),"")</f>
        <v/>
      </c>
      <c r="M32" s="126"/>
      <c r="N32" s="85" t="str">
        <f>IFERROR(M32/K32,"")</f>
        <v/>
      </c>
      <c r="O32" s="126"/>
      <c r="P32" s="85" t="str">
        <f>IFERROR(O32/K32,"")</f>
        <v/>
      </c>
      <c r="Q32" s="86" t="str">
        <f>IF(M32=0,"",M32-O32)</f>
        <v/>
      </c>
      <c r="R32" s="85" t="str">
        <f>IFERROR(Q32/K32,"")</f>
        <v/>
      </c>
    </row>
    <row r="33" spans="1:18" x14ac:dyDescent="0.35">
      <c r="A33" s="101" t="s">
        <v>447</v>
      </c>
      <c r="B33" s="87"/>
      <c r="C33" s="87"/>
      <c r="D33" s="87"/>
      <c r="E33" s="87"/>
      <c r="F33" s="132"/>
      <c r="G33" s="135"/>
      <c r="H33" s="135"/>
      <c r="I33" s="104"/>
      <c r="J33" s="99"/>
      <c r="K33" s="221"/>
      <c r="L33" s="89"/>
      <c r="M33" s="87"/>
      <c r="N33" s="87"/>
      <c r="O33" s="87"/>
      <c r="P33" s="87"/>
      <c r="Q33" s="87"/>
      <c r="R33" s="87"/>
    </row>
    <row r="34" spans="1:18" x14ac:dyDescent="0.35">
      <c r="A34" s="102" t="s">
        <v>448</v>
      </c>
      <c r="B34" s="88"/>
      <c r="C34" s="88"/>
      <c r="D34" s="88"/>
      <c r="E34" s="88"/>
      <c r="F34" s="133"/>
      <c r="G34" s="136"/>
      <c r="H34" s="136"/>
      <c r="I34" s="105"/>
      <c r="J34" s="114"/>
      <c r="K34" s="124"/>
      <c r="L34" s="90"/>
      <c r="M34" s="88"/>
      <c r="N34" s="88"/>
      <c r="O34" s="88"/>
      <c r="P34" s="88"/>
      <c r="Q34" s="88"/>
      <c r="R34" s="88"/>
    </row>
    <row r="35" spans="1:18" x14ac:dyDescent="0.35">
      <c r="A35" s="103" t="s">
        <v>449</v>
      </c>
      <c r="B35" s="88"/>
      <c r="C35" s="88"/>
      <c r="D35" s="88"/>
      <c r="E35" s="88"/>
      <c r="F35" s="133"/>
      <c r="G35" s="136"/>
      <c r="H35" s="136"/>
      <c r="I35" s="105"/>
      <c r="J35" s="115"/>
      <c r="K35" s="125"/>
      <c r="L35" s="90"/>
      <c r="M35" s="88"/>
      <c r="N35" s="88"/>
      <c r="O35" s="88"/>
      <c r="P35" s="88"/>
      <c r="Q35" s="88"/>
      <c r="R35" s="88"/>
    </row>
    <row r="36" spans="1:18" x14ac:dyDescent="0.35">
      <c r="G36"/>
      <c r="H36"/>
      <c r="J36" s="100"/>
      <c r="L36" s="28"/>
    </row>
    <row r="37" spans="1:18" s="34" customFormat="1" x14ac:dyDescent="0.35">
      <c r="A37" s="84">
        <v>5</v>
      </c>
      <c r="B37" s="553"/>
      <c r="C37" s="554"/>
      <c r="D37" s="121"/>
      <c r="E37" s="121"/>
      <c r="F37" s="122"/>
      <c r="G37" s="134"/>
      <c r="H37" s="134"/>
      <c r="I37" s="139" t="str">
        <f>IF(B37=0,"",IF(AND(G37=0,H37=0),365,IF(AND(G37&gt;0,H37=0),$C$6-G37+1,IF(AND(G37=0,H37&gt;0),H37-($C$6-365),H37-G37+1))))</f>
        <v/>
      </c>
      <c r="J37" s="98"/>
      <c r="K37" s="8">
        <f>SUM(K38:K40)</f>
        <v>0</v>
      </c>
      <c r="L37" s="91" t="str">
        <f>IF(K37&gt;0,K37/(F37*I37),"")</f>
        <v/>
      </c>
      <c r="M37" s="126"/>
      <c r="N37" s="85" t="str">
        <f>IFERROR(M37/K37,"")</f>
        <v/>
      </c>
      <c r="O37" s="126"/>
      <c r="P37" s="85" t="str">
        <f>IFERROR(O37/K37,"")</f>
        <v/>
      </c>
      <c r="Q37" s="86" t="str">
        <f>IF(M37=0,"",M37-O37)</f>
        <v/>
      </c>
      <c r="R37" s="85" t="str">
        <f>IFERROR(Q37/K37,"")</f>
        <v/>
      </c>
    </row>
    <row r="38" spans="1:18" x14ac:dyDescent="0.35">
      <c r="A38" s="101" t="s">
        <v>447</v>
      </c>
      <c r="B38" s="87"/>
      <c r="C38" s="87"/>
      <c r="D38" s="87"/>
      <c r="E38" s="87"/>
      <c r="F38" s="132"/>
      <c r="G38" s="135"/>
      <c r="H38" s="135"/>
      <c r="I38" s="104"/>
      <c r="J38" s="99"/>
      <c r="K38" s="123"/>
      <c r="L38" s="89"/>
      <c r="M38" s="87"/>
      <c r="N38" s="87"/>
      <c r="O38" s="87"/>
      <c r="P38" s="87"/>
      <c r="Q38" s="87"/>
      <c r="R38" s="87"/>
    </row>
    <row r="39" spans="1:18" x14ac:dyDescent="0.35">
      <c r="A39" s="102" t="s">
        <v>448</v>
      </c>
      <c r="B39" s="88"/>
      <c r="C39" s="88"/>
      <c r="D39" s="88"/>
      <c r="E39" s="88"/>
      <c r="F39" s="133"/>
      <c r="G39" s="136"/>
      <c r="H39" s="136"/>
      <c r="I39" s="105"/>
      <c r="J39" s="114"/>
      <c r="K39" s="124"/>
      <c r="L39" s="90"/>
      <c r="M39" s="88"/>
      <c r="N39" s="88"/>
      <c r="O39" s="88"/>
      <c r="P39" s="88"/>
      <c r="Q39" s="88"/>
      <c r="R39" s="88"/>
    </row>
    <row r="40" spans="1:18" x14ac:dyDescent="0.35">
      <c r="A40" s="103" t="s">
        <v>449</v>
      </c>
      <c r="B40" s="88"/>
      <c r="C40" s="88"/>
      <c r="D40" s="88"/>
      <c r="E40" s="88"/>
      <c r="F40" s="133"/>
      <c r="G40" s="136"/>
      <c r="H40" s="136"/>
      <c r="I40" s="105"/>
      <c r="J40" s="115"/>
      <c r="K40" s="125"/>
      <c r="L40" s="90"/>
      <c r="M40" s="88"/>
      <c r="N40" s="88"/>
      <c r="O40" s="88"/>
      <c r="P40" s="88"/>
      <c r="Q40" s="88"/>
      <c r="R40" s="88"/>
    </row>
    <row r="41" spans="1:18" x14ac:dyDescent="0.35">
      <c r="G41"/>
      <c r="H41"/>
      <c r="J41" s="100"/>
      <c r="L41" s="28"/>
    </row>
    <row r="42" spans="1:18" s="34" customFormat="1" x14ac:dyDescent="0.35">
      <c r="A42" s="84">
        <v>6</v>
      </c>
      <c r="B42" s="553"/>
      <c r="C42" s="554"/>
      <c r="D42" s="121"/>
      <c r="E42" s="121"/>
      <c r="F42" s="122"/>
      <c r="G42" s="134"/>
      <c r="H42" s="134"/>
      <c r="I42" s="139" t="str">
        <f>IF(B42=0,"",IF(AND(G42=0,H42=0),365,IF(AND(G42&gt;0,H42=0),$C$6-G42+1,IF(AND(G42=0,H42&gt;0),H42-($C$6-365),H42-G42+1))))</f>
        <v/>
      </c>
      <c r="J42" s="98"/>
      <c r="K42" s="8">
        <f>SUM(K43:K45)</f>
        <v>0</v>
      </c>
      <c r="L42" s="91" t="str">
        <f>IF(K42&gt;0,K42/(F42*I42),"")</f>
        <v/>
      </c>
      <c r="M42" s="126"/>
      <c r="N42" s="85" t="str">
        <f>IFERROR(M42/K42,"")</f>
        <v/>
      </c>
      <c r="O42" s="126"/>
      <c r="P42" s="85" t="str">
        <f>IFERROR(O42/K42,"")</f>
        <v/>
      </c>
      <c r="Q42" s="86" t="str">
        <f>IF(M42=0,"",M42-O42)</f>
        <v/>
      </c>
      <c r="R42" s="85" t="str">
        <f>IFERROR(Q42/K42,"")</f>
        <v/>
      </c>
    </row>
    <row r="43" spans="1:18" x14ac:dyDescent="0.35">
      <c r="A43" s="101" t="s">
        <v>447</v>
      </c>
      <c r="B43" s="87"/>
      <c r="C43" s="87"/>
      <c r="D43" s="87"/>
      <c r="E43" s="87"/>
      <c r="F43" s="132"/>
      <c r="G43" s="135"/>
      <c r="H43" s="135"/>
      <c r="I43" s="104"/>
      <c r="J43" s="99"/>
      <c r="K43" s="123"/>
      <c r="L43" s="89"/>
      <c r="M43" s="87"/>
      <c r="N43" s="87"/>
      <c r="O43" s="87"/>
      <c r="P43" s="87"/>
      <c r="Q43" s="87"/>
      <c r="R43" s="87"/>
    </row>
    <row r="44" spans="1:18" x14ac:dyDescent="0.35">
      <c r="A44" s="102" t="s">
        <v>448</v>
      </c>
      <c r="B44" s="88"/>
      <c r="C44" s="88"/>
      <c r="D44" s="88"/>
      <c r="E44" s="88"/>
      <c r="F44" s="133"/>
      <c r="G44" s="136"/>
      <c r="H44" s="136"/>
      <c r="I44" s="105"/>
      <c r="J44" s="114"/>
      <c r="K44" s="124"/>
      <c r="L44" s="90"/>
      <c r="M44" s="88"/>
      <c r="N44" s="88"/>
      <c r="O44" s="88"/>
      <c r="P44" s="88"/>
      <c r="Q44" s="88"/>
      <c r="R44" s="88"/>
    </row>
    <row r="45" spans="1:18" x14ac:dyDescent="0.35">
      <c r="A45" s="103" t="s">
        <v>449</v>
      </c>
      <c r="B45" s="88"/>
      <c r="C45" s="88"/>
      <c r="D45" s="88"/>
      <c r="E45" s="88"/>
      <c r="F45" s="133"/>
      <c r="G45" s="136"/>
      <c r="H45" s="136"/>
      <c r="I45" s="105"/>
      <c r="J45" s="115"/>
      <c r="K45" s="125"/>
      <c r="L45" s="90"/>
      <c r="M45" s="88"/>
      <c r="N45" s="88"/>
      <c r="O45" s="88"/>
      <c r="P45" s="88"/>
      <c r="Q45" s="88"/>
      <c r="R45" s="88"/>
    </row>
    <row r="46" spans="1:18" x14ac:dyDescent="0.35">
      <c r="G46"/>
      <c r="H46"/>
      <c r="J46" s="100"/>
      <c r="L46" s="28"/>
    </row>
    <row r="47" spans="1:18" s="34" customFormat="1" x14ac:dyDescent="0.35">
      <c r="A47" s="84">
        <v>7</v>
      </c>
      <c r="B47" s="553"/>
      <c r="C47" s="554"/>
      <c r="D47" s="121"/>
      <c r="E47" s="121"/>
      <c r="F47" s="122"/>
      <c r="G47" s="134"/>
      <c r="H47" s="134"/>
      <c r="I47" s="139" t="str">
        <f>IF(B47=0,"",IF(AND(G47=0,H47=0),365,IF(AND(G47&gt;0,H47=0),$C$6-G47+1,IF(AND(G47=0,H47&gt;0),H47-($C$6-365),H47-G47+1))))</f>
        <v/>
      </c>
      <c r="J47" s="98"/>
      <c r="K47" s="8">
        <f>SUM(K48:K50)</f>
        <v>0</v>
      </c>
      <c r="L47" s="91" t="str">
        <f>IF(K47&gt;0,K47/(F47*I47),"")</f>
        <v/>
      </c>
      <c r="M47" s="126"/>
      <c r="N47" s="85" t="str">
        <f>IFERROR(M47/K47,"")</f>
        <v/>
      </c>
      <c r="O47" s="126"/>
      <c r="P47" s="85" t="str">
        <f>IFERROR(O47/K47,"")</f>
        <v/>
      </c>
      <c r="Q47" s="86" t="str">
        <f>IF(M47=0,"",M47-O47)</f>
        <v/>
      </c>
      <c r="R47" s="85" t="str">
        <f>IFERROR(Q47/K47,"")</f>
        <v/>
      </c>
    </row>
    <row r="48" spans="1:18" x14ac:dyDescent="0.35">
      <c r="A48" s="101" t="s">
        <v>447</v>
      </c>
      <c r="B48" s="87"/>
      <c r="C48" s="87"/>
      <c r="D48" s="87"/>
      <c r="E48" s="87"/>
      <c r="F48" s="132"/>
      <c r="G48" s="135"/>
      <c r="H48" s="135"/>
      <c r="I48" s="104"/>
      <c r="J48" s="99"/>
      <c r="K48" s="123"/>
      <c r="L48" s="89"/>
      <c r="M48" s="87"/>
      <c r="N48" s="87"/>
      <c r="O48" s="87"/>
      <c r="P48" s="87"/>
      <c r="Q48" s="87"/>
      <c r="R48" s="87"/>
    </row>
    <row r="49" spans="1:18" x14ac:dyDescent="0.35">
      <c r="A49" s="102" t="s">
        <v>448</v>
      </c>
      <c r="B49" s="88"/>
      <c r="C49" s="88"/>
      <c r="D49" s="88"/>
      <c r="E49" s="88"/>
      <c r="F49" s="133"/>
      <c r="G49" s="136"/>
      <c r="H49" s="136"/>
      <c r="I49" s="105"/>
      <c r="J49" s="114"/>
      <c r="K49" s="124"/>
      <c r="L49" s="90"/>
      <c r="M49" s="88"/>
      <c r="N49" s="88"/>
      <c r="O49" s="88"/>
      <c r="P49" s="88"/>
      <c r="Q49" s="88"/>
      <c r="R49" s="88"/>
    </row>
    <row r="50" spans="1:18" x14ac:dyDescent="0.35">
      <c r="A50" s="103" t="s">
        <v>449</v>
      </c>
      <c r="B50" s="88"/>
      <c r="C50" s="88"/>
      <c r="D50" s="88"/>
      <c r="E50" s="88"/>
      <c r="F50" s="133"/>
      <c r="G50" s="136"/>
      <c r="H50" s="136"/>
      <c r="I50" s="105"/>
      <c r="J50" s="115"/>
      <c r="K50" s="125"/>
      <c r="L50" s="90"/>
      <c r="M50" s="88"/>
      <c r="N50" s="88"/>
      <c r="O50" s="88"/>
      <c r="P50" s="88"/>
      <c r="Q50" s="88"/>
      <c r="R50" s="88"/>
    </row>
    <row r="51" spans="1:18" x14ac:dyDescent="0.35">
      <c r="G51"/>
      <c r="H51"/>
      <c r="J51" s="100"/>
      <c r="L51" s="28"/>
    </row>
    <row r="52" spans="1:18" s="34" customFormat="1" x14ac:dyDescent="0.35">
      <c r="A52" s="84">
        <v>8</v>
      </c>
      <c r="B52" s="553"/>
      <c r="C52" s="554"/>
      <c r="D52" s="121"/>
      <c r="E52" s="121"/>
      <c r="F52" s="122"/>
      <c r="G52" s="134"/>
      <c r="H52" s="134"/>
      <c r="I52" s="139" t="str">
        <f>IF(B52=0,"",IF(AND(G52=0,H52=0),365,IF(AND(G52&gt;0,H52=0),$C$6-G52+1,IF(AND(G52=0,H52&gt;0),H52-($C$6-365),H52-G52+1))))</f>
        <v/>
      </c>
      <c r="J52" s="98"/>
      <c r="K52" s="8">
        <f>SUM(K53:K55)</f>
        <v>0</v>
      </c>
      <c r="L52" s="91" t="str">
        <f>IF(K52&gt;0,K52/(F52*I52),"")</f>
        <v/>
      </c>
      <c r="M52" s="126"/>
      <c r="N52" s="85" t="str">
        <f>IFERROR(M52/K52,"")</f>
        <v/>
      </c>
      <c r="O52" s="126"/>
      <c r="P52" s="85" t="str">
        <f>IFERROR(O52/K52,"")</f>
        <v/>
      </c>
      <c r="Q52" s="86" t="str">
        <f>IF(M52=0,"",M52-O52)</f>
        <v/>
      </c>
      <c r="R52" s="85" t="str">
        <f>IFERROR(Q52/K52,"")</f>
        <v/>
      </c>
    </row>
    <row r="53" spans="1:18" x14ac:dyDescent="0.35">
      <c r="A53" s="101" t="s">
        <v>447</v>
      </c>
      <c r="B53" s="87"/>
      <c r="C53" s="87"/>
      <c r="D53" s="87"/>
      <c r="E53" s="87"/>
      <c r="F53" s="132"/>
      <c r="G53" s="135"/>
      <c r="H53" s="135"/>
      <c r="I53" s="104"/>
      <c r="J53" s="99"/>
      <c r="K53" s="123"/>
      <c r="L53" s="89"/>
      <c r="M53" s="87"/>
      <c r="N53" s="87"/>
      <c r="O53" s="87"/>
      <c r="P53" s="87"/>
      <c r="Q53" s="87"/>
      <c r="R53" s="87"/>
    </row>
    <row r="54" spans="1:18" x14ac:dyDescent="0.35">
      <c r="A54" s="102" t="s">
        <v>448</v>
      </c>
      <c r="B54" s="88"/>
      <c r="C54" s="88"/>
      <c r="D54" s="88"/>
      <c r="E54" s="88"/>
      <c r="F54" s="133"/>
      <c r="G54" s="136"/>
      <c r="H54" s="136"/>
      <c r="I54" s="105"/>
      <c r="J54" s="114"/>
      <c r="K54" s="124"/>
      <c r="L54" s="90"/>
      <c r="M54" s="88"/>
      <c r="N54" s="88"/>
      <c r="O54" s="88"/>
      <c r="P54" s="88"/>
      <c r="Q54" s="88"/>
      <c r="R54" s="88"/>
    </row>
    <row r="55" spans="1:18" x14ac:dyDescent="0.35">
      <c r="A55" s="103" t="s">
        <v>449</v>
      </c>
      <c r="B55" s="88"/>
      <c r="C55" s="88"/>
      <c r="D55" s="88"/>
      <c r="E55" s="88"/>
      <c r="F55" s="133"/>
      <c r="G55" s="136"/>
      <c r="H55" s="136"/>
      <c r="I55" s="105"/>
      <c r="J55" s="115"/>
      <c r="K55" s="125"/>
      <c r="L55" s="90"/>
      <c r="M55" s="88"/>
      <c r="N55" s="88"/>
      <c r="O55" s="88"/>
      <c r="P55" s="88"/>
      <c r="Q55" s="88"/>
      <c r="R55" s="88"/>
    </row>
    <row r="56" spans="1:18" x14ac:dyDescent="0.35">
      <c r="G56"/>
      <c r="H56"/>
      <c r="J56" s="100"/>
      <c r="L56" s="28"/>
    </row>
    <row r="57" spans="1:18" s="34" customFormat="1" x14ac:dyDescent="0.35">
      <c r="A57" s="84">
        <v>9</v>
      </c>
      <c r="B57" s="553"/>
      <c r="C57" s="554"/>
      <c r="D57" s="121"/>
      <c r="E57" s="121"/>
      <c r="F57" s="122"/>
      <c r="G57" s="134"/>
      <c r="H57" s="134"/>
      <c r="I57" s="139" t="str">
        <f>IF(B57=0,"",IF(AND(G57=0,H57=0),365,IF(AND(G57&gt;0,H57=0),$C$6-G57+1,IF(AND(G57=0,H57&gt;0),H57-($C$6-365),H57-G57+1))))</f>
        <v/>
      </c>
      <c r="J57" s="98"/>
      <c r="K57" s="8">
        <f>SUM(K58:K60)</f>
        <v>0</v>
      </c>
      <c r="L57" s="91" t="str">
        <f>IF(K57&gt;0,K57/(F57*I57),"")</f>
        <v/>
      </c>
      <c r="M57" s="126"/>
      <c r="N57" s="85" t="str">
        <f>IFERROR(M57/K57,"")</f>
        <v/>
      </c>
      <c r="O57" s="126"/>
      <c r="P57" s="85" t="str">
        <f>IFERROR(O57/K57,"")</f>
        <v/>
      </c>
      <c r="Q57" s="86" t="str">
        <f>IF(M57=0,"",M57-O57)</f>
        <v/>
      </c>
      <c r="R57" s="85" t="str">
        <f>IFERROR(Q57/K57,"")</f>
        <v/>
      </c>
    </row>
    <row r="58" spans="1:18" x14ac:dyDescent="0.35">
      <c r="A58" s="101" t="s">
        <v>447</v>
      </c>
      <c r="B58" s="87"/>
      <c r="C58" s="87"/>
      <c r="D58" s="87"/>
      <c r="E58" s="87"/>
      <c r="F58" s="132"/>
      <c r="G58" s="135"/>
      <c r="H58" s="135"/>
      <c r="I58" s="104"/>
      <c r="J58" s="99"/>
      <c r="K58" s="123"/>
      <c r="L58" s="89"/>
      <c r="M58" s="87"/>
      <c r="N58" s="87"/>
      <c r="O58" s="87"/>
      <c r="P58" s="87"/>
      <c r="Q58" s="87"/>
      <c r="R58" s="87"/>
    </row>
    <row r="59" spans="1:18" x14ac:dyDescent="0.35">
      <c r="A59" s="102" t="s">
        <v>448</v>
      </c>
      <c r="B59" s="88"/>
      <c r="C59" s="88"/>
      <c r="D59" s="88"/>
      <c r="E59" s="88"/>
      <c r="F59" s="133"/>
      <c r="G59" s="136"/>
      <c r="H59" s="136"/>
      <c r="I59" s="105"/>
      <c r="J59" s="114"/>
      <c r="K59" s="124"/>
      <c r="L59" s="90"/>
      <c r="M59" s="88"/>
      <c r="N59" s="88"/>
      <c r="O59" s="88"/>
      <c r="P59" s="88"/>
      <c r="Q59" s="88"/>
      <c r="R59" s="88"/>
    </row>
    <row r="60" spans="1:18" x14ac:dyDescent="0.35">
      <c r="A60" s="103" t="s">
        <v>449</v>
      </c>
      <c r="B60" s="88"/>
      <c r="C60" s="88"/>
      <c r="D60" s="88"/>
      <c r="E60" s="88"/>
      <c r="F60" s="133"/>
      <c r="G60" s="136"/>
      <c r="H60" s="136"/>
      <c r="I60" s="105"/>
      <c r="J60" s="115"/>
      <c r="K60" s="125"/>
      <c r="L60" s="90"/>
      <c r="M60" s="88"/>
      <c r="N60" s="88"/>
      <c r="O60" s="88"/>
      <c r="P60" s="88"/>
      <c r="Q60" s="88"/>
      <c r="R60" s="88"/>
    </row>
    <row r="61" spans="1:18" x14ac:dyDescent="0.35">
      <c r="G61"/>
      <c r="H61"/>
      <c r="J61" s="100"/>
      <c r="L61" s="28"/>
    </row>
    <row r="62" spans="1:18" s="34" customFormat="1" x14ac:dyDescent="0.35">
      <c r="A62" s="84">
        <v>10</v>
      </c>
      <c r="B62" s="553"/>
      <c r="C62" s="554"/>
      <c r="D62" s="121"/>
      <c r="E62" s="121"/>
      <c r="F62" s="122"/>
      <c r="G62" s="134"/>
      <c r="H62" s="134"/>
      <c r="I62" s="139" t="str">
        <f>IF(B62=0,"",IF(AND(G62=0,H62=0),365,IF(AND(G62&gt;0,H62=0),$C$6-G62+1,IF(AND(G62=0,H62&gt;0),H62-($C$6-365),H62-G62+1))))</f>
        <v/>
      </c>
      <c r="J62" s="98"/>
      <c r="K62" s="8">
        <f>SUM(K63:K65)</f>
        <v>0</v>
      </c>
      <c r="L62" s="91" t="str">
        <f>IF(K62&gt;0,K62/(F62*I62),"")</f>
        <v/>
      </c>
      <c r="M62" s="126"/>
      <c r="N62" s="85" t="str">
        <f>IFERROR(M62/K62,"")</f>
        <v/>
      </c>
      <c r="O62" s="126"/>
      <c r="P62" s="85" t="str">
        <f>IFERROR(O62/K62,"")</f>
        <v/>
      </c>
      <c r="Q62" s="86" t="str">
        <f>IF(M62=0,"",M62-O62)</f>
        <v/>
      </c>
      <c r="R62" s="85" t="str">
        <f>IFERROR(Q62/K62,"")</f>
        <v/>
      </c>
    </row>
    <row r="63" spans="1:18" x14ac:dyDescent="0.35">
      <c r="A63" s="101" t="s">
        <v>447</v>
      </c>
      <c r="B63" s="87"/>
      <c r="C63" s="87"/>
      <c r="D63" s="87"/>
      <c r="E63" s="87"/>
      <c r="F63" s="132"/>
      <c r="G63" s="135"/>
      <c r="H63" s="135"/>
      <c r="I63" s="104"/>
      <c r="J63" s="99"/>
      <c r="K63" s="123"/>
      <c r="L63" s="89"/>
      <c r="M63" s="87"/>
      <c r="N63" s="87"/>
      <c r="O63" s="87"/>
      <c r="P63" s="87"/>
      <c r="Q63" s="87"/>
      <c r="R63" s="87"/>
    </row>
    <row r="64" spans="1:18" x14ac:dyDescent="0.35">
      <c r="A64" s="102" t="s">
        <v>448</v>
      </c>
      <c r="B64" s="88"/>
      <c r="C64" s="88"/>
      <c r="D64" s="88"/>
      <c r="E64" s="88"/>
      <c r="F64" s="133"/>
      <c r="G64" s="136"/>
      <c r="H64" s="136"/>
      <c r="I64" s="105"/>
      <c r="J64" s="114"/>
      <c r="K64" s="124"/>
      <c r="L64" s="90"/>
      <c r="M64" s="88"/>
      <c r="N64" s="88"/>
      <c r="O64" s="88"/>
      <c r="P64" s="88"/>
      <c r="Q64" s="88"/>
      <c r="R64" s="88"/>
    </row>
    <row r="65" spans="1:18" x14ac:dyDescent="0.35">
      <c r="A65" s="103" t="s">
        <v>449</v>
      </c>
      <c r="B65" s="88"/>
      <c r="C65" s="88"/>
      <c r="D65" s="88"/>
      <c r="E65" s="88"/>
      <c r="F65" s="133"/>
      <c r="G65" s="136"/>
      <c r="H65" s="136"/>
      <c r="I65" s="105"/>
      <c r="J65" s="115"/>
      <c r="K65" s="125"/>
      <c r="L65" s="90"/>
      <c r="M65" s="88"/>
      <c r="N65" s="88"/>
      <c r="O65" s="88"/>
      <c r="P65" s="88"/>
      <c r="Q65" s="88"/>
      <c r="R65" s="88"/>
    </row>
    <row r="66" spans="1:18" x14ac:dyDescent="0.35">
      <c r="G66"/>
      <c r="H66"/>
      <c r="J66" s="100"/>
      <c r="L66" s="28"/>
    </row>
    <row r="67" spans="1:18" s="34" customFormat="1" x14ac:dyDescent="0.35">
      <c r="A67" s="84">
        <v>11</v>
      </c>
      <c r="B67" s="553"/>
      <c r="C67" s="554"/>
      <c r="D67" s="121"/>
      <c r="E67" s="121"/>
      <c r="F67" s="122"/>
      <c r="G67" s="134"/>
      <c r="H67" s="134"/>
      <c r="I67" s="139" t="str">
        <f>IF(B67=0,"",IF(AND(G67=0,H67=0),365,IF(AND(G67&gt;0,H67=0),$C$6-G67+1,IF(AND(G67=0,H67&gt;0),H67-($C$6-365),H67-G67+1))))</f>
        <v/>
      </c>
      <c r="J67" s="98"/>
      <c r="K67" s="8">
        <f>SUM(K68:K70)</f>
        <v>0</v>
      </c>
      <c r="L67" s="91" t="str">
        <f>IF(K67&gt;0,K67/(F67*I67),"")</f>
        <v/>
      </c>
      <c r="M67" s="126"/>
      <c r="N67" s="85" t="str">
        <f>IFERROR(M67/K67,"")</f>
        <v/>
      </c>
      <c r="O67" s="126"/>
      <c r="P67" s="85" t="str">
        <f>IFERROR(O67/K67,"")</f>
        <v/>
      </c>
      <c r="Q67" s="86" t="str">
        <f>IF(M67=0,"",M67-O67)</f>
        <v/>
      </c>
      <c r="R67" s="85" t="str">
        <f>IFERROR(Q67/K67,"")</f>
        <v/>
      </c>
    </row>
    <row r="68" spans="1:18" x14ac:dyDescent="0.35">
      <c r="A68" s="101" t="s">
        <v>447</v>
      </c>
      <c r="B68" s="87"/>
      <c r="C68" s="87"/>
      <c r="D68" s="87"/>
      <c r="E68" s="87"/>
      <c r="F68" s="132"/>
      <c r="G68" s="135"/>
      <c r="H68" s="135"/>
      <c r="I68" s="104"/>
      <c r="J68" s="99"/>
      <c r="K68" s="123"/>
      <c r="L68" s="89"/>
      <c r="M68" s="87"/>
      <c r="N68" s="87"/>
      <c r="O68" s="87"/>
      <c r="P68" s="87"/>
      <c r="Q68" s="87"/>
      <c r="R68" s="87"/>
    </row>
    <row r="69" spans="1:18" x14ac:dyDescent="0.35">
      <c r="A69" s="102" t="s">
        <v>448</v>
      </c>
      <c r="B69" s="88"/>
      <c r="C69" s="88"/>
      <c r="D69" s="88"/>
      <c r="E69" s="88"/>
      <c r="F69" s="133"/>
      <c r="G69" s="136"/>
      <c r="H69" s="136"/>
      <c r="I69" s="105"/>
      <c r="J69" s="114"/>
      <c r="K69" s="124"/>
      <c r="L69" s="90"/>
      <c r="M69" s="88"/>
      <c r="N69" s="88"/>
      <c r="O69" s="88"/>
      <c r="P69" s="88"/>
      <c r="Q69" s="88"/>
      <c r="R69" s="88"/>
    </row>
    <row r="70" spans="1:18" x14ac:dyDescent="0.35">
      <c r="A70" s="103" t="s">
        <v>449</v>
      </c>
      <c r="B70" s="88"/>
      <c r="C70" s="88"/>
      <c r="D70" s="88"/>
      <c r="E70" s="88"/>
      <c r="F70" s="133"/>
      <c r="G70" s="136"/>
      <c r="H70" s="136"/>
      <c r="I70" s="105"/>
      <c r="J70" s="115"/>
      <c r="K70" s="125"/>
      <c r="L70" s="90"/>
      <c r="M70" s="88"/>
      <c r="N70" s="88"/>
      <c r="O70" s="88"/>
      <c r="P70" s="88"/>
      <c r="Q70" s="88"/>
      <c r="R70" s="88"/>
    </row>
    <row r="71" spans="1:18" x14ac:dyDescent="0.35">
      <c r="G71"/>
      <c r="H71"/>
      <c r="J71" s="100"/>
      <c r="L71" s="28"/>
    </row>
    <row r="72" spans="1:18" s="34" customFormat="1" x14ac:dyDescent="0.35">
      <c r="A72" s="84">
        <v>12</v>
      </c>
      <c r="B72" s="553"/>
      <c r="C72" s="554"/>
      <c r="D72" s="121"/>
      <c r="E72" s="121"/>
      <c r="F72" s="122"/>
      <c r="G72" s="134"/>
      <c r="H72" s="134"/>
      <c r="I72" s="139" t="str">
        <f>IF(B72=0,"",IF(AND(G72=0,H72=0),365,IF(AND(G72&gt;0,H72=0),$C$6-G72+1,IF(AND(G72=0,H72&gt;0),H72-($C$6-365),H72-G72+1))))</f>
        <v/>
      </c>
      <c r="J72" s="98"/>
      <c r="K72" s="8">
        <f>SUM(K73:K75)</f>
        <v>0</v>
      </c>
      <c r="L72" s="91" t="str">
        <f>IF(K72&gt;0,K72/(F72*I72),"")</f>
        <v/>
      </c>
      <c r="M72" s="126"/>
      <c r="N72" s="85" t="str">
        <f>IFERROR(M72/K72,"")</f>
        <v/>
      </c>
      <c r="O72" s="126"/>
      <c r="P72" s="85" t="str">
        <f>IFERROR(O72/K72,"")</f>
        <v/>
      </c>
      <c r="Q72" s="86" t="str">
        <f>IF(M72=0,"",M72-O72)</f>
        <v/>
      </c>
      <c r="R72" s="85" t="str">
        <f>IFERROR(Q72/K72,"")</f>
        <v/>
      </c>
    </row>
    <row r="73" spans="1:18" x14ac:dyDescent="0.35">
      <c r="A73" s="101" t="s">
        <v>447</v>
      </c>
      <c r="B73" s="87"/>
      <c r="C73" s="87"/>
      <c r="D73" s="87"/>
      <c r="E73" s="87"/>
      <c r="F73" s="132"/>
      <c r="G73" s="135"/>
      <c r="H73" s="135"/>
      <c r="I73" s="104"/>
      <c r="J73" s="99"/>
      <c r="K73" s="123"/>
      <c r="L73" s="89"/>
      <c r="M73" s="87"/>
      <c r="N73" s="87"/>
      <c r="O73" s="87"/>
      <c r="P73" s="87"/>
      <c r="Q73" s="87"/>
      <c r="R73" s="87"/>
    </row>
    <row r="74" spans="1:18" x14ac:dyDescent="0.35">
      <c r="A74" s="102" t="s">
        <v>448</v>
      </c>
      <c r="B74" s="88"/>
      <c r="C74" s="88"/>
      <c r="D74" s="88"/>
      <c r="E74" s="88"/>
      <c r="F74" s="133"/>
      <c r="G74" s="136"/>
      <c r="H74" s="136"/>
      <c r="I74" s="105"/>
      <c r="J74" s="114"/>
      <c r="K74" s="124"/>
      <c r="L74" s="90"/>
      <c r="M74" s="88"/>
      <c r="N74" s="88"/>
      <c r="O74" s="88"/>
      <c r="P74" s="88"/>
      <c r="Q74" s="88"/>
      <c r="R74" s="88"/>
    </row>
    <row r="75" spans="1:18" x14ac:dyDescent="0.35">
      <c r="A75" s="103" t="s">
        <v>449</v>
      </c>
      <c r="B75" s="88"/>
      <c r="C75" s="88"/>
      <c r="D75" s="88"/>
      <c r="E75" s="88"/>
      <c r="F75" s="133"/>
      <c r="G75" s="136"/>
      <c r="H75" s="136"/>
      <c r="I75" s="105"/>
      <c r="J75" s="115"/>
      <c r="K75" s="125"/>
      <c r="L75" s="90"/>
      <c r="M75" s="88"/>
      <c r="N75" s="88"/>
      <c r="O75" s="88"/>
      <c r="P75" s="88"/>
      <c r="Q75" s="88"/>
      <c r="R75" s="88"/>
    </row>
    <row r="76" spans="1:18" x14ac:dyDescent="0.35">
      <c r="G76"/>
      <c r="H76"/>
      <c r="J76" s="100"/>
      <c r="L76" s="28"/>
    </row>
    <row r="77" spans="1:18" s="34" customFormat="1" x14ac:dyDescent="0.35">
      <c r="A77" s="84">
        <v>13</v>
      </c>
      <c r="B77" s="553"/>
      <c r="C77" s="554"/>
      <c r="D77" s="121"/>
      <c r="E77" s="121"/>
      <c r="F77" s="122"/>
      <c r="G77" s="134"/>
      <c r="H77" s="134"/>
      <c r="I77" s="139" t="str">
        <f>IF(B77=0,"",IF(AND(G77=0,H77=0),365,IF(AND(G77&gt;0,H77=0),$C$6-G77+1,IF(AND(G77=0,H77&gt;0),H77-($C$6-365),H77-G77+1))))</f>
        <v/>
      </c>
      <c r="J77" s="98"/>
      <c r="K77" s="8">
        <f>SUM(K78:K80)</f>
        <v>0</v>
      </c>
      <c r="L77" s="91" t="str">
        <f>IF(K77&gt;0,K77/(F77*I77),"")</f>
        <v/>
      </c>
      <c r="M77" s="126"/>
      <c r="N77" s="85" t="str">
        <f>IFERROR(M77/K77,"")</f>
        <v/>
      </c>
      <c r="O77" s="126"/>
      <c r="P77" s="85" t="str">
        <f>IFERROR(O77/K77,"")</f>
        <v/>
      </c>
      <c r="Q77" s="86" t="str">
        <f>IF(M77=0,"",M77-O77)</f>
        <v/>
      </c>
      <c r="R77" s="85" t="str">
        <f>IFERROR(Q77/K77,"")</f>
        <v/>
      </c>
    </row>
    <row r="78" spans="1:18" x14ac:dyDescent="0.35">
      <c r="A78" s="101" t="s">
        <v>447</v>
      </c>
      <c r="B78" s="87"/>
      <c r="C78" s="87"/>
      <c r="D78" s="87"/>
      <c r="E78" s="87"/>
      <c r="F78" s="132"/>
      <c r="G78" s="135"/>
      <c r="H78" s="135"/>
      <c r="I78" s="104"/>
      <c r="J78" s="99"/>
      <c r="K78" s="123"/>
      <c r="L78" s="89"/>
      <c r="M78" s="87"/>
      <c r="N78" s="87"/>
      <c r="O78" s="87"/>
      <c r="P78" s="87"/>
      <c r="Q78" s="87"/>
      <c r="R78" s="87"/>
    </row>
    <row r="79" spans="1:18" x14ac:dyDescent="0.35">
      <c r="A79" s="102" t="s">
        <v>448</v>
      </c>
      <c r="B79" s="88"/>
      <c r="C79" s="88"/>
      <c r="D79" s="88"/>
      <c r="E79" s="88"/>
      <c r="F79" s="133"/>
      <c r="G79" s="136"/>
      <c r="H79" s="136"/>
      <c r="I79" s="105"/>
      <c r="J79" s="114"/>
      <c r="K79" s="124"/>
      <c r="L79" s="90"/>
      <c r="M79" s="88"/>
      <c r="N79" s="88"/>
      <c r="O79" s="88"/>
      <c r="P79" s="88"/>
      <c r="Q79" s="88"/>
      <c r="R79" s="88"/>
    </row>
    <row r="80" spans="1:18" x14ac:dyDescent="0.35">
      <c r="A80" s="103" t="s">
        <v>449</v>
      </c>
      <c r="B80" s="88"/>
      <c r="C80" s="88"/>
      <c r="D80" s="88"/>
      <c r="E80" s="88"/>
      <c r="F80" s="133"/>
      <c r="G80" s="136"/>
      <c r="H80" s="136"/>
      <c r="I80" s="105"/>
      <c r="J80" s="115"/>
      <c r="K80" s="125"/>
      <c r="L80" s="90"/>
      <c r="M80" s="88"/>
      <c r="N80" s="88"/>
      <c r="O80" s="88"/>
      <c r="P80" s="88"/>
      <c r="Q80" s="88"/>
      <c r="R80" s="88"/>
    </row>
    <row r="81" spans="1:18" x14ac:dyDescent="0.35">
      <c r="G81"/>
      <c r="H81"/>
      <c r="J81" s="100"/>
      <c r="L81" s="28"/>
    </row>
    <row r="82" spans="1:18" s="34" customFormat="1" x14ac:dyDescent="0.35">
      <c r="A82" s="84">
        <v>14</v>
      </c>
      <c r="B82" s="553"/>
      <c r="C82" s="554"/>
      <c r="D82" s="121"/>
      <c r="E82" s="121"/>
      <c r="F82" s="122"/>
      <c r="G82" s="134"/>
      <c r="H82" s="134"/>
      <c r="I82" s="139" t="str">
        <f>IF(B82=0,"",IF(AND(G82=0,H82=0),365,IF(AND(G82&gt;0,H82=0),$C$6-G82+1,IF(AND(G82=0,H82&gt;0),H82-($C$6-365),H82-G82+1))))</f>
        <v/>
      </c>
      <c r="J82" s="98"/>
      <c r="K82" s="8">
        <f>SUM(K83:K85)</f>
        <v>0</v>
      </c>
      <c r="L82" s="91" t="str">
        <f>IF(K82&gt;0,K82/(F82*I82),"")</f>
        <v/>
      </c>
      <c r="M82" s="126"/>
      <c r="N82" s="85" t="str">
        <f>IFERROR(M82/K82,"")</f>
        <v/>
      </c>
      <c r="O82" s="126"/>
      <c r="P82" s="85" t="str">
        <f>IFERROR(O82/K82,"")</f>
        <v/>
      </c>
      <c r="Q82" s="86" t="str">
        <f>IF(M82=0,"",M82-O82)</f>
        <v/>
      </c>
      <c r="R82" s="85" t="str">
        <f>IFERROR(Q82/K82,"")</f>
        <v/>
      </c>
    </row>
    <row r="83" spans="1:18" x14ac:dyDescent="0.35">
      <c r="A83" s="101" t="s">
        <v>447</v>
      </c>
      <c r="B83" s="87"/>
      <c r="C83" s="87"/>
      <c r="D83" s="87"/>
      <c r="E83" s="87"/>
      <c r="F83" s="132"/>
      <c r="G83" s="135"/>
      <c r="H83" s="135"/>
      <c r="I83" s="104"/>
      <c r="J83" s="99"/>
      <c r="K83" s="123"/>
      <c r="L83" s="89"/>
      <c r="M83" s="87"/>
      <c r="N83" s="87"/>
      <c r="O83" s="87"/>
      <c r="P83" s="87"/>
      <c r="Q83" s="87"/>
      <c r="R83" s="87"/>
    </row>
    <row r="84" spans="1:18" x14ac:dyDescent="0.35">
      <c r="A84" s="102" t="s">
        <v>448</v>
      </c>
      <c r="B84" s="88"/>
      <c r="C84" s="88"/>
      <c r="D84" s="88"/>
      <c r="E84" s="88"/>
      <c r="F84" s="133"/>
      <c r="G84" s="136"/>
      <c r="H84" s="136"/>
      <c r="I84" s="105"/>
      <c r="J84" s="114"/>
      <c r="K84" s="124"/>
      <c r="L84" s="90"/>
      <c r="M84" s="88"/>
      <c r="N84" s="88"/>
      <c r="O84" s="88"/>
      <c r="P84" s="88"/>
      <c r="Q84" s="88"/>
      <c r="R84" s="88"/>
    </row>
    <row r="85" spans="1:18" x14ac:dyDescent="0.35">
      <c r="A85" s="103" t="s">
        <v>449</v>
      </c>
      <c r="B85" s="88"/>
      <c r="C85" s="88"/>
      <c r="D85" s="88"/>
      <c r="E85" s="88"/>
      <c r="F85" s="133"/>
      <c r="G85" s="136"/>
      <c r="H85" s="136"/>
      <c r="I85" s="105"/>
      <c r="J85" s="115"/>
      <c r="K85" s="125"/>
      <c r="L85" s="90"/>
      <c r="M85" s="88"/>
      <c r="N85" s="88"/>
      <c r="O85" s="88"/>
      <c r="P85" s="88"/>
      <c r="Q85" s="88"/>
      <c r="R85" s="88"/>
    </row>
    <row r="86" spans="1:18" x14ac:dyDescent="0.35">
      <c r="G86"/>
      <c r="H86"/>
      <c r="J86" s="100"/>
      <c r="L86" s="28"/>
    </row>
    <row r="87" spans="1:18" s="34" customFormat="1" x14ac:dyDescent="0.35">
      <c r="A87" s="84">
        <v>15</v>
      </c>
      <c r="B87" s="553"/>
      <c r="C87" s="554"/>
      <c r="D87" s="121"/>
      <c r="E87" s="121"/>
      <c r="F87" s="122"/>
      <c r="G87" s="134"/>
      <c r="H87" s="134"/>
      <c r="I87" s="139" t="str">
        <f>IF(B87=0,"",IF(AND(G87=0,H87=0),365,IF(AND(G87&gt;0,H87=0),$C$6-G87+1,IF(AND(G87=0,H87&gt;0),H87-($C$6-365),H87-G87+1))))</f>
        <v/>
      </c>
      <c r="J87" s="98"/>
      <c r="K87" s="8">
        <f>SUM(K88:K90)</f>
        <v>0</v>
      </c>
      <c r="L87" s="91" t="str">
        <f>IF(K87&gt;0,K87/(F87*I87),"")</f>
        <v/>
      </c>
      <c r="M87" s="126"/>
      <c r="N87" s="85" t="str">
        <f>IFERROR(M87/K87,"")</f>
        <v/>
      </c>
      <c r="O87" s="126"/>
      <c r="P87" s="85" t="str">
        <f>IFERROR(O87/K87,"")</f>
        <v/>
      </c>
      <c r="Q87" s="86" t="str">
        <f>IF(M87=0,"",M87-O87)</f>
        <v/>
      </c>
      <c r="R87" s="85" t="str">
        <f>IFERROR(Q87/K87,"")</f>
        <v/>
      </c>
    </row>
    <row r="88" spans="1:18" x14ac:dyDescent="0.35">
      <c r="A88" s="101" t="s">
        <v>447</v>
      </c>
      <c r="B88" s="87"/>
      <c r="C88" s="87"/>
      <c r="D88" s="87"/>
      <c r="E88" s="87"/>
      <c r="F88" s="132"/>
      <c r="G88" s="135"/>
      <c r="H88" s="135"/>
      <c r="I88" s="104"/>
      <c r="J88" s="99"/>
      <c r="K88" s="123"/>
      <c r="L88" s="89"/>
      <c r="M88" s="87"/>
      <c r="N88" s="87"/>
      <c r="O88" s="87"/>
      <c r="P88" s="87"/>
      <c r="Q88" s="87"/>
      <c r="R88" s="87"/>
    </row>
    <row r="89" spans="1:18" x14ac:dyDescent="0.35">
      <c r="A89" s="102" t="s">
        <v>448</v>
      </c>
      <c r="B89" s="88"/>
      <c r="C89" s="88"/>
      <c r="D89" s="88"/>
      <c r="E89" s="88"/>
      <c r="F89" s="133"/>
      <c r="G89" s="136"/>
      <c r="H89" s="136"/>
      <c r="I89" s="105"/>
      <c r="J89" s="114"/>
      <c r="K89" s="124"/>
      <c r="L89" s="90"/>
      <c r="M89" s="88"/>
      <c r="N89" s="88"/>
      <c r="O89" s="88"/>
      <c r="P89" s="88"/>
      <c r="Q89" s="88"/>
      <c r="R89" s="88"/>
    </row>
    <row r="90" spans="1:18" x14ac:dyDescent="0.35">
      <c r="A90" s="103" t="s">
        <v>449</v>
      </c>
      <c r="B90" s="88"/>
      <c r="C90" s="88"/>
      <c r="D90" s="88"/>
      <c r="E90" s="88"/>
      <c r="F90" s="133"/>
      <c r="G90" s="136"/>
      <c r="H90" s="136"/>
      <c r="I90" s="105"/>
      <c r="J90" s="115"/>
      <c r="K90" s="125"/>
      <c r="L90" s="90"/>
      <c r="M90" s="88"/>
      <c r="N90" s="88"/>
      <c r="O90" s="88"/>
      <c r="P90" s="88"/>
      <c r="Q90" s="88"/>
      <c r="R90" s="88"/>
    </row>
    <row r="91" spans="1:18" x14ac:dyDescent="0.35">
      <c r="G91"/>
      <c r="H91"/>
      <c r="J91" s="100"/>
      <c r="L91" s="28"/>
    </row>
    <row r="92" spans="1:18" s="34" customFormat="1" x14ac:dyDescent="0.35">
      <c r="A92" s="84">
        <v>16</v>
      </c>
      <c r="B92" s="553"/>
      <c r="C92" s="554"/>
      <c r="D92" s="121"/>
      <c r="E92" s="121"/>
      <c r="F92" s="122"/>
      <c r="G92" s="134"/>
      <c r="H92" s="134"/>
      <c r="I92" s="139" t="str">
        <f>IF(B92=0,"",IF(AND(G92=0,H92=0),365,IF(AND(G92&gt;0,H92=0),$C$6-G92+1,IF(AND(G92=0,H92&gt;0),H92-($C$6-365),H92-G92+1))))</f>
        <v/>
      </c>
      <c r="J92" s="98"/>
      <c r="K92" s="8">
        <f>SUM(K93:K95)</f>
        <v>0</v>
      </c>
      <c r="L92" s="91" t="str">
        <f>IF(K92&gt;0,K92/(F92*I92),"")</f>
        <v/>
      </c>
      <c r="M92" s="126"/>
      <c r="N92" s="85" t="str">
        <f>IFERROR(M92/K92,"")</f>
        <v/>
      </c>
      <c r="O92" s="126"/>
      <c r="P92" s="85" t="str">
        <f>IFERROR(O92/K92,"")</f>
        <v/>
      </c>
      <c r="Q92" s="86" t="str">
        <f>IF(M92=0,"",M92-O92)</f>
        <v/>
      </c>
      <c r="R92" s="85" t="str">
        <f>IFERROR(Q92/K92,"")</f>
        <v/>
      </c>
    </row>
    <row r="93" spans="1:18" x14ac:dyDescent="0.35">
      <c r="A93" s="101" t="s">
        <v>447</v>
      </c>
      <c r="B93" s="87"/>
      <c r="C93" s="87"/>
      <c r="D93" s="87"/>
      <c r="E93" s="87"/>
      <c r="F93" s="132"/>
      <c r="G93" s="135"/>
      <c r="H93" s="135"/>
      <c r="I93" s="104"/>
      <c r="J93" s="99"/>
      <c r="K93" s="123"/>
      <c r="L93" s="89"/>
      <c r="M93" s="87"/>
      <c r="N93" s="87"/>
      <c r="O93" s="87"/>
      <c r="P93" s="87"/>
      <c r="Q93" s="87"/>
      <c r="R93" s="87"/>
    </row>
    <row r="94" spans="1:18" x14ac:dyDescent="0.35">
      <c r="A94" s="102" t="s">
        <v>448</v>
      </c>
      <c r="B94" s="88"/>
      <c r="C94" s="88"/>
      <c r="D94" s="88"/>
      <c r="E94" s="88"/>
      <c r="F94" s="133"/>
      <c r="G94" s="136"/>
      <c r="H94" s="136"/>
      <c r="I94" s="105"/>
      <c r="J94" s="114"/>
      <c r="K94" s="124"/>
      <c r="L94" s="90"/>
      <c r="M94" s="88"/>
      <c r="N94" s="88"/>
      <c r="O94" s="88"/>
      <c r="P94" s="88"/>
      <c r="Q94" s="88"/>
      <c r="R94" s="88"/>
    </row>
    <row r="95" spans="1:18" x14ac:dyDescent="0.35">
      <c r="A95" s="103" t="s">
        <v>449</v>
      </c>
      <c r="B95" s="88"/>
      <c r="C95" s="88"/>
      <c r="D95" s="88"/>
      <c r="E95" s="88"/>
      <c r="F95" s="133"/>
      <c r="G95" s="136"/>
      <c r="H95" s="136"/>
      <c r="I95" s="105"/>
      <c r="J95" s="115"/>
      <c r="K95" s="125"/>
      <c r="L95" s="90"/>
      <c r="M95" s="88"/>
      <c r="N95" s="88"/>
      <c r="O95" s="88"/>
      <c r="P95" s="88"/>
      <c r="Q95" s="88"/>
      <c r="R95" s="88"/>
    </row>
    <row r="96" spans="1:18" x14ac:dyDescent="0.35">
      <c r="G96"/>
      <c r="H96"/>
      <c r="J96" s="100"/>
      <c r="L96" s="28"/>
    </row>
    <row r="97" spans="1:18" s="34" customFormat="1" x14ac:dyDescent="0.35">
      <c r="A97" s="84">
        <v>17</v>
      </c>
      <c r="B97" s="553"/>
      <c r="C97" s="554"/>
      <c r="D97" s="121"/>
      <c r="E97" s="121"/>
      <c r="F97" s="122"/>
      <c r="G97" s="134"/>
      <c r="H97" s="134"/>
      <c r="I97" s="139" t="str">
        <f>IF(B97=0,"",IF(AND(G97=0,H97=0),365,IF(AND(G97&gt;0,H97=0),$C$6-G97+1,IF(AND(G97=0,H97&gt;0),H97-($C$6-365),H97-G97+1))))</f>
        <v/>
      </c>
      <c r="J97" s="98"/>
      <c r="K97" s="8">
        <f>SUM(K98:K100)</f>
        <v>0</v>
      </c>
      <c r="L97" s="91" t="str">
        <f>IF(K97&gt;0,K97/(F97*I97),"")</f>
        <v/>
      </c>
      <c r="M97" s="126"/>
      <c r="N97" s="85" t="str">
        <f>IFERROR(M97/K97,"")</f>
        <v/>
      </c>
      <c r="O97" s="126"/>
      <c r="P97" s="85" t="str">
        <f>IFERROR(O97/K97,"")</f>
        <v/>
      </c>
      <c r="Q97" s="86" t="str">
        <f>IF(M97=0,"",M97-O97)</f>
        <v/>
      </c>
      <c r="R97" s="85" t="str">
        <f>IFERROR(Q97/K97,"")</f>
        <v/>
      </c>
    </row>
    <row r="98" spans="1:18" x14ac:dyDescent="0.35">
      <c r="A98" s="101" t="s">
        <v>447</v>
      </c>
      <c r="B98" s="87"/>
      <c r="C98" s="87"/>
      <c r="D98" s="87"/>
      <c r="E98" s="87"/>
      <c r="F98" s="132"/>
      <c r="G98" s="135"/>
      <c r="H98" s="135"/>
      <c r="I98" s="104"/>
      <c r="J98" s="99"/>
      <c r="K98" s="123"/>
      <c r="L98" s="89"/>
      <c r="M98" s="87"/>
      <c r="N98" s="87"/>
      <c r="O98" s="87"/>
      <c r="P98" s="87"/>
      <c r="Q98" s="87"/>
      <c r="R98" s="87"/>
    </row>
    <row r="99" spans="1:18" x14ac:dyDescent="0.35">
      <c r="A99" s="102" t="s">
        <v>448</v>
      </c>
      <c r="B99" s="88"/>
      <c r="C99" s="88"/>
      <c r="D99" s="88"/>
      <c r="E99" s="88"/>
      <c r="F99" s="133"/>
      <c r="G99" s="136"/>
      <c r="H99" s="136"/>
      <c r="I99" s="105"/>
      <c r="J99" s="114"/>
      <c r="K99" s="124"/>
      <c r="L99" s="90"/>
      <c r="M99" s="88"/>
      <c r="N99" s="88"/>
      <c r="O99" s="88"/>
      <c r="P99" s="88"/>
      <c r="Q99" s="88"/>
      <c r="R99" s="88"/>
    </row>
    <row r="100" spans="1:18" x14ac:dyDescent="0.35">
      <c r="A100" s="103" t="s">
        <v>449</v>
      </c>
      <c r="B100" s="88"/>
      <c r="C100" s="88"/>
      <c r="D100" s="88"/>
      <c r="E100" s="88"/>
      <c r="F100" s="133"/>
      <c r="G100" s="136"/>
      <c r="H100" s="136"/>
      <c r="I100" s="105"/>
      <c r="J100" s="115"/>
      <c r="K100" s="125"/>
      <c r="L100" s="90"/>
      <c r="M100" s="88"/>
      <c r="N100" s="88"/>
      <c r="O100" s="88"/>
      <c r="P100" s="88"/>
      <c r="Q100" s="88"/>
      <c r="R100" s="88"/>
    </row>
    <row r="101" spans="1:18" x14ac:dyDescent="0.35">
      <c r="G101"/>
      <c r="H101"/>
      <c r="J101" s="100"/>
      <c r="L101" s="28"/>
    </row>
    <row r="102" spans="1:18" s="34" customFormat="1" x14ac:dyDescent="0.35">
      <c r="A102" s="84">
        <v>18</v>
      </c>
      <c r="B102" s="553"/>
      <c r="C102" s="554"/>
      <c r="D102" s="121"/>
      <c r="E102" s="121"/>
      <c r="F102" s="122"/>
      <c r="G102" s="134"/>
      <c r="H102" s="134"/>
      <c r="I102" s="139" t="str">
        <f>IF(B102=0,"",IF(AND(G102=0,H102=0),365,IF(AND(G102&gt;0,H102=0),$C$6-G102+1,IF(AND(G102=0,H102&gt;0),H102-($C$6-365),H102-G102+1))))</f>
        <v/>
      </c>
      <c r="J102" s="98"/>
      <c r="K102" s="8">
        <f>SUM(K103:K105)</f>
        <v>0</v>
      </c>
      <c r="L102" s="91" t="str">
        <f>IF(K102&gt;0,K102/(F102*I102),"")</f>
        <v/>
      </c>
      <c r="M102" s="126"/>
      <c r="N102" s="85" t="str">
        <f>IFERROR(M102/K102,"")</f>
        <v/>
      </c>
      <c r="O102" s="126"/>
      <c r="P102" s="85" t="str">
        <f>IFERROR(O102/K102,"")</f>
        <v/>
      </c>
      <c r="Q102" s="86" t="str">
        <f>IF(M102=0,"",M102-O102)</f>
        <v/>
      </c>
      <c r="R102" s="85" t="str">
        <f>IFERROR(Q102/K102,"")</f>
        <v/>
      </c>
    </row>
    <row r="103" spans="1:18" x14ac:dyDescent="0.35">
      <c r="A103" s="101" t="s">
        <v>447</v>
      </c>
      <c r="B103" s="87"/>
      <c r="C103" s="87"/>
      <c r="D103" s="87"/>
      <c r="E103" s="87"/>
      <c r="F103" s="132"/>
      <c r="G103" s="135"/>
      <c r="H103" s="135"/>
      <c r="I103" s="104"/>
      <c r="J103" s="99"/>
      <c r="K103" s="123"/>
      <c r="L103" s="89"/>
      <c r="M103" s="87"/>
      <c r="N103" s="87"/>
      <c r="O103" s="87"/>
      <c r="P103" s="87"/>
      <c r="Q103" s="87"/>
      <c r="R103" s="87"/>
    </row>
    <row r="104" spans="1:18" x14ac:dyDescent="0.35">
      <c r="A104" s="102" t="s">
        <v>448</v>
      </c>
      <c r="B104" s="88"/>
      <c r="C104" s="88"/>
      <c r="D104" s="88"/>
      <c r="E104" s="88"/>
      <c r="F104" s="133"/>
      <c r="G104" s="136"/>
      <c r="H104" s="136"/>
      <c r="I104" s="105"/>
      <c r="J104" s="114"/>
      <c r="K104" s="124"/>
      <c r="L104" s="90"/>
      <c r="M104" s="88"/>
      <c r="N104" s="88"/>
      <c r="O104" s="88"/>
      <c r="P104" s="88"/>
      <c r="Q104" s="88"/>
      <c r="R104" s="88"/>
    </row>
    <row r="105" spans="1:18" x14ac:dyDescent="0.35">
      <c r="A105" s="103" t="s">
        <v>449</v>
      </c>
      <c r="B105" s="88"/>
      <c r="C105" s="88"/>
      <c r="D105" s="88"/>
      <c r="E105" s="88"/>
      <c r="F105" s="133"/>
      <c r="G105" s="136"/>
      <c r="H105" s="136"/>
      <c r="I105" s="105"/>
      <c r="J105" s="115"/>
      <c r="K105" s="125"/>
      <c r="L105" s="90"/>
      <c r="M105" s="88"/>
      <c r="N105" s="88"/>
      <c r="O105" s="88"/>
      <c r="P105" s="88"/>
      <c r="Q105" s="88"/>
      <c r="R105" s="88"/>
    </row>
    <row r="106" spans="1:18" x14ac:dyDescent="0.35">
      <c r="G106"/>
      <c r="H106"/>
      <c r="J106" s="100"/>
      <c r="L106" s="28"/>
    </row>
    <row r="107" spans="1:18" s="34" customFormat="1" x14ac:dyDescent="0.35">
      <c r="A107" s="84">
        <v>19</v>
      </c>
      <c r="B107" s="553"/>
      <c r="C107" s="554"/>
      <c r="D107" s="121"/>
      <c r="E107" s="121"/>
      <c r="F107" s="122"/>
      <c r="G107" s="134"/>
      <c r="H107" s="134"/>
      <c r="I107" s="139" t="str">
        <f>IF(B107=0,"",IF(AND(G107=0,H107=0),365,IF(AND(G107&gt;0,H107=0),$C$6-G107+1,IF(AND(G107=0,H107&gt;0),H107-($C$6-365),H107-G107+1))))</f>
        <v/>
      </c>
      <c r="J107" s="98"/>
      <c r="K107" s="8">
        <f>SUM(K108:K110)</f>
        <v>0</v>
      </c>
      <c r="L107" s="91" t="str">
        <f>IF(K107&gt;0,K107/(F107*I107),"")</f>
        <v/>
      </c>
      <c r="M107" s="126"/>
      <c r="N107" s="85" t="str">
        <f>IFERROR(M107/K107,"")</f>
        <v/>
      </c>
      <c r="O107" s="126"/>
      <c r="P107" s="85" t="str">
        <f>IFERROR(O107/K107,"")</f>
        <v/>
      </c>
      <c r="Q107" s="86" t="str">
        <f>IF(M107=0,"",M107-O107)</f>
        <v/>
      </c>
      <c r="R107" s="85" t="str">
        <f>IFERROR(Q107/K107,"")</f>
        <v/>
      </c>
    </row>
    <row r="108" spans="1:18" x14ac:dyDescent="0.35">
      <c r="A108" s="101" t="s">
        <v>447</v>
      </c>
      <c r="B108" s="87"/>
      <c r="C108" s="87"/>
      <c r="D108" s="87"/>
      <c r="E108" s="87"/>
      <c r="F108" s="132"/>
      <c r="G108" s="135"/>
      <c r="H108" s="135"/>
      <c r="I108" s="104"/>
      <c r="J108" s="99"/>
      <c r="K108" s="123"/>
      <c r="L108" s="89"/>
      <c r="M108" s="87"/>
      <c r="N108" s="87"/>
      <c r="O108" s="87"/>
      <c r="P108" s="87"/>
      <c r="Q108" s="87"/>
      <c r="R108" s="87"/>
    </row>
    <row r="109" spans="1:18" x14ac:dyDescent="0.35">
      <c r="A109" s="102" t="s">
        <v>448</v>
      </c>
      <c r="B109" s="88"/>
      <c r="C109" s="88"/>
      <c r="D109" s="88"/>
      <c r="E109" s="88"/>
      <c r="F109" s="133"/>
      <c r="G109" s="136"/>
      <c r="H109" s="136"/>
      <c r="I109" s="105"/>
      <c r="J109" s="114"/>
      <c r="K109" s="124"/>
      <c r="L109" s="90"/>
      <c r="M109" s="88"/>
      <c r="N109" s="88"/>
      <c r="O109" s="88"/>
      <c r="P109" s="88"/>
      <c r="Q109" s="88"/>
      <c r="R109" s="88"/>
    </row>
    <row r="110" spans="1:18" x14ac:dyDescent="0.35">
      <c r="A110" s="103" t="s">
        <v>449</v>
      </c>
      <c r="B110" s="88"/>
      <c r="C110" s="88"/>
      <c r="D110" s="88"/>
      <c r="E110" s="88"/>
      <c r="F110" s="133"/>
      <c r="G110" s="136"/>
      <c r="H110" s="136"/>
      <c r="I110" s="105"/>
      <c r="J110" s="115"/>
      <c r="K110" s="125"/>
      <c r="L110" s="90"/>
      <c r="M110" s="88"/>
      <c r="N110" s="88"/>
      <c r="O110" s="88"/>
      <c r="P110" s="88"/>
      <c r="Q110" s="88"/>
      <c r="R110" s="88"/>
    </row>
    <row r="111" spans="1:18" x14ac:dyDescent="0.35">
      <c r="G111"/>
      <c r="H111"/>
      <c r="J111" s="100"/>
      <c r="L111" s="28"/>
    </row>
    <row r="112" spans="1:18" s="34" customFormat="1" x14ac:dyDescent="0.35">
      <c r="A112" s="84">
        <v>20</v>
      </c>
      <c r="B112" s="553"/>
      <c r="C112" s="554"/>
      <c r="D112" s="121"/>
      <c r="E112" s="121"/>
      <c r="F112" s="122"/>
      <c r="G112" s="134"/>
      <c r="H112" s="134"/>
      <c r="I112" s="139" t="str">
        <f>IF(B112=0,"",IF(AND(G112=0,H112=0),365,IF(AND(G112&gt;0,H112=0),$C$6-G112+1,IF(AND(G112=0,H112&gt;0),H112-($C$6-365),H112-G112+1))))</f>
        <v/>
      </c>
      <c r="J112" s="98"/>
      <c r="K112" s="8">
        <f>SUM(K113:K115)</f>
        <v>0</v>
      </c>
      <c r="L112" s="91" t="str">
        <f>IF(K112&gt;0,K112/(F112*I112),"")</f>
        <v/>
      </c>
      <c r="M112" s="126"/>
      <c r="N112" s="85" t="str">
        <f>IFERROR(M112/K112,"")</f>
        <v/>
      </c>
      <c r="O112" s="126"/>
      <c r="P112" s="85" t="str">
        <f>IFERROR(O112/K112,"")</f>
        <v/>
      </c>
      <c r="Q112" s="86" t="str">
        <f>IF(M112=0,"",M112-O112)</f>
        <v/>
      </c>
      <c r="R112" s="85" t="str">
        <f>IFERROR(Q112/K112,"")</f>
        <v/>
      </c>
    </row>
    <row r="113" spans="1:18" x14ac:dyDescent="0.35">
      <c r="A113" s="101" t="s">
        <v>447</v>
      </c>
      <c r="B113" s="87"/>
      <c r="C113" s="87"/>
      <c r="D113" s="87"/>
      <c r="E113" s="87"/>
      <c r="F113" s="132"/>
      <c r="G113" s="135"/>
      <c r="H113" s="135"/>
      <c r="I113" s="104"/>
      <c r="J113" s="99"/>
      <c r="K113" s="123"/>
      <c r="L113" s="89"/>
      <c r="M113" s="87"/>
      <c r="N113" s="87"/>
      <c r="O113" s="87"/>
      <c r="P113" s="87"/>
      <c r="Q113" s="87"/>
      <c r="R113" s="87"/>
    </row>
    <row r="114" spans="1:18" x14ac:dyDescent="0.35">
      <c r="A114" s="102" t="s">
        <v>448</v>
      </c>
      <c r="B114" s="88"/>
      <c r="C114" s="88"/>
      <c r="D114" s="88"/>
      <c r="E114" s="88"/>
      <c r="F114" s="133"/>
      <c r="G114" s="136"/>
      <c r="H114" s="136"/>
      <c r="I114" s="105"/>
      <c r="J114" s="114"/>
      <c r="K114" s="124"/>
      <c r="L114" s="90"/>
      <c r="M114" s="88"/>
      <c r="N114" s="88"/>
      <c r="O114" s="88"/>
      <c r="P114" s="88"/>
      <c r="Q114" s="88"/>
      <c r="R114" s="88"/>
    </row>
    <row r="115" spans="1:18" x14ac:dyDescent="0.35">
      <c r="A115" s="103" t="s">
        <v>449</v>
      </c>
      <c r="B115" s="88"/>
      <c r="C115" s="88"/>
      <c r="D115" s="88"/>
      <c r="E115" s="88"/>
      <c r="F115" s="133"/>
      <c r="G115" s="136"/>
      <c r="H115" s="136"/>
      <c r="I115" s="105"/>
      <c r="J115" s="115"/>
      <c r="K115" s="125"/>
      <c r="L115" s="90"/>
      <c r="M115" s="88"/>
      <c r="N115" s="88"/>
      <c r="O115" s="88"/>
      <c r="P115" s="88"/>
      <c r="Q115" s="88"/>
      <c r="R115" s="88"/>
    </row>
    <row r="116" spans="1:18" x14ac:dyDescent="0.35">
      <c r="G116"/>
      <c r="H116"/>
      <c r="J116" s="100"/>
      <c r="L116" s="28"/>
    </row>
    <row r="117" spans="1:18" s="34" customFormat="1" x14ac:dyDescent="0.35">
      <c r="A117" s="84">
        <v>21</v>
      </c>
      <c r="B117" s="553"/>
      <c r="C117" s="554"/>
      <c r="D117" s="121"/>
      <c r="E117" s="121"/>
      <c r="F117" s="122"/>
      <c r="G117" s="134"/>
      <c r="H117" s="134"/>
      <c r="I117" s="139" t="str">
        <f>IF(B117=0,"",IF(AND(G117=0,H117=0),365,IF(AND(G117&gt;0,H117=0),$C$6-G117+1,IF(AND(G117=0,H117&gt;0),H117-($C$6-365),H117-G117+1))))</f>
        <v/>
      </c>
      <c r="J117" s="98"/>
      <c r="K117" s="8">
        <f>SUM(K118:K120)</f>
        <v>0</v>
      </c>
      <c r="L117" s="91" t="str">
        <f>IF(K117&gt;0,K117/(F117*I117),"")</f>
        <v/>
      </c>
      <c r="M117" s="126"/>
      <c r="N117" s="85" t="str">
        <f>IFERROR(M117/K117,"")</f>
        <v/>
      </c>
      <c r="O117" s="126"/>
      <c r="P117" s="85" t="str">
        <f>IFERROR(O117/K117,"")</f>
        <v/>
      </c>
      <c r="Q117" s="86" t="str">
        <f>IF(M117=0,"",M117-O117)</f>
        <v/>
      </c>
      <c r="R117" s="85" t="str">
        <f>IFERROR(Q117/K117,"")</f>
        <v/>
      </c>
    </row>
    <row r="118" spans="1:18" x14ac:dyDescent="0.35">
      <c r="A118" s="101" t="s">
        <v>447</v>
      </c>
      <c r="B118" s="87"/>
      <c r="C118" s="87"/>
      <c r="D118" s="87"/>
      <c r="E118" s="87"/>
      <c r="F118" s="132"/>
      <c r="G118" s="135"/>
      <c r="H118" s="135"/>
      <c r="I118" s="104"/>
      <c r="J118" s="99"/>
      <c r="K118" s="123"/>
      <c r="L118" s="89"/>
      <c r="M118" s="87"/>
      <c r="N118" s="87"/>
      <c r="O118" s="87"/>
      <c r="P118" s="87"/>
      <c r="Q118" s="87"/>
      <c r="R118" s="87"/>
    </row>
    <row r="119" spans="1:18" x14ac:dyDescent="0.35">
      <c r="A119" s="102" t="s">
        <v>448</v>
      </c>
      <c r="B119" s="88"/>
      <c r="C119" s="88"/>
      <c r="D119" s="88"/>
      <c r="E119" s="88"/>
      <c r="F119" s="133"/>
      <c r="G119" s="136"/>
      <c r="H119" s="136"/>
      <c r="I119" s="105"/>
      <c r="J119" s="114"/>
      <c r="K119" s="124"/>
      <c r="L119" s="90"/>
      <c r="M119" s="88"/>
      <c r="N119" s="88"/>
      <c r="O119" s="88"/>
      <c r="P119" s="88"/>
      <c r="Q119" s="88"/>
      <c r="R119" s="88"/>
    </row>
    <row r="120" spans="1:18" x14ac:dyDescent="0.35">
      <c r="A120" s="103" t="s">
        <v>449</v>
      </c>
      <c r="B120" s="88"/>
      <c r="C120" s="88"/>
      <c r="D120" s="88"/>
      <c r="E120" s="88"/>
      <c r="F120" s="133"/>
      <c r="G120" s="136"/>
      <c r="H120" s="136"/>
      <c r="I120" s="105"/>
      <c r="J120" s="115"/>
      <c r="K120" s="125"/>
      <c r="L120" s="90"/>
      <c r="M120" s="88"/>
      <c r="N120" s="88"/>
      <c r="O120" s="88"/>
      <c r="P120" s="88"/>
      <c r="Q120" s="88"/>
      <c r="R120" s="88"/>
    </row>
    <row r="121" spans="1:18" x14ac:dyDescent="0.35">
      <c r="G121"/>
      <c r="H121"/>
      <c r="J121" s="100"/>
      <c r="L121" s="28"/>
    </row>
    <row r="122" spans="1:18" s="34" customFormat="1" x14ac:dyDescent="0.35">
      <c r="A122" s="84">
        <v>22</v>
      </c>
      <c r="B122" s="553"/>
      <c r="C122" s="554"/>
      <c r="D122" s="121"/>
      <c r="E122" s="121"/>
      <c r="F122" s="122"/>
      <c r="G122" s="134"/>
      <c r="H122" s="134"/>
      <c r="I122" s="139" t="str">
        <f>IF(B122=0,"",IF(AND(G122=0,H122=0),365,IF(AND(G122&gt;0,H122=0),$C$6-G122+1,IF(AND(G122=0,H122&gt;0),H122-($C$6-365),H122-G122+1))))</f>
        <v/>
      </c>
      <c r="J122" s="98"/>
      <c r="K122" s="8">
        <f>SUM(K123:K125)</f>
        <v>0</v>
      </c>
      <c r="L122" s="91" t="str">
        <f>IF(K122&gt;0,K122/(F122*I122),"")</f>
        <v/>
      </c>
      <c r="M122" s="126"/>
      <c r="N122" s="85" t="str">
        <f>IFERROR(M122/K122,"")</f>
        <v/>
      </c>
      <c r="O122" s="126"/>
      <c r="P122" s="85" t="str">
        <f>IFERROR(O122/K122,"")</f>
        <v/>
      </c>
      <c r="Q122" s="86" t="str">
        <f>IF(M122=0,"",M122-O122)</f>
        <v/>
      </c>
      <c r="R122" s="85" t="str">
        <f>IFERROR(Q122/K122,"")</f>
        <v/>
      </c>
    </row>
    <row r="123" spans="1:18" x14ac:dyDescent="0.35">
      <c r="A123" s="101" t="s">
        <v>447</v>
      </c>
      <c r="B123" s="87"/>
      <c r="C123" s="87"/>
      <c r="D123" s="87"/>
      <c r="E123" s="87"/>
      <c r="F123" s="132"/>
      <c r="G123" s="135"/>
      <c r="H123" s="135"/>
      <c r="I123" s="104"/>
      <c r="J123" s="99"/>
      <c r="K123" s="123"/>
      <c r="L123" s="89"/>
      <c r="M123" s="87"/>
      <c r="N123" s="87"/>
      <c r="O123" s="87"/>
      <c r="P123" s="87"/>
      <c r="Q123" s="87"/>
      <c r="R123" s="87"/>
    </row>
    <row r="124" spans="1:18" x14ac:dyDescent="0.35">
      <c r="A124" s="102" t="s">
        <v>448</v>
      </c>
      <c r="B124" s="88"/>
      <c r="C124" s="88"/>
      <c r="D124" s="88"/>
      <c r="E124" s="88"/>
      <c r="F124" s="133"/>
      <c r="G124" s="136"/>
      <c r="H124" s="136"/>
      <c r="I124" s="105"/>
      <c r="J124" s="114"/>
      <c r="K124" s="124"/>
      <c r="L124" s="90"/>
      <c r="M124" s="88"/>
      <c r="N124" s="88"/>
      <c r="O124" s="88"/>
      <c r="P124" s="88"/>
      <c r="Q124" s="88"/>
      <c r="R124" s="88"/>
    </row>
    <row r="125" spans="1:18" x14ac:dyDescent="0.35">
      <c r="A125" s="103" t="s">
        <v>449</v>
      </c>
      <c r="B125" s="88"/>
      <c r="C125" s="88"/>
      <c r="D125" s="88"/>
      <c r="E125" s="88"/>
      <c r="F125" s="133"/>
      <c r="G125" s="136"/>
      <c r="H125" s="136"/>
      <c r="I125" s="105"/>
      <c r="J125" s="115"/>
      <c r="K125" s="125"/>
      <c r="L125" s="90"/>
      <c r="M125" s="88"/>
      <c r="N125" s="88"/>
      <c r="O125" s="88"/>
      <c r="P125" s="88"/>
      <c r="Q125" s="88"/>
      <c r="R125" s="88"/>
    </row>
    <row r="126" spans="1:18" x14ac:dyDescent="0.35">
      <c r="J126" s="100"/>
      <c r="L126" s="28"/>
    </row>
    <row r="127" spans="1:18" s="34" customFormat="1" x14ac:dyDescent="0.35">
      <c r="A127" s="84">
        <v>23</v>
      </c>
      <c r="B127" s="553"/>
      <c r="C127" s="554"/>
      <c r="D127" s="121"/>
      <c r="E127" s="121"/>
      <c r="F127" s="122"/>
      <c r="G127" s="134"/>
      <c r="H127" s="134"/>
      <c r="I127" s="139" t="str">
        <f>IF(B127=0,"",IF(AND(G127=0,H127=0),365,IF(AND(G127&gt;0,H127=0),$C$6-G127+1,IF(AND(G127=0,H127&gt;0),H127-($C$6-365),H127-G127+1))))</f>
        <v/>
      </c>
      <c r="J127" s="98"/>
      <c r="K127" s="8">
        <f>SUM(K128:K130)</f>
        <v>0</v>
      </c>
      <c r="L127" s="91" t="str">
        <f>IF(K127&gt;0,K127/(F127*I127),"")</f>
        <v/>
      </c>
      <c r="M127" s="126"/>
      <c r="N127" s="85" t="str">
        <f>IFERROR(M127/K127,"")</f>
        <v/>
      </c>
      <c r="O127" s="126"/>
      <c r="P127" s="85" t="str">
        <f>IFERROR(O127/K127,"")</f>
        <v/>
      </c>
      <c r="Q127" s="86" t="str">
        <f>IF(M127=0,"",M127-O127)</f>
        <v/>
      </c>
      <c r="R127" s="85" t="str">
        <f>IFERROR(Q127/K127,"")</f>
        <v/>
      </c>
    </row>
    <row r="128" spans="1:18" x14ac:dyDescent="0.35">
      <c r="A128" s="101" t="s">
        <v>447</v>
      </c>
      <c r="B128" s="87"/>
      <c r="C128" s="87"/>
      <c r="D128" s="87"/>
      <c r="E128" s="87"/>
      <c r="F128" s="132"/>
      <c r="G128" s="135"/>
      <c r="H128" s="135"/>
      <c r="I128" s="104"/>
      <c r="J128" s="99"/>
      <c r="K128" s="123"/>
      <c r="L128" s="89"/>
      <c r="M128" s="87"/>
      <c r="N128" s="87"/>
      <c r="O128" s="87"/>
      <c r="P128" s="87"/>
      <c r="Q128" s="87"/>
      <c r="R128" s="87"/>
    </row>
    <row r="129" spans="1:18" x14ac:dyDescent="0.35">
      <c r="A129" s="102" t="s">
        <v>448</v>
      </c>
      <c r="B129" s="88"/>
      <c r="C129" s="88"/>
      <c r="D129" s="88"/>
      <c r="E129" s="88"/>
      <c r="F129" s="133"/>
      <c r="G129" s="136"/>
      <c r="H129" s="136"/>
      <c r="I129" s="105"/>
      <c r="J129" s="114"/>
      <c r="K129" s="124"/>
      <c r="L129" s="90"/>
      <c r="M129" s="88"/>
      <c r="N129" s="88"/>
      <c r="O129" s="88"/>
      <c r="P129" s="88"/>
      <c r="Q129" s="88"/>
      <c r="R129" s="88"/>
    </row>
    <row r="130" spans="1:18" x14ac:dyDescent="0.35">
      <c r="A130" s="103" t="s">
        <v>449</v>
      </c>
      <c r="B130" s="88"/>
      <c r="C130" s="88"/>
      <c r="D130" s="88"/>
      <c r="E130" s="88"/>
      <c r="F130" s="133"/>
      <c r="G130" s="136"/>
      <c r="H130" s="136"/>
      <c r="I130" s="105"/>
      <c r="J130" s="115"/>
      <c r="K130" s="125"/>
      <c r="L130" s="90"/>
      <c r="M130" s="88"/>
      <c r="N130" s="88"/>
      <c r="O130" s="88"/>
      <c r="P130" s="88"/>
      <c r="Q130" s="88"/>
      <c r="R130" s="88"/>
    </row>
    <row r="131" spans="1:18" x14ac:dyDescent="0.35">
      <c r="J131" s="100"/>
      <c r="L131" s="28"/>
    </row>
    <row r="132" spans="1:18" s="34" customFormat="1" x14ac:dyDescent="0.35">
      <c r="A132" s="84">
        <v>24</v>
      </c>
      <c r="B132" s="553"/>
      <c r="C132" s="554"/>
      <c r="D132" s="121"/>
      <c r="E132" s="121"/>
      <c r="F132" s="122"/>
      <c r="G132" s="134"/>
      <c r="H132" s="134"/>
      <c r="I132" s="139" t="str">
        <f>IF(B132=0,"",IF(AND(G132=0,H132=0),365,IF(AND(G132&gt;0,H132=0),$C$6-G132+1,IF(AND(G132=0,H132&gt;0),H132-($C$6-365),H132-G132+1))))</f>
        <v/>
      </c>
      <c r="J132" s="98"/>
      <c r="K132" s="8">
        <f>SUM(K133:K135)</f>
        <v>0</v>
      </c>
      <c r="L132" s="91" t="str">
        <f>IF(K132&gt;0,K132/(F132*I132),"")</f>
        <v/>
      </c>
      <c r="M132" s="126"/>
      <c r="N132" s="85" t="str">
        <f>IFERROR(M132/K132,"")</f>
        <v/>
      </c>
      <c r="O132" s="126"/>
      <c r="P132" s="85" t="str">
        <f>IFERROR(O132/K132,"")</f>
        <v/>
      </c>
      <c r="Q132" s="86" t="str">
        <f>IF(M132=0,"",M132-O132)</f>
        <v/>
      </c>
      <c r="R132" s="85" t="str">
        <f>IFERROR(Q132/K132,"")</f>
        <v/>
      </c>
    </row>
    <row r="133" spans="1:18" x14ac:dyDescent="0.35">
      <c r="A133" s="101" t="s">
        <v>447</v>
      </c>
      <c r="B133" s="87"/>
      <c r="C133" s="87"/>
      <c r="D133" s="87"/>
      <c r="E133" s="87"/>
      <c r="F133" s="132"/>
      <c r="G133" s="135"/>
      <c r="H133" s="135"/>
      <c r="I133" s="104"/>
      <c r="J133" s="99"/>
      <c r="K133" s="123"/>
      <c r="L133" s="89"/>
      <c r="M133" s="87"/>
      <c r="N133" s="87"/>
      <c r="O133" s="87"/>
      <c r="P133" s="87"/>
      <c r="Q133" s="87"/>
      <c r="R133" s="87"/>
    </row>
    <row r="134" spans="1:18" x14ac:dyDescent="0.35">
      <c r="A134" s="102" t="s">
        <v>448</v>
      </c>
      <c r="B134" s="88"/>
      <c r="C134" s="88"/>
      <c r="D134" s="88"/>
      <c r="E134" s="88"/>
      <c r="F134" s="133"/>
      <c r="G134" s="136"/>
      <c r="H134" s="136"/>
      <c r="I134" s="105"/>
      <c r="J134" s="114"/>
      <c r="K134" s="124"/>
      <c r="L134" s="90"/>
      <c r="M134" s="88"/>
      <c r="N134" s="88"/>
      <c r="O134" s="88"/>
      <c r="P134" s="88"/>
      <c r="Q134" s="88"/>
      <c r="R134" s="88"/>
    </row>
    <row r="135" spans="1:18" x14ac:dyDescent="0.35">
      <c r="A135" s="103" t="s">
        <v>449</v>
      </c>
      <c r="B135" s="88"/>
      <c r="C135" s="88"/>
      <c r="D135" s="88"/>
      <c r="E135" s="88"/>
      <c r="F135" s="133"/>
      <c r="G135" s="136"/>
      <c r="H135" s="136"/>
      <c r="I135" s="105"/>
      <c r="J135" s="115"/>
      <c r="K135" s="125"/>
      <c r="L135" s="90"/>
      <c r="M135" s="88"/>
      <c r="N135" s="88"/>
      <c r="O135" s="88"/>
      <c r="P135" s="88"/>
      <c r="Q135" s="88"/>
      <c r="R135" s="88"/>
    </row>
    <row r="136" spans="1:18" x14ac:dyDescent="0.35">
      <c r="J136" s="100"/>
      <c r="L136" s="28"/>
    </row>
    <row r="137" spans="1:18" s="34" customFormat="1" x14ac:dyDescent="0.35">
      <c r="A137" s="84">
        <v>25</v>
      </c>
      <c r="B137" s="553"/>
      <c r="C137" s="554"/>
      <c r="D137" s="121"/>
      <c r="E137" s="121"/>
      <c r="F137" s="122"/>
      <c r="G137" s="134"/>
      <c r="H137" s="134"/>
      <c r="I137" s="139" t="str">
        <f>IF(B137=0,"",IF(AND(G137=0,H137=0),365,IF(AND(G137&gt;0,H137=0),$C$6-G137+1,IF(AND(G137=0,H137&gt;0),H137-($C$6-365),H137-G137+1))))</f>
        <v/>
      </c>
      <c r="J137" s="98"/>
      <c r="K137" s="8">
        <f>SUM(K138:K140)</f>
        <v>0</v>
      </c>
      <c r="L137" s="91" t="str">
        <f>IF(K137&gt;0,K137/(F137*I137),"")</f>
        <v/>
      </c>
      <c r="M137" s="126"/>
      <c r="N137" s="85" t="str">
        <f>IFERROR(M137/K137,"")</f>
        <v/>
      </c>
      <c r="O137" s="126"/>
      <c r="P137" s="85" t="str">
        <f>IFERROR(O137/K137,"")</f>
        <v/>
      </c>
      <c r="Q137" s="86" t="str">
        <f>IF(M137=0,"",M137-O137)</f>
        <v/>
      </c>
      <c r="R137" s="85" t="str">
        <f>IFERROR(Q137/K137,"")</f>
        <v/>
      </c>
    </row>
    <row r="138" spans="1:18" x14ac:dyDescent="0.35">
      <c r="A138" s="101" t="s">
        <v>447</v>
      </c>
      <c r="B138" s="87"/>
      <c r="C138" s="87"/>
      <c r="D138" s="87"/>
      <c r="E138" s="87"/>
      <c r="F138" s="132"/>
      <c r="G138" s="135"/>
      <c r="H138" s="135"/>
      <c r="I138" s="104"/>
      <c r="J138" s="99"/>
      <c r="K138" s="123"/>
      <c r="L138" s="89"/>
      <c r="M138" s="87"/>
      <c r="N138" s="87"/>
      <c r="O138" s="87"/>
      <c r="P138" s="87"/>
      <c r="Q138" s="87"/>
      <c r="R138" s="87"/>
    </row>
    <row r="139" spans="1:18" x14ac:dyDescent="0.35">
      <c r="A139" s="102" t="s">
        <v>448</v>
      </c>
      <c r="B139" s="88"/>
      <c r="C139" s="88"/>
      <c r="D139" s="88"/>
      <c r="E139" s="88"/>
      <c r="F139" s="133"/>
      <c r="G139" s="136"/>
      <c r="H139" s="136"/>
      <c r="I139" s="105"/>
      <c r="J139" s="114"/>
      <c r="K139" s="124"/>
      <c r="L139" s="90"/>
      <c r="M139" s="88"/>
      <c r="N139" s="88"/>
      <c r="O139" s="88"/>
      <c r="P139" s="88"/>
      <c r="Q139" s="88"/>
      <c r="R139" s="88"/>
    </row>
    <row r="140" spans="1:18" x14ac:dyDescent="0.35">
      <c r="A140" s="103" t="s">
        <v>449</v>
      </c>
      <c r="B140" s="88"/>
      <c r="C140" s="88"/>
      <c r="D140" s="88"/>
      <c r="E140" s="88"/>
      <c r="F140" s="133"/>
      <c r="G140" s="136"/>
      <c r="H140" s="136"/>
      <c r="I140" s="105"/>
      <c r="J140" s="115"/>
      <c r="K140" s="125"/>
      <c r="L140" s="90"/>
      <c r="M140" s="88"/>
      <c r="N140" s="88"/>
      <c r="O140" s="88"/>
      <c r="P140" s="88"/>
      <c r="Q140" s="88"/>
      <c r="R140" s="88"/>
    </row>
    <row r="141" spans="1:18" x14ac:dyDescent="0.35">
      <c r="J141" s="100"/>
      <c r="L141" s="28"/>
    </row>
    <row r="142" spans="1:18" s="34" customFormat="1" x14ac:dyDescent="0.35">
      <c r="A142" s="84">
        <v>26</v>
      </c>
      <c r="B142" s="553"/>
      <c r="C142" s="554"/>
      <c r="D142" s="121"/>
      <c r="E142" s="121"/>
      <c r="F142" s="122"/>
      <c r="G142" s="134"/>
      <c r="H142" s="134"/>
      <c r="I142" s="139" t="str">
        <f>IF(B142=0,"",IF(AND(G142=0,H142=0),365,IF(AND(G142&gt;0,H142=0),$C$6-G142+1,IF(AND(G142=0,H142&gt;0),H142-($C$6-365),H142-G142+1))))</f>
        <v/>
      </c>
      <c r="J142" s="98"/>
      <c r="K142" s="8">
        <f>SUM(K143:K145)</f>
        <v>0</v>
      </c>
      <c r="L142" s="91" t="str">
        <f>IF(K142&gt;0,K142/(F142*I142),"")</f>
        <v/>
      </c>
      <c r="M142" s="126"/>
      <c r="N142" s="85" t="str">
        <f>IFERROR(M142/K142,"")</f>
        <v/>
      </c>
      <c r="O142" s="126"/>
      <c r="P142" s="85" t="str">
        <f>IFERROR(O142/K142,"")</f>
        <v/>
      </c>
      <c r="Q142" s="86" t="str">
        <f>IF(M142=0,"",M142-O142)</f>
        <v/>
      </c>
      <c r="R142" s="85" t="str">
        <f>IFERROR(Q142/K142,"")</f>
        <v/>
      </c>
    </row>
    <row r="143" spans="1:18" x14ac:dyDescent="0.35">
      <c r="A143" s="101" t="s">
        <v>447</v>
      </c>
      <c r="B143" s="87"/>
      <c r="C143" s="87"/>
      <c r="D143" s="87"/>
      <c r="E143" s="87"/>
      <c r="F143" s="132"/>
      <c r="G143" s="135"/>
      <c r="H143" s="135"/>
      <c r="I143" s="104"/>
      <c r="J143" s="99"/>
      <c r="K143" s="123"/>
      <c r="L143" s="89"/>
      <c r="M143" s="87"/>
      <c r="N143" s="87"/>
      <c r="O143" s="87"/>
      <c r="P143" s="87"/>
      <c r="Q143" s="87"/>
      <c r="R143" s="87"/>
    </row>
    <row r="144" spans="1:18" x14ac:dyDescent="0.35">
      <c r="A144" s="102" t="s">
        <v>448</v>
      </c>
      <c r="B144" s="88"/>
      <c r="C144" s="88"/>
      <c r="D144" s="88"/>
      <c r="E144" s="88"/>
      <c r="F144" s="133"/>
      <c r="G144" s="136"/>
      <c r="H144" s="136"/>
      <c r="I144" s="105"/>
      <c r="J144" s="114"/>
      <c r="K144" s="124"/>
      <c r="L144" s="90"/>
      <c r="M144" s="88"/>
      <c r="N144" s="88"/>
      <c r="O144" s="88"/>
      <c r="P144" s="88"/>
      <c r="Q144" s="88"/>
      <c r="R144" s="88"/>
    </row>
    <row r="145" spans="1:18" x14ac:dyDescent="0.35">
      <c r="A145" s="103" t="s">
        <v>449</v>
      </c>
      <c r="B145" s="88"/>
      <c r="C145" s="88"/>
      <c r="D145" s="88"/>
      <c r="E145" s="88"/>
      <c r="F145" s="133"/>
      <c r="G145" s="136"/>
      <c r="H145" s="136"/>
      <c r="I145" s="105"/>
      <c r="J145" s="115"/>
      <c r="K145" s="125"/>
      <c r="L145" s="90"/>
      <c r="M145" s="88"/>
      <c r="N145" s="88"/>
      <c r="O145" s="88"/>
      <c r="P145" s="88"/>
      <c r="Q145" s="88"/>
      <c r="R145" s="88"/>
    </row>
    <row r="146" spans="1:18" x14ac:dyDescent="0.35">
      <c r="J146" s="100"/>
      <c r="L146" s="28"/>
    </row>
    <row r="147" spans="1:18" s="34" customFormat="1" x14ac:dyDescent="0.35">
      <c r="A147" s="84">
        <v>27</v>
      </c>
      <c r="B147" s="553"/>
      <c r="C147" s="554"/>
      <c r="D147" s="121"/>
      <c r="E147" s="121"/>
      <c r="F147" s="122"/>
      <c r="G147" s="134"/>
      <c r="H147" s="134"/>
      <c r="I147" s="139" t="str">
        <f>IF(B147=0,"",IF(AND(G147=0,H147=0),365,IF(AND(G147&gt;0,H147=0),$C$6-G147+1,IF(AND(G147=0,H147&gt;0),H147-($C$6-365),H147-G147+1))))</f>
        <v/>
      </c>
      <c r="J147" s="98"/>
      <c r="K147" s="8">
        <f>SUM(K148:K150)</f>
        <v>0</v>
      </c>
      <c r="L147" s="91" t="str">
        <f>IF(K147&gt;0,K147/(F147*I147),"")</f>
        <v/>
      </c>
      <c r="M147" s="126"/>
      <c r="N147" s="85" t="str">
        <f>IFERROR(M147/K147,"")</f>
        <v/>
      </c>
      <c r="O147" s="126"/>
      <c r="P147" s="85" t="str">
        <f>IFERROR(O147/K147,"")</f>
        <v/>
      </c>
      <c r="Q147" s="86" t="str">
        <f>IF(M147=0,"",M147-O147)</f>
        <v/>
      </c>
      <c r="R147" s="85" t="str">
        <f>IFERROR(Q147/K147,"")</f>
        <v/>
      </c>
    </row>
    <row r="148" spans="1:18" x14ac:dyDescent="0.35">
      <c r="A148" s="101" t="s">
        <v>447</v>
      </c>
      <c r="B148" s="87"/>
      <c r="C148" s="87"/>
      <c r="D148" s="87"/>
      <c r="E148" s="87"/>
      <c r="F148" s="132"/>
      <c r="G148" s="135"/>
      <c r="H148" s="135"/>
      <c r="I148" s="104"/>
      <c r="J148" s="99"/>
      <c r="K148" s="123"/>
      <c r="L148" s="89"/>
      <c r="M148" s="87"/>
      <c r="N148" s="87"/>
      <c r="O148" s="87"/>
      <c r="P148" s="87"/>
      <c r="Q148" s="87"/>
      <c r="R148" s="87"/>
    </row>
    <row r="149" spans="1:18" x14ac:dyDescent="0.35">
      <c r="A149" s="102" t="s">
        <v>448</v>
      </c>
      <c r="B149" s="88"/>
      <c r="C149" s="88"/>
      <c r="D149" s="88"/>
      <c r="E149" s="88"/>
      <c r="F149" s="133"/>
      <c r="G149" s="136"/>
      <c r="H149" s="136"/>
      <c r="I149" s="105"/>
      <c r="J149" s="114"/>
      <c r="K149" s="124"/>
      <c r="L149" s="90"/>
      <c r="M149" s="88"/>
      <c r="N149" s="88"/>
      <c r="O149" s="88"/>
      <c r="P149" s="88"/>
      <c r="Q149" s="88"/>
      <c r="R149" s="88"/>
    </row>
    <row r="150" spans="1:18" x14ac:dyDescent="0.35">
      <c r="A150" s="103" t="s">
        <v>449</v>
      </c>
      <c r="B150" s="88"/>
      <c r="C150" s="88"/>
      <c r="D150" s="88"/>
      <c r="E150" s="88"/>
      <c r="F150" s="133"/>
      <c r="G150" s="136"/>
      <c r="H150" s="136"/>
      <c r="I150" s="105"/>
      <c r="J150" s="115"/>
      <c r="K150" s="125"/>
      <c r="L150" s="90"/>
      <c r="M150" s="88"/>
      <c r="N150" s="88"/>
      <c r="O150" s="88"/>
      <c r="P150" s="88"/>
      <c r="Q150" s="88"/>
      <c r="R150" s="88"/>
    </row>
    <row r="151" spans="1:18" x14ac:dyDescent="0.35">
      <c r="J151" s="100"/>
      <c r="L151" s="28"/>
    </row>
    <row r="152" spans="1:18" s="34" customFormat="1" x14ac:dyDescent="0.35">
      <c r="A152" s="84">
        <v>28</v>
      </c>
      <c r="B152" s="553"/>
      <c r="C152" s="554"/>
      <c r="D152" s="121"/>
      <c r="E152" s="121"/>
      <c r="F152" s="122"/>
      <c r="G152" s="134"/>
      <c r="H152" s="134"/>
      <c r="I152" s="139" t="str">
        <f>IF(B152=0,"",IF(AND(G152=0,H152=0),365,IF(AND(G152&gt;0,H152=0),$C$6-G152+1,IF(AND(G152=0,H152&gt;0),H152-($C$6-365),H152-G152+1))))</f>
        <v/>
      </c>
      <c r="J152" s="98"/>
      <c r="K152" s="8">
        <f>SUM(K153:K155)</f>
        <v>0</v>
      </c>
      <c r="L152" s="91" t="str">
        <f>IF(K152&gt;0,K152/(F152*I152),"")</f>
        <v/>
      </c>
      <c r="M152" s="126"/>
      <c r="N152" s="85" t="str">
        <f>IFERROR(M152/K152,"")</f>
        <v/>
      </c>
      <c r="O152" s="126"/>
      <c r="P152" s="85" t="str">
        <f>IFERROR(O152/K152,"")</f>
        <v/>
      </c>
      <c r="Q152" s="86" t="str">
        <f>IF(M152=0,"",M152-O152)</f>
        <v/>
      </c>
      <c r="R152" s="85" t="str">
        <f>IFERROR(Q152/K152,"")</f>
        <v/>
      </c>
    </row>
    <row r="153" spans="1:18" x14ac:dyDescent="0.35">
      <c r="A153" s="101" t="s">
        <v>447</v>
      </c>
      <c r="B153" s="87"/>
      <c r="C153" s="87"/>
      <c r="D153" s="87"/>
      <c r="E153" s="87"/>
      <c r="F153" s="132"/>
      <c r="G153" s="135"/>
      <c r="H153" s="135"/>
      <c r="I153" s="104"/>
      <c r="J153" s="99"/>
      <c r="K153" s="123"/>
      <c r="L153" s="89"/>
      <c r="M153" s="87"/>
      <c r="N153" s="87"/>
      <c r="O153" s="87"/>
      <c r="P153" s="87"/>
      <c r="Q153" s="87"/>
      <c r="R153" s="87"/>
    </row>
    <row r="154" spans="1:18" x14ac:dyDescent="0.35">
      <c r="A154" s="102" t="s">
        <v>448</v>
      </c>
      <c r="B154" s="88"/>
      <c r="C154" s="88"/>
      <c r="D154" s="88"/>
      <c r="E154" s="88"/>
      <c r="F154" s="133"/>
      <c r="G154" s="136"/>
      <c r="H154" s="136"/>
      <c r="I154" s="105"/>
      <c r="J154" s="114"/>
      <c r="K154" s="124"/>
      <c r="L154" s="90"/>
      <c r="M154" s="88"/>
      <c r="N154" s="88"/>
      <c r="O154" s="88"/>
      <c r="P154" s="88"/>
      <c r="Q154" s="88"/>
      <c r="R154" s="88"/>
    </row>
    <row r="155" spans="1:18" x14ac:dyDescent="0.35">
      <c r="A155" s="103" t="s">
        <v>449</v>
      </c>
      <c r="B155" s="88"/>
      <c r="C155" s="88"/>
      <c r="D155" s="88"/>
      <c r="E155" s="88"/>
      <c r="F155" s="133"/>
      <c r="G155" s="136"/>
      <c r="H155" s="136"/>
      <c r="I155" s="105"/>
      <c r="J155" s="115"/>
      <c r="K155" s="125"/>
      <c r="L155" s="90"/>
      <c r="M155" s="88"/>
      <c r="N155" s="88"/>
      <c r="O155" s="88"/>
      <c r="P155" s="88"/>
      <c r="Q155" s="88"/>
      <c r="R155" s="88"/>
    </row>
    <row r="156" spans="1:18" x14ac:dyDescent="0.35">
      <c r="J156" s="100"/>
      <c r="L156" s="28"/>
    </row>
    <row r="157" spans="1:18" s="34" customFormat="1" x14ac:dyDescent="0.35">
      <c r="A157" s="84">
        <v>29</v>
      </c>
      <c r="B157" s="553"/>
      <c r="C157" s="554"/>
      <c r="D157" s="121"/>
      <c r="E157" s="121"/>
      <c r="F157" s="122"/>
      <c r="G157" s="134"/>
      <c r="H157" s="134"/>
      <c r="I157" s="139" t="str">
        <f>IF(B157=0,"",IF(AND(G157=0,H157=0),365,IF(AND(G157&gt;0,H157=0),$C$6-G157+1,IF(AND(G157=0,H157&gt;0),H157-($C$6-365),H157-G157+1))))</f>
        <v/>
      </c>
      <c r="J157" s="98"/>
      <c r="K157" s="8">
        <f>SUM(K158:K160)</f>
        <v>0</v>
      </c>
      <c r="L157" s="91" t="str">
        <f>IF(K157&gt;0,K157/(F157*I157),"")</f>
        <v/>
      </c>
      <c r="M157" s="126"/>
      <c r="N157" s="85" t="str">
        <f>IFERROR(M157/K157,"")</f>
        <v/>
      </c>
      <c r="O157" s="126"/>
      <c r="P157" s="85" t="str">
        <f>IFERROR(O157/K157,"")</f>
        <v/>
      </c>
      <c r="Q157" s="86" t="str">
        <f>IF(M157=0,"",M157-O157)</f>
        <v/>
      </c>
      <c r="R157" s="85" t="str">
        <f>IFERROR(Q157/K157,"")</f>
        <v/>
      </c>
    </row>
    <row r="158" spans="1:18" x14ac:dyDescent="0.35">
      <c r="A158" s="101" t="s">
        <v>447</v>
      </c>
      <c r="B158" s="87"/>
      <c r="C158" s="87"/>
      <c r="D158" s="87"/>
      <c r="E158" s="87"/>
      <c r="F158" s="132"/>
      <c r="G158" s="135"/>
      <c r="H158" s="135"/>
      <c r="I158" s="104"/>
      <c r="J158" s="99"/>
      <c r="K158" s="123"/>
      <c r="L158" s="89"/>
      <c r="M158" s="87"/>
      <c r="N158" s="87"/>
      <c r="O158" s="87"/>
      <c r="P158" s="87"/>
      <c r="Q158" s="87"/>
      <c r="R158" s="87"/>
    </row>
    <row r="159" spans="1:18" x14ac:dyDescent="0.35">
      <c r="A159" s="102" t="s">
        <v>448</v>
      </c>
      <c r="B159" s="88"/>
      <c r="C159" s="88"/>
      <c r="D159" s="88"/>
      <c r="E159" s="88"/>
      <c r="F159" s="133"/>
      <c r="G159" s="136"/>
      <c r="H159" s="136"/>
      <c r="I159" s="105"/>
      <c r="J159" s="114"/>
      <c r="K159" s="124"/>
      <c r="L159" s="90"/>
      <c r="M159" s="88"/>
      <c r="N159" s="88"/>
      <c r="O159" s="88"/>
      <c r="P159" s="88"/>
      <c r="Q159" s="88"/>
      <c r="R159" s="88"/>
    </row>
    <row r="160" spans="1:18" x14ac:dyDescent="0.35">
      <c r="A160" s="103" t="s">
        <v>449</v>
      </c>
      <c r="B160" s="88"/>
      <c r="C160" s="88"/>
      <c r="D160" s="88"/>
      <c r="E160" s="88"/>
      <c r="F160" s="133"/>
      <c r="G160" s="136"/>
      <c r="H160" s="136"/>
      <c r="I160" s="105"/>
      <c r="J160" s="115"/>
      <c r="K160" s="125"/>
      <c r="L160" s="90"/>
      <c r="M160" s="88"/>
      <c r="N160" s="88"/>
      <c r="O160" s="88"/>
      <c r="P160" s="88"/>
      <c r="Q160" s="88"/>
      <c r="R160" s="88"/>
    </row>
    <row r="161" spans="1:18" x14ac:dyDescent="0.35">
      <c r="J161" s="100"/>
      <c r="L161" s="28"/>
    </row>
    <row r="162" spans="1:18" s="34" customFormat="1" x14ac:dyDescent="0.35">
      <c r="A162" s="84">
        <v>30</v>
      </c>
      <c r="B162" s="553"/>
      <c r="C162" s="554"/>
      <c r="D162" s="121"/>
      <c r="E162" s="121"/>
      <c r="F162" s="122"/>
      <c r="G162" s="134"/>
      <c r="H162" s="134"/>
      <c r="I162" s="139" t="str">
        <f>IF(B162=0,"",IF(AND(G162=0,H162=0),365,IF(AND(G162&gt;0,H162=0),$C$6-G162+1,IF(AND(G162=0,H162&gt;0),H162-($C$6-365),H162-G162+1))))</f>
        <v/>
      </c>
      <c r="J162" s="98"/>
      <c r="K162" s="8">
        <f>SUM(K163:K165)</f>
        <v>0</v>
      </c>
      <c r="L162" s="91" t="str">
        <f>IF(K162&gt;0,K162/(F162*I162),"")</f>
        <v/>
      </c>
      <c r="M162" s="126"/>
      <c r="N162" s="85" t="str">
        <f>IFERROR(M162/K162,"")</f>
        <v/>
      </c>
      <c r="O162" s="126"/>
      <c r="P162" s="85" t="str">
        <f>IFERROR(O162/K162,"")</f>
        <v/>
      </c>
      <c r="Q162" s="86" t="str">
        <f>IF(M162=0,"",M162-O162)</f>
        <v/>
      </c>
      <c r="R162" s="85" t="str">
        <f>IFERROR(Q162/K162,"")</f>
        <v/>
      </c>
    </row>
    <row r="163" spans="1:18" x14ac:dyDescent="0.35">
      <c r="A163" s="101" t="s">
        <v>447</v>
      </c>
      <c r="B163" s="87"/>
      <c r="C163" s="87"/>
      <c r="D163" s="87"/>
      <c r="E163" s="87"/>
      <c r="F163" s="132"/>
      <c r="G163" s="135"/>
      <c r="H163" s="135"/>
      <c r="I163" s="104"/>
      <c r="J163" s="99"/>
      <c r="K163" s="123"/>
      <c r="L163" s="89"/>
      <c r="M163" s="87"/>
      <c r="N163" s="87"/>
      <c r="O163" s="87"/>
      <c r="P163" s="87"/>
      <c r="Q163" s="87"/>
      <c r="R163" s="87"/>
    </row>
    <row r="164" spans="1:18" x14ac:dyDescent="0.35">
      <c r="A164" s="102" t="s">
        <v>448</v>
      </c>
      <c r="B164" s="88"/>
      <c r="C164" s="88"/>
      <c r="D164" s="88"/>
      <c r="E164" s="88"/>
      <c r="F164" s="133"/>
      <c r="G164" s="136"/>
      <c r="H164" s="136"/>
      <c r="I164" s="105"/>
      <c r="J164" s="114"/>
      <c r="K164" s="124"/>
      <c r="L164" s="90"/>
      <c r="M164" s="88"/>
      <c r="N164" s="88"/>
      <c r="O164" s="88"/>
      <c r="P164" s="88"/>
      <c r="Q164" s="88"/>
      <c r="R164" s="88"/>
    </row>
    <row r="165" spans="1:18" x14ac:dyDescent="0.35">
      <c r="A165" s="103" t="s">
        <v>449</v>
      </c>
      <c r="B165" s="88"/>
      <c r="C165" s="88"/>
      <c r="D165" s="88"/>
      <c r="E165" s="88"/>
      <c r="F165" s="133"/>
      <c r="G165" s="136"/>
      <c r="H165" s="136"/>
      <c r="I165" s="105"/>
      <c r="J165" s="115"/>
      <c r="K165" s="125"/>
      <c r="L165" s="90"/>
      <c r="M165" s="88"/>
      <c r="N165" s="88"/>
      <c r="O165" s="88"/>
      <c r="P165" s="88"/>
      <c r="Q165" s="88"/>
      <c r="R165" s="88"/>
    </row>
    <row r="166" spans="1:18" x14ac:dyDescent="0.35">
      <c r="J166" s="100"/>
      <c r="L166" s="28"/>
    </row>
    <row r="167" spans="1:18" x14ac:dyDescent="0.35">
      <c r="A167" s="19">
        <v>31</v>
      </c>
      <c r="B167" s="523" t="s">
        <v>173</v>
      </c>
      <c r="C167" s="523"/>
      <c r="D167" s="523"/>
      <c r="E167" s="523"/>
      <c r="F167" s="27">
        <f>F162+F157+F152+F147+F142+F137+F132+F127+F122+F117+F112+F107+F102+F97+F92+F87+F82+F77+F72+F67+F62+F57+F52+F47+F42+F37+F32+F27+F22+F17</f>
        <v>16</v>
      </c>
      <c r="G167" s="32"/>
      <c r="H167" s="32"/>
      <c r="I167" s="32"/>
      <c r="J167" s="32"/>
      <c r="K167" s="27">
        <f>K162+K157+K152+K147+K142+K137+K132+K127+K122+K117+K112+K107+K102+K97+K92+K87+K82+K77+K72+K67+K62+K57+K52+K47+K42+K37+K32+K27+K22+K17</f>
        <v>1986</v>
      </c>
      <c r="L167" s="29">
        <f>IF(K167&gt;0,K167/(F167*365),"")</f>
        <v>0.34006849315068494</v>
      </c>
      <c r="M167" s="27">
        <f>M162+M157+M152+M147+M142+M137+M132+M127+M122+M117+M112+M107+M102+M97+M92+M87+M82+M77+M72+M67+M62+M57+M52+M47+M42+M37+M32+M27+M22+M17</f>
        <v>3659366.5359400609</v>
      </c>
      <c r="N167" s="17">
        <f t="shared" ref="N167" si="0">IFERROR(M167/K167,"")</f>
        <v>1842.5813373313499</v>
      </c>
      <c r="O167" s="27">
        <f>O162+O157+O152+O147+O142+O137+O132+O127+O122+O117+O112+O107+O102+O97+O92+O87+O82+O77+O72+O67+O62+O57+O52+O47+O42+O37+O32+O27+O22+O17</f>
        <v>134370.53375429299</v>
      </c>
      <c r="P167" s="17">
        <f t="shared" ref="P167" si="1">IFERROR(O167/K167,"")</f>
        <v>67.658879030359003</v>
      </c>
      <c r="Q167" s="30">
        <f t="shared" ref="Q167" si="2">IF(M167=0,"",M167-O167)</f>
        <v>3524996.002185768</v>
      </c>
      <c r="R167" s="17">
        <f t="shared" ref="R167" si="3">IFERROR(Q167/K167,"")</f>
        <v>1774.9224583009909</v>
      </c>
    </row>
    <row r="169" spans="1:18" x14ac:dyDescent="0.35">
      <c r="A169" s="19">
        <v>32</v>
      </c>
      <c r="L169" s="37" t="s">
        <v>199</v>
      </c>
      <c r="M169" s="39">
        <f>'As-Filed Schedule 1'!G91</f>
        <v>2863995.9134879922</v>
      </c>
    </row>
    <row r="170" spans="1:18" x14ac:dyDescent="0.35">
      <c r="A170" s="19">
        <v>33</v>
      </c>
      <c r="L170" s="37" t="s">
        <v>186</v>
      </c>
      <c r="M170" s="39">
        <f>'As-Filed Schedule 1'!G93</f>
        <v>795370.62245206907</v>
      </c>
    </row>
    <row r="171" spans="1:18" x14ac:dyDescent="0.35">
      <c r="A171" s="19">
        <v>34</v>
      </c>
      <c r="L171" s="37" t="s">
        <v>200</v>
      </c>
      <c r="M171" s="18">
        <f>SUM(M169:M170)</f>
        <v>3659366.5359400613</v>
      </c>
    </row>
    <row r="172" spans="1:18" x14ac:dyDescent="0.35">
      <c r="A172" s="19">
        <v>35</v>
      </c>
      <c r="L172" s="37" t="s">
        <v>10</v>
      </c>
      <c r="M172" s="18">
        <f>M167-M171</f>
        <v>0</v>
      </c>
    </row>
    <row r="173" spans="1:18" x14ac:dyDescent="0.35">
      <c r="M173" s="38" t="str">
        <f>IF(M172&lt;&gt;0,"ERROR","")</f>
        <v/>
      </c>
    </row>
    <row r="174" spans="1:18" ht="39" customHeight="1" x14ac:dyDescent="0.35">
      <c r="J174" s="6" t="s">
        <v>40</v>
      </c>
      <c r="K174" s="6" t="s">
        <v>446</v>
      </c>
      <c r="L174" s="6" t="s">
        <v>445</v>
      </c>
      <c r="M174" s="78" t="s">
        <v>10</v>
      </c>
    </row>
    <row r="175" spans="1:18" x14ac:dyDescent="0.35">
      <c r="A175" s="19">
        <v>36</v>
      </c>
      <c r="J175" s="93" t="s">
        <v>442</v>
      </c>
      <c r="K175" s="27">
        <f>SUMIF($J$17:$J$167,"H0010 3.2 WM",$K$17:$K$167)</f>
        <v>0</v>
      </c>
      <c r="L175" s="27">
        <f>'As-Filed Schedule 4'!D122+'As-Filed Schedule 4'!H122</f>
        <v>0</v>
      </c>
      <c r="M175" s="27">
        <f>L175-K175</f>
        <v>0</v>
      </c>
      <c r="N175" s="92" t="str">
        <f>IF(M175&lt;&gt;0,"ERROR","")</f>
        <v/>
      </c>
    </row>
    <row r="176" spans="1:18" x14ac:dyDescent="0.35">
      <c r="A176" s="19">
        <v>37</v>
      </c>
      <c r="J176" s="94" t="s">
        <v>443</v>
      </c>
      <c r="K176" s="27">
        <f>SUMIF($J$17:$J$167,"H0011 3.7 WM",$K$17:$K$167)</f>
        <v>0</v>
      </c>
      <c r="L176" s="27">
        <f>'As-Filed Schedule 4'!D123+'As-Filed Schedule 4'!H123</f>
        <v>0</v>
      </c>
      <c r="M176" s="27">
        <f t="shared" ref="M176:M179" si="4">L176-K176</f>
        <v>0</v>
      </c>
      <c r="N176" s="92" t="str">
        <f t="shared" ref="N176:N179" si="5">IF(M176&lt;&gt;0,"ERROR","")</f>
        <v/>
      </c>
    </row>
    <row r="177" spans="1:14" x14ac:dyDescent="0.35">
      <c r="A177" s="19">
        <v>38</v>
      </c>
      <c r="C177" s="232" t="s">
        <v>476</v>
      </c>
      <c r="D177" s="233"/>
      <c r="E177" s="233"/>
      <c r="F177" s="233"/>
      <c r="G177" s="145"/>
      <c r="J177" s="94" t="s">
        <v>51</v>
      </c>
      <c r="K177" s="27">
        <f t="shared" ref="K177:K184" si="6">SUMIF($J$17:$J$167,J177,$K$17:$K$167)</f>
        <v>1986</v>
      </c>
      <c r="L177" s="27">
        <f>'As-Filed Schedule 4'!D125+'As-Filed Schedule 4'!H125</f>
        <v>1986</v>
      </c>
      <c r="M177" s="27">
        <f t="shared" si="4"/>
        <v>0</v>
      </c>
      <c r="N177" s="92" t="str">
        <f t="shared" si="5"/>
        <v/>
      </c>
    </row>
    <row r="178" spans="1:14" x14ac:dyDescent="0.35">
      <c r="A178" s="19">
        <v>39</v>
      </c>
      <c r="C178" s="234" t="s">
        <v>468</v>
      </c>
      <c r="D178" s="235"/>
      <c r="E178" s="235" t="s">
        <v>472</v>
      </c>
      <c r="F178" s="100"/>
      <c r="G178" s="146"/>
      <c r="J178" s="94" t="s">
        <v>52</v>
      </c>
      <c r="K178" s="27">
        <f t="shared" si="6"/>
        <v>0</v>
      </c>
      <c r="L178" s="27">
        <f>'As-Filed Schedule 4'!D126+'As-Filed Schedule 4'!H126</f>
        <v>0</v>
      </c>
      <c r="M178" s="27">
        <f t="shared" si="4"/>
        <v>0</v>
      </c>
      <c r="N178" s="92" t="str">
        <f t="shared" si="5"/>
        <v/>
      </c>
    </row>
    <row r="179" spans="1:14" x14ac:dyDescent="0.35">
      <c r="A179" s="19">
        <v>40</v>
      </c>
      <c r="C179" s="234" t="s">
        <v>477</v>
      </c>
      <c r="D179" s="235"/>
      <c r="E179" s="235" t="s">
        <v>474</v>
      </c>
      <c r="F179" s="100"/>
      <c r="G179" s="146"/>
      <c r="J179" s="94" t="s">
        <v>53</v>
      </c>
      <c r="K179" s="27">
        <f t="shared" si="6"/>
        <v>0</v>
      </c>
      <c r="L179" s="27">
        <f>'As-Filed Schedule 4'!D127+'As-Filed Schedule 4'!H127</f>
        <v>0</v>
      </c>
      <c r="M179" s="27">
        <f t="shared" si="4"/>
        <v>0</v>
      </c>
      <c r="N179" s="92" t="str">
        <f t="shared" si="5"/>
        <v/>
      </c>
    </row>
    <row r="180" spans="1:14" x14ac:dyDescent="0.35">
      <c r="A180" s="19">
        <v>41</v>
      </c>
      <c r="C180" s="234" t="s">
        <v>469</v>
      </c>
      <c r="D180" s="235"/>
      <c r="E180" s="235" t="s">
        <v>473</v>
      </c>
      <c r="F180" s="100"/>
      <c r="G180" s="146"/>
      <c r="J180" s="95" t="s">
        <v>440</v>
      </c>
      <c r="K180" s="106">
        <f t="shared" si="6"/>
        <v>0</v>
      </c>
      <c r="L180" s="89"/>
      <c r="M180" s="87"/>
    </row>
    <row r="181" spans="1:14" x14ac:dyDescent="0.35">
      <c r="A181" s="19">
        <v>42</v>
      </c>
      <c r="C181" s="234" t="s">
        <v>470</v>
      </c>
      <c r="D181" s="235"/>
      <c r="E181" s="235" t="s">
        <v>471</v>
      </c>
      <c r="F181" s="100"/>
      <c r="G181" s="146"/>
      <c r="J181" s="95" t="s">
        <v>444</v>
      </c>
      <c r="K181" s="108">
        <f t="shared" si="6"/>
        <v>0</v>
      </c>
      <c r="L181" s="90"/>
      <c r="M181" s="88"/>
    </row>
    <row r="182" spans="1:14" x14ac:dyDescent="0.35">
      <c r="A182" s="19">
        <v>43</v>
      </c>
      <c r="C182" s="236" t="s">
        <v>478</v>
      </c>
      <c r="D182" s="237"/>
      <c r="E182" s="237" t="s">
        <v>475</v>
      </c>
      <c r="F182" s="238"/>
      <c r="G182" s="147"/>
      <c r="J182" s="95" t="s">
        <v>439</v>
      </c>
      <c r="K182" s="108">
        <f t="shared" si="6"/>
        <v>0</v>
      </c>
      <c r="L182" s="109"/>
      <c r="M182" s="110"/>
    </row>
    <row r="183" spans="1:14" x14ac:dyDescent="0.35">
      <c r="A183" s="19">
        <v>44</v>
      </c>
      <c r="C183" s="100"/>
      <c r="D183" s="100"/>
      <c r="E183" s="100"/>
      <c r="F183" s="100"/>
      <c r="J183" s="96" t="s">
        <v>438</v>
      </c>
      <c r="K183" s="107">
        <f t="shared" si="6"/>
        <v>0</v>
      </c>
      <c r="L183" s="27">
        <f>'As-Filed Schedule 4'!D180+'As-Filed Schedule 4'!H180</f>
        <v>0</v>
      </c>
      <c r="M183" s="27">
        <f>L183-SUM(K180:K183)</f>
        <v>0</v>
      </c>
      <c r="N183" s="92" t="str">
        <f t="shared" ref="N183" si="7">IF(M183&lt;&gt;0,"ERROR","")</f>
        <v/>
      </c>
    </row>
    <row r="184" spans="1:14" x14ac:dyDescent="0.35">
      <c r="A184" s="19">
        <v>45</v>
      </c>
      <c r="C184" s="100"/>
      <c r="D184" s="100"/>
      <c r="E184" s="100"/>
      <c r="F184" s="100"/>
      <c r="J184" s="94" t="s">
        <v>481</v>
      </c>
      <c r="K184" s="27">
        <f t="shared" si="6"/>
        <v>0</v>
      </c>
      <c r="L184" s="90"/>
      <c r="M184" s="88"/>
    </row>
    <row r="185" spans="1:14" x14ac:dyDescent="0.35">
      <c r="C185" s="100"/>
      <c r="D185" s="100"/>
      <c r="E185" s="100"/>
      <c r="F185" s="100"/>
    </row>
    <row r="249" spans="4:10" ht="17.25" customHeight="1" x14ac:dyDescent="0.35"/>
    <row r="251" spans="4:10" hidden="1" x14ac:dyDescent="0.35">
      <c r="D251" t="s">
        <v>456</v>
      </c>
      <c r="E251" t="s">
        <v>159</v>
      </c>
      <c r="J251" s="111" t="s">
        <v>450</v>
      </c>
    </row>
    <row r="252" spans="4:10" hidden="1" x14ac:dyDescent="0.35">
      <c r="D252" t="s">
        <v>176</v>
      </c>
      <c r="E252" t="s">
        <v>456</v>
      </c>
      <c r="J252" s="112" t="s">
        <v>451</v>
      </c>
    </row>
    <row r="253" spans="4:10" hidden="1" x14ac:dyDescent="0.35">
      <c r="D253" t="s">
        <v>175</v>
      </c>
      <c r="E253" t="s">
        <v>467</v>
      </c>
      <c r="J253" s="112" t="s">
        <v>51</v>
      </c>
    </row>
    <row r="254" spans="4:10" hidden="1" x14ac:dyDescent="0.35">
      <c r="D254" t="s">
        <v>435</v>
      </c>
      <c r="E254" t="s">
        <v>466</v>
      </c>
      <c r="J254" s="112" t="s">
        <v>52</v>
      </c>
    </row>
    <row r="255" spans="4:10" hidden="1" x14ac:dyDescent="0.35">
      <c r="D255" t="s">
        <v>170</v>
      </c>
      <c r="E255" t="s">
        <v>174</v>
      </c>
      <c r="J255" s="112" t="s">
        <v>53</v>
      </c>
    </row>
    <row r="256" spans="4:10" hidden="1" x14ac:dyDescent="0.35">
      <c r="D256" t="s">
        <v>482</v>
      </c>
      <c r="E256" t="s">
        <v>172</v>
      </c>
      <c r="J256" s="112" t="s">
        <v>440</v>
      </c>
    </row>
    <row r="257" spans="5:10" hidden="1" x14ac:dyDescent="0.35">
      <c r="E257" t="s">
        <v>171</v>
      </c>
      <c r="J257" s="112" t="s">
        <v>444</v>
      </c>
    </row>
    <row r="258" spans="5:10" hidden="1" x14ac:dyDescent="0.35">
      <c r="E258" t="s">
        <v>465</v>
      </c>
      <c r="J258" s="112" t="s">
        <v>439</v>
      </c>
    </row>
    <row r="259" spans="5:10" hidden="1" x14ac:dyDescent="0.35">
      <c r="E259" t="s">
        <v>436</v>
      </c>
      <c r="J259" s="113" t="s">
        <v>438</v>
      </c>
    </row>
    <row r="260" spans="5:10" hidden="1" x14ac:dyDescent="0.35">
      <c r="J260" s="113" t="s">
        <v>481</v>
      </c>
    </row>
    <row r="261" spans="5:10" hidden="1" x14ac:dyDescent="0.35">
      <c r="J261" s="113" t="s">
        <v>455</v>
      </c>
    </row>
  </sheetData>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44">
    <mergeCell ref="B17:C17"/>
    <mergeCell ref="B37:C37"/>
    <mergeCell ref="B32:C32"/>
    <mergeCell ref="B22:C22"/>
    <mergeCell ref="B67:C67"/>
    <mergeCell ref="B72:C72"/>
    <mergeCell ref="B42:C42"/>
    <mergeCell ref="B52:C52"/>
    <mergeCell ref="B47:C47"/>
    <mergeCell ref="B57:C57"/>
    <mergeCell ref="B62:C62"/>
    <mergeCell ref="B87:C87"/>
    <mergeCell ref="B117:C117"/>
    <mergeCell ref="B122:C122"/>
    <mergeCell ref="B92:C92"/>
    <mergeCell ref="B97:C97"/>
    <mergeCell ref="B102:C102"/>
    <mergeCell ref="B107:C107"/>
    <mergeCell ref="B112:C112"/>
    <mergeCell ref="B167:E167"/>
    <mergeCell ref="B127:C127"/>
    <mergeCell ref="B157:C157"/>
    <mergeCell ref="A9:K11"/>
    <mergeCell ref="G14:G15"/>
    <mergeCell ref="H14:H15"/>
    <mergeCell ref="B14:C15"/>
    <mergeCell ref="B27:C27"/>
    <mergeCell ref="B162:C162"/>
    <mergeCell ref="B132:C132"/>
    <mergeCell ref="B137:C137"/>
    <mergeCell ref="B142:C142"/>
    <mergeCell ref="B147:C147"/>
    <mergeCell ref="B152:C152"/>
    <mergeCell ref="B77:C77"/>
    <mergeCell ref="B82:C82"/>
    <mergeCell ref="Q14:R14"/>
    <mergeCell ref="B13:C13"/>
    <mergeCell ref="M14:N14"/>
    <mergeCell ref="O14:P14"/>
    <mergeCell ref="L14:L15"/>
    <mergeCell ref="K14:K15"/>
    <mergeCell ref="F14:F15"/>
    <mergeCell ref="E14:E15"/>
    <mergeCell ref="D14:D15"/>
  </mergeCells>
  <dataValidations count="3">
    <dataValidation type="list" allowBlank="1" showInputMessage="1" showErrorMessage="1" sqref="D22 D137 D52 D57 D62 D67 D72 D47 D157 D27 D32 D37 D42 D77 D112 D117 D122 D127 D132 D107 D82 D87 D92 D97 D102 D162 D142 D147 D152 D17" xr:uid="{00000000-0002-0000-2A00-000000000000}">
      <formula1>$D$251:$D$256</formula1>
    </dataValidation>
    <dataValidation type="list" allowBlank="1" showInputMessage="1" showErrorMessage="1" sqref="J23:J25 J163:J165 J158:J160 J153:J155 J148:J150 J143:J145 J138:J140 J133:J135 J128:J130 J123:J125 J118:J120 J113:J115 J108:J110 J103:J105 J98:J100 J93:J95 J88:J90 J83:J85 J78:J80 J73:J75 J68:J70 J63:J65 J58:J60 J53:J55 J48:J50 J43:J45 J38:J40 J33:J35 J28:J30 J18:J20" xr:uid="{00000000-0002-0000-2A00-000001000000}">
      <formula1>$J$251:$J$261</formula1>
    </dataValidation>
    <dataValidation type="list" allowBlank="1" showInputMessage="1" showErrorMessage="1" sqref="E22 E137 E52 E57 E62 E67 E72 E47 E157 E27 E32 E37 E42 E77 E112 E117 E122 E127 E132 E107 E82 E87 E92 E97 E102 E162 E142 E147 E152 E17" xr:uid="{00000000-0002-0000-2A00-000002000000}">
      <formula1>$E$251:$E$259</formula1>
    </dataValidation>
  </dataValidations>
  <pageMargins left="0.7" right="0.7" top="0.75" bottom="0.75" header="0.3" footer="0.3"/>
  <pageSetup orientation="portrait" horizontalDpi="1200" verticalDpi="1200"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4">
    <tabColor rgb="FF9CC5CA"/>
  </sheetPr>
  <dimension ref="A1:L197"/>
  <sheetViews>
    <sheetView workbookViewId="0">
      <selection activeCell="K8" sqref="K8"/>
    </sheetView>
  </sheetViews>
  <sheetFormatPr defaultRowHeight="14.5" x14ac:dyDescent="0.35"/>
  <cols>
    <col min="2" max="2" width="15.54296875" customWidth="1"/>
    <col min="3" max="3" width="77" style="4" customWidth="1"/>
    <col min="4" max="6" width="18.54296875" style="4" customWidth="1"/>
    <col min="7" max="7" width="23.54296875" style="13" customWidth="1"/>
    <col min="8" max="11" width="21" style="13" customWidth="1"/>
    <col min="12" max="12" width="16" customWidth="1"/>
  </cols>
  <sheetData>
    <row r="1" spans="1:12" ht="26" x14ac:dyDescent="0.6">
      <c r="A1" s="3" t="s">
        <v>774</v>
      </c>
      <c r="D1" s="48"/>
      <c r="E1" s="49"/>
      <c r="F1" s="49"/>
      <c r="G1" s="50"/>
      <c r="H1" s="50"/>
    </row>
    <row r="2" spans="1:12" ht="21" x14ac:dyDescent="0.5">
      <c r="A2" s="2" t="s">
        <v>772</v>
      </c>
      <c r="D2" s="54"/>
      <c r="E2" s="49"/>
      <c r="F2" s="49"/>
      <c r="G2" s="50"/>
      <c r="H2" s="50"/>
    </row>
    <row r="3" spans="1:12" ht="25" customHeight="1" x14ac:dyDescent="0.5">
      <c r="A3" s="5" t="s">
        <v>929</v>
      </c>
      <c r="B3" s="5"/>
      <c r="C3" s="7"/>
      <c r="D3" s="54"/>
      <c r="E3" s="51"/>
      <c r="F3" s="51"/>
      <c r="G3" s="52"/>
      <c r="H3" s="52"/>
      <c r="I3" s="14"/>
      <c r="J3" s="14"/>
    </row>
    <row r="4" spans="1:12" x14ac:dyDescent="0.35">
      <c r="D4" s="54"/>
      <c r="E4" s="49"/>
      <c r="F4" s="49"/>
      <c r="G4" s="50"/>
      <c r="H4" s="50"/>
      <c r="K4" s="535"/>
      <c r="L4" s="535"/>
    </row>
    <row r="5" spans="1:12" ht="15" customHeight="1" x14ac:dyDescent="0.35">
      <c r="A5" s="1" t="s">
        <v>773</v>
      </c>
      <c r="C5" s="420">
        <f>'As-Filed Schedule 1'!C5</f>
        <v>0</v>
      </c>
      <c r="D5" s="55"/>
      <c r="E5" s="53"/>
      <c r="F5" s="53"/>
      <c r="G5" s="50"/>
      <c r="H5" s="50"/>
      <c r="K5" s="535"/>
      <c r="L5" s="535"/>
    </row>
    <row r="6" spans="1:12" x14ac:dyDescent="0.35">
      <c r="A6" s="1" t="s">
        <v>0</v>
      </c>
      <c r="C6" s="35">
        <f>'As-Filed Schedule 1'!C6</f>
        <v>45473</v>
      </c>
      <c r="D6" s="35"/>
      <c r="E6" s="35"/>
      <c r="F6" s="35"/>
      <c r="K6" s="535"/>
      <c r="L6" s="535"/>
    </row>
    <row r="7" spans="1:12" x14ac:dyDescent="0.35">
      <c r="A7" s="1"/>
      <c r="C7" s="35"/>
      <c r="D7" s="23">
        <v>1</v>
      </c>
      <c r="E7" s="35"/>
      <c r="F7" s="23">
        <v>3</v>
      </c>
      <c r="H7" s="205"/>
      <c r="I7" s="175">
        <v>6</v>
      </c>
      <c r="J7" s="205"/>
      <c r="K7" s="175">
        <v>8</v>
      </c>
      <c r="L7" s="81"/>
    </row>
    <row r="8" spans="1:12" x14ac:dyDescent="0.35">
      <c r="A8" s="19">
        <v>1</v>
      </c>
      <c r="C8" s="46" t="s">
        <v>193</v>
      </c>
      <c r="D8" s="26">
        <f>'As-Filed Schedule 1'!F95</f>
        <v>44572738.6934141</v>
      </c>
      <c r="E8" s="46" t="s">
        <v>197</v>
      </c>
      <c r="F8" s="31">
        <f>F197</f>
        <v>149909.44</v>
      </c>
      <c r="H8" s="427" t="s">
        <v>857</v>
      </c>
      <c r="I8" s="26">
        <f>'As-Filed Schedule 1'!F95</f>
        <v>44572738.6934141</v>
      </c>
      <c r="J8" s="427" t="s">
        <v>858</v>
      </c>
      <c r="K8" s="471">
        <v>114120</v>
      </c>
      <c r="L8" s="25"/>
    </row>
    <row r="9" spans="1:12" x14ac:dyDescent="0.35">
      <c r="A9" s="19">
        <v>2</v>
      </c>
      <c r="C9" s="46" t="s">
        <v>251</v>
      </c>
      <c r="D9" s="117">
        <v>339092.81999999966</v>
      </c>
      <c r="E9" s="46" t="s">
        <v>198</v>
      </c>
      <c r="F9" s="31">
        <f>J197</f>
        <v>241108.66000000003</v>
      </c>
      <c r="H9" s="427" t="s">
        <v>859</v>
      </c>
      <c r="I9" s="180">
        <v>307313.48905809567</v>
      </c>
      <c r="J9" s="539"/>
      <c r="K9" s="539"/>
      <c r="L9" s="45"/>
    </row>
    <row r="10" spans="1:12" x14ac:dyDescent="0.35">
      <c r="A10" s="19">
        <v>3</v>
      </c>
      <c r="C10" s="42" t="s">
        <v>194</v>
      </c>
      <c r="D10" s="18">
        <f>D8-D9</f>
        <v>44233645.873414099</v>
      </c>
      <c r="E10" s="42" t="s">
        <v>195</v>
      </c>
      <c r="F10" s="9">
        <f>SUM(F8:F9)</f>
        <v>391018.10000000003</v>
      </c>
      <c r="H10" s="428" t="s">
        <v>860</v>
      </c>
      <c r="I10" s="185">
        <f>I8-I9</f>
        <v>44265425.204356007</v>
      </c>
      <c r="J10" s="539"/>
      <c r="K10" s="539"/>
      <c r="L10" s="45"/>
    </row>
    <row r="11" spans="1:12" x14ac:dyDescent="0.35">
      <c r="A11" s="1"/>
      <c r="H11" s="206"/>
      <c r="I11" s="206"/>
      <c r="J11" s="539"/>
      <c r="K11" s="540"/>
      <c r="L11" s="45"/>
    </row>
    <row r="12" spans="1:12" ht="18.5" x14ac:dyDescent="0.45">
      <c r="A12" s="19">
        <v>4</v>
      </c>
      <c r="E12" s="44" t="s">
        <v>196</v>
      </c>
      <c r="F12" s="43">
        <f>D10/F10</f>
        <v>113.12429238803547</v>
      </c>
      <c r="H12" s="206"/>
      <c r="I12" s="206"/>
      <c r="J12" s="429" t="s">
        <v>861</v>
      </c>
      <c r="K12" s="430">
        <f>I10/K8</f>
        <v>387.88490364840527</v>
      </c>
      <c r="L12" s="45"/>
    </row>
    <row r="13" spans="1:12" x14ac:dyDescent="0.35">
      <c r="A13" s="1"/>
      <c r="C13" s="35"/>
      <c r="D13" s="35"/>
      <c r="E13" s="35"/>
      <c r="F13" s="35"/>
      <c r="I13" s="144"/>
    </row>
    <row r="14" spans="1:12" x14ac:dyDescent="0.35">
      <c r="D14" s="23">
        <v>1</v>
      </c>
      <c r="E14" s="23">
        <v>2</v>
      </c>
      <c r="F14" s="23">
        <v>3</v>
      </c>
      <c r="G14" s="23">
        <v>4</v>
      </c>
      <c r="H14" s="23">
        <v>5</v>
      </c>
      <c r="I14" s="23">
        <v>6</v>
      </c>
      <c r="J14" s="23">
        <v>7</v>
      </c>
      <c r="K14" s="23">
        <v>8</v>
      </c>
    </row>
    <row r="15" spans="1:12" x14ac:dyDescent="0.35">
      <c r="A15" s="1"/>
      <c r="C15" s="35"/>
      <c r="D15" s="536" t="s">
        <v>191</v>
      </c>
      <c r="E15" s="537"/>
      <c r="F15" s="537"/>
      <c r="G15" s="538"/>
      <c r="H15" s="536" t="s">
        <v>192</v>
      </c>
      <c r="I15" s="537"/>
      <c r="J15" s="537"/>
      <c r="K15" s="538"/>
    </row>
    <row r="16" spans="1:12" ht="29" x14ac:dyDescent="0.35">
      <c r="B16" s="208" t="s">
        <v>40</v>
      </c>
      <c r="C16" s="208" t="s">
        <v>11</v>
      </c>
      <c r="D16" s="208" t="s">
        <v>187</v>
      </c>
      <c r="E16" s="239" t="s">
        <v>483</v>
      </c>
      <c r="F16" s="239" t="s">
        <v>189</v>
      </c>
      <c r="G16" s="240" t="s">
        <v>156</v>
      </c>
      <c r="H16" s="240" t="s">
        <v>188</v>
      </c>
      <c r="I16" s="239" t="s">
        <v>484</v>
      </c>
      <c r="J16" s="16" t="s">
        <v>190</v>
      </c>
      <c r="K16" s="15" t="s">
        <v>157</v>
      </c>
    </row>
    <row r="17" spans="1:11" s="22" customFormat="1" x14ac:dyDescent="0.35">
      <c r="A17" s="19">
        <v>5</v>
      </c>
      <c r="B17" s="424" t="s">
        <v>787</v>
      </c>
      <c r="C17" s="20" t="s">
        <v>788</v>
      </c>
      <c r="D17" s="116">
        <v>0</v>
      </c>
      <c r="E17" s="410">
        <v>0</v>
      </c>
      <c r="F17" s="148">
        <f>D17*E17</f>
        <v>0</v>
      </c>
      <c r="G17" s="149">
        <f t="shared" ref="G17" si="0">E17*$F$12</f>
        <v>0</v>
      </c>
      <c r="H17" s="116">
        <v>0</v>
      </c>
      <c r="I17" s="410">
        <v>0</v>
      </c>
      <c r="J17" s="47">
        <f>H17*I17</f>
        <v>0</v>
      </c>
      <c r="K17" s="21">
        <f t="shared" ref="K17" si="1">I17*$F$12</f>
        <v>0</v>
      </c>
    </row>
    <row r="18" spans="1:11" s="22" customFormat="1" x14ac:dyDescent="0.35">
      <c r="A18" s="19">
        <v>6</v>
      </c>
      <c r="B18" s="19">
        <v>80305</v>
      </c>
      <c r="C18" s="20" t="s">
        <v>111</v>
      </c>
      <c r="D18" s="116">
        <v>0</v>
      </c>
      <c r="E18" s="410">
        <v>0</v>
      </c>
      <c r="F18" s="148">
        <f>D18*E18</f>
        <v>0</v>
      </c>
      <c r="G18" s="149">
        <f t="shared" ref="G18:G73" si="2">E18*$F$12</f>
        <v>0</v>
      </c>
      <c r="H18" s="116">
        <v>0</v>
      </c>
      <c r="I18" s="410">
        <v>0</v>
      </c>
      <c r="J18" s="47">
        <f>H18*I18</f>
        <v>0</v>
      </c>
      <c r="K18" s="21">
        <f t="shared" ref="K18:K73" si="3">I18*$F$12</f>
        <v>0</v>
      </c>
    </row>
    <row r="19" spans="1:11" s="22" customFormat="1" x14ac:dyDescent="0.35">
      <c r="A19" s="19">
        <v>7</v>
      </c>
      <c r="B19" s="19">
        <v>80306</v>
      </c>
      <c r="C19" s="20" t="s">
        <v>41</v>
      </c>
      <c r="D19" s="116">
        <v>0</v>
      </c>
      <c r="E19" s="410">
        <v>0</v>
      </c>
      <c r="F19" s="148">
        <f>D19*E19</f>
        <v>0</v>
      </c>
      <c r="G19" s="149">
        <f t="shared" si="2"/>
        <v>0</v>
      </c>
      <c r="H19" s="116">
        <v>0</v>
      </c>
      <c r="I19" s="410">
        <v>0</v>
      </c>
      <c r="J19" s="47">
        <f t="shared" ref="J19:J74" si="4">H19*I19</f>
        <v>0</v>
      </c>
      <c r="K19" s="21">
        <f t="shared" si="3"/>
        <v>0</v>
      </c>
    </row>
    <row r="20" spans="1:11" s="22" customFormat="1" x14ac:dyDescent="0.35">
      <c r="A20" s="19">
        <v>8</v>
      </c>
      <c r="B20" s="19">
        <v>82075</v>
      </c>
      <c r="C20" s="20" t="s">
        <v>112</v>
      </c>
      <c r="D20" s="116">
        <v>0</v>
      </c>
      <c r="E20" s="410">
        <v>0</v>
      </c>
      <c r="F20" s="148">
        <f t="shared" ref="F20:F74" si="5">D20*E20</f>
        <v>0</v>
      </c>
      <c r="G20" s="149">
        <f t="shared" si="2"/>
        <v>0</v>
      </c>
      <c r="H20" s="116">
        <v>0</v>
      </c>
      <c r="I20" s="410">
        <v>0</v>
      </c>
      <c r="J20" s="47">
        <f t="shared" si="4"/>
        <v>0</v>
      </c>
      <c r="K20" s="21">
        <f t="shared" si="3"/>
        <v>0</v>
      </c>
    </row>
    <row r="21" spans="1:11" s="22" customFormat="1" x14ac:dyDescent="0.35">
      <c r="A21" s="19">
        <v>9</v>
      </c>
      <c r="B21" s="19">
        <v>90785</v>
      </c>
      <c r="C21" s="20" t="s">
        <v>319</v>
      </c>
      <c r="D21" s="116">
        <v>6</v>
      </c>
      <c r="E21" s="410">
        <v>0.44</v>
      </c>
      <c r="F21" s="47">
        <f t="shared" si="5"/>
        <v>2.64</v>
      </c>
      <c r="G21" s="21">
        <f t="shared" si="2"/>
        <v>49.774688650735605</v>
      </c>
      <c r="H21" s="116">
        <v>111</v>
      </c>
      <c r="I21" s="410">
        <v>0.39</v>
      </c>
      <c r="J21" s="47">
        <f t="shared" si="4"/>
        <v>43.29</v>
      </c>
      <c r="K21" s="21">
        <f t="shared" si="3"/>
        <v>44.118474031333832</v>
      </c>
    </row>
    <row r="22" spans="1:11" s="22" customFormat="1" x14ac:dyDescent="0.35">
      <c r="A22" s="19">
        <v>10</v>
      </c>
      <c r="B22" s="19">
        <v>90791</v>
      </c>
      <c r="C22" s="20" t="s">
        <v>320</v>
      </c>
      <c r="D22" s="116">
        <v>1976</v>
      </c>
      <c r="E22" s="410">
        <v>5.17</v>
      </c>
      <c r="F22" s="47">
        <f t="shared" si="5"/>
        <v>10215.92</v>
      </c>
      <c r="G22" s="21">
        <f t="shared" si="2"/>
        <v>584.85259164614342</v>
      </c>
      <c r="H22" s="116">
        <v>1003</v>
      </c>
      <c r="I22" s="410">
        <v>4.43</v>
      </c>
      <c r="J22" s="47">
        <f t="shared" si="4"/>
        <v>4443.29</v>
      </c>
      <c r="K22" s="21">
        <f t="shared" si="3"/>
        <v>501.14061527899713</v>
      </c>
    </row>
    <row r="23" spans="1:11" s="22" customFormat="1" x14ac:dyDescent="0.35">
      <c r="A23" s="19">
        <v>11</v>
      </c>
      <c r="B23" s="19">
        <v>90792</v>
      </c>
      <c r="C23" s="20" t="s">
        <v>321</v>
      </c>
      <c r="D23" s="116">
        <v>967</v>
      </c>
      <c r="E23" s="410">
        <v>5.82</v>
      </c>
      <c r="F23" s="47">
        <f t="shared" si="5"/>
        <v>5627.9400000000005</v>
      </c>
      <c r="G23" s="21">
        <f t="shared" si="2"/>
        <v>658.38338169836652</v>
      </c>
      <c r="H23" s="116">
        <v>476</v>
      </c>
      <c r="I23" s="410">
        <v>5.08</v>
      </c>
      <c r="J23" s="47">
        <f t="shared" si="4"/>
        <v>2418.08</v>
      </c>
      <c r="K23" s="21">
        <f t="shared" si="3"/>
        <v>574.67140533122017</v>
      </c>
    </row>
    <row r="24" spans="1:11" s="22" customFormat="1" x14ac:dyDescent="0.35">
      <c r="A24" s="19">
        <v>12</v>
      </c>
      <c r="B24" s="19">
        <v>90832</v>
      </c>
      <c r="C24" s="20" t="s">
        <v>325</v>
      </c>
      <c r="D24" s="116">
        <v>3049</v>
      </c>
      <c r="E24" s="410">
        <v>2.35</v>
      </c>
      <c r="F24" s="47">
        <f t="shared" si="5"/>
        <v>7165.1500000000005</v>
      </c>
      <c r="G24" s="21">
        <f t="shared" si="2"/>
        <v>265.84208711188336</v>
      </c>
      <c r="H24" s="116">
        <v>3146</v>
      </c>
      <c r="I24" s="410">
        <v>2.0499999999999998</v>
      </c>
      <c r="J24" s="47">
        <f t="shared" si="4"/>
        <v>6449.2999999999993</v>
      </c>
      <c r="K24" s="21">
        <f t="shared" si="3"/>
        <v>231.90479939547271</v>
      </c>
    </row>
    <row r="25" spans="1:11" s="22" customFormat="1" x14ac:dyDescent="0.35">
      <c r="A25" s="19">
        <v>13</v>
      </c>
      <c r="B25" s="19">
        <v>90833</v>
      </c>
      <c r="C25" s="20" t="s">
        <v>322</v>
      </c>
      <c r="D25" s="116">
        <v>0</v>
      </c>
      <c r="E25" s="410">
        <v>2.16</v>
      </c>
      <c r="F25" s="47">
        <f t="shared" si="5"/>
        <v>0</v>
      </c>
      <c r="G25" s="21">
        <f t="shared" si="2"/>
        <v>244.34847155815663</v>
      </c>
      <c r="H25" s="116">
        <v>0</v>
      </c>
      <c r="I25" s="410">
        <v>1.92</v>
      </c>
      <c r="J25" s="47">
        <f t="shared" si="4"/>
        <v>0</v>
      </c>
      <c r="K25" s="21">
        <f t="shared" si="3"/>
        <v>217.19864138502808</v>
      </c>
    </row>
    <row r="26" spans="1:11" s="22" customFormat="1" x14ac:dyDescent="0.35">
      <c r="A26" s="19">
        <v>14</v>
      </c>
      <c r="B26" s="19">
        <v>90834</v>
      </c>
      <c r="C26" s="20" t="s">
        <v>323</v>
      </c>
      <c r="D26" s="116">
        <v>2666</v>
      </c>
      <c r="E26" s="410">
        <v>3.1</v>
      </c>
      <c r="F26" s="47">
        <f t="shared" si="5"/>
        <v>8264.6</v>
      </c>
      <c r="G26" s="21">
        <f t="shared" si="2"/>
        <v>350.68530640290999</v>
      </c>
      <c r="H26" s="116">
        <v>3891</v>
      </c>
      <c r="I26" s="410">
        <v>2.71</v>
      </c>
      <c r="J26" s="47">
        <f t="shared" si="4"/>
        <v>10544.61</v>
      </c>
      <c r="K26" s="21">
        <f t="shared" si="3"/>
        <v>306.56683237157614</v>
      </c>
    </row>
    <row r="27" spans="1:11" s="22" customFormat="1" x14ac:dyDescent="0.35">
      <c r="A27" s="19">
        <v>15</v>
      </c>
      <c r="B27" s="19">
        <v>90836</v>
      </c>
      <c r="C27" s="20" t="s">
        <v>326</v>
      </c>
      <c r="D27" s="116">
        <v>0</v>
      </c>
      <c r="E27" s="410">
        <v>2.73</v>
      </c>
      <c r="F27" s="47">
        <f t="shared" si="5"/>
        <v>0</v>
      </c>
      <c r="G27" s="21">
        <f t="shared" si="2"/>
        <v>308.82931821933681</v>
      </c>
      <c r="H27" s="116">
        <v>0</v>
      </c>
      <c r="I27" s="410">
        <v>2.4300000000000002</v>
      </c>
      <c r="J27" s="47">
        <f t="shared" si="4"/>
        <v>0</v>
      </c>
      <c r="K27" s="21">
        <f t="shared" si="3"/>
        <v>274.89203050292622</v>
      </c>
    </row>
    <row r="28" spans="1:11" s="22" customFormat="1" x14ac:dyDescent="0.35">
      <c r="A28" s="19">
        <v>16</v>
      </c>
      <c r="B28" s="19">
        <v>90837</v>
      </c>
      <c r="C28" s="20" t="s">
        <v>324</v>
      </c>
      <c r="D28" s="116">
        <v>4526</v>
      </c>
      <c r="E28" s="410">
        <v>4.57</v>
      </c>
      <c r="F28" s="47">
        <f t="shared" si="5"/>
        <v>20683.82</v>
      </c>
      <c r="G28" s="21">
        <f t="shared" si="2"/>
        <v>516.97801621332212</v>
      </c>
      <c r="H28" s="116">
        <v>11645</v>
      </c>
      <c r="I28" s="410">
        <v>4</v>
      </c>
      <c r="J28" s="47">
        <f t="shared" si="4"/>
        <v>46580</v>
      </c>
      <c r="K28" s="21">
        <f t="shared" si="3"/>
        <v>452.49716955214188</v>
      </c>
    </row>
    <row r="29" spans="1:11" s="22" customFormat="1" x14ac:dyDescent="0.35">
      <c r="A29" s="19">
        <v>17</v>
      </c>
      <c r="B29" s="19">
        <v>90838</v>
      </c>
      <c r="C29" s="20" t="s">
        <v>327</v>
      </c>
      <c r="D29" s="116">
        <v>0</v>
      </c>
      <c r="E29" s="410">
        <v>3.62</v>
      </c>
      <c r="F29" s="47">
        <f t="shared" si="5"/>
        <v>0</v>
      </c>
      <c r="G29" s="21">
        <f t="shared" si="2"/>
        <v>409.50993844468843</v>
      </c>
      <c r="H29" s="116">
        <v>0</v>
      </c>
      <c r="I29" s="410">
        <v>3.22</v>
      </c>
      <c r="J29" s="47">
        <f t="shared" si="4"/>
        <v>0</v>
      </c>
      <c r="K29" s="21">
        <f t="shared" si="3"/>
        <v>364.26022148947425</v>
      </c>
    </row>
    <row r="30" spans="1:11" s="22" customFormat="1" x14ac:dyDescent="0.35">
      <c r="A30" s="19">
        <v>18</v>
      </c>
      <c r="B30" s="19">
        <v>90839</v>
      </c>
      <c r="C30" s="20" t="s">
        <v>329</v>
      </c>
      <c r="D30" s="116">
        <v>129</v>
      </c>
      <c r="E30" s="410">
        <v>4.4000000000000004</v>
      </c>
      <c r="F30" s="47">
        <f t="shared" si="5"/>
        <v>567.6</v>
      </c>
      <c r="G30" s="21">
        <f t="shared" si="2"/>
        <v>497.74688650735612</v>
      </c>
      <c r="H30" s="116">
        <v>3</v>
      </c>
      <c r="I30" s="410">
        <v>3.87</v>
      </c>
      <c r="J30" s="47">
        <f t="shared" si="4"/>
        <v>11.61</v>
      </c>
      <c r="K30" s="21">
        <f t="shared" si="3"/>
        <v>437.79101154169729</v>
      </c>
    </row>
    <row r="31" spans="1:11" s="22" customFormat="1" x14ac:dyDescent="0.35">
      <c r="A31" s="19">
        <v>19</v>
      </c>
      <c r="B31" s="19">
        <v>90840</v>
      </c>
      <c r="C31" s="20" t="s">
        <v>328</v>
      </c>
      <c r="D31" s="116">
        <v>0</v>
      </c>
      <c r="E31" s="410">
        <v>2.1800000000000002</v>
      </c>
      <c r="F31" s="47">
        <f t="shared" si="5"/>
        <v>0</v>
      </c>
      <c r="G31" s="21">
        <f t="shared" si="2"/>
        <v>246.61095740591733</v>
      </c>
      <c r="H31" s="116">
        <v>0</v>
      </c>
      <c r="I31" s="410">
        <v>1.94</v>
      </c>
      <c r="J31" s="47">
        <f t="shared" si="4"/>
        <v>0</v>
      </c>
      <c r="K31" s="21">
        <f t="shared" si="3"/>
        <v>219.46112723278881</v>
      </c>
    </row>
    <row r="32" spans="1:11" s="22" customFormat="1" x14ac:dyDescent="0.35">
      <c r="A32" s="19">
        <v>20</v>
      </c>
      <c r="B32" s="19">
        <v>90846</v>
      </c>
      <c r="C32" s="20" t="s">
        <v>113</v>
      </c>
      <c r="D32" s="116">
        <v>126</v>
      </c>
      <c r="E32" s="410">
        <v>2.93</v>
      </c>
      <c r="F32" s="47">
        <f t="shared" si="5"/>
        <v>369.18</v>
      </c>
      <c r="G32" s="21">
        <f t="shared" si="2"/>
        <v>331.45417669694393</v>
      </c>
      <c r="H32" s="116">
        <v>68</v>
      </c>
      <c r="I32" s="410">
        <v>2.92</v>
      </c>
      <c r="J32" s="47">
        <f t="shared" si="4"/>
        <v>198.56</v>
      </c>
      <c r="K32" s="21">
        <f t="shared" si="3"/>
        <v>330.32293377306354</v>
      </c>
    </row>
    <row r="33" spans="1:11" s="22" customFormat="1" x14ac:dyDescent="0.35">
      <c r="A33" s="19">
        <v>21</v>
      </c>
      <c r="B33" s="19">
        <v>90847</v>
      </c>
      <c r="C33" s="20" t="s">
        <v>114</v>
      </c>
      <c r="D33" s="116">
        <v>89</v>
      </c>
      <c r="E33" s="410">
        <v>3.07</v>
      </c>
      <c r="F33" s="47">
        <f t="shared" si="5"/>
        <v>273.22999999999996</v>
      </c>
      <c r="G33" s="21">
        <f t="shared" si="2"/>
        <v>347.29157763126886</v>
      </c>
      <c r="H33" s="116">
        <v>629</v>
      </c>
      <c r="I33" s="410">
        <v>3.05</v>
      </c>
      <c r="J33" s="47">
        <f t="shared" si="4"/>
        <v>1918.4499999999998</v>
      </c>
      <c r="K33" s="21">
        <f t="shared" si="3"/>
        <v>345.02909178350819</v>
      </c>
    </row>
    <row r="34" spans="1:11" s="22" customFormat="1" x14ac:dyDescent="0.35">
      <c r="A34" s="19">
        <v>22</v>
      </c>
      <c r="B34" s="19">
        <v>90849</v>
      </c>
      <c r="C34" s="20" t="s">
        <v>115</v>
      </c>
      <c r="D34" s="116">
        <v>9</v>
      </c>
      <c r="E34" s="410">
        <v>1.1299999999999999</v>
      </c>
      <c r="F34" s="47">
        <f t="shared" si="5"/>
        <v>10.169999999999998</v>
      </c>
      <c r="G34" s="21">
        <f t="shared" si="2"/>
        <v>127.83045039848007</v>
      </c>
      <c r="H34" s="116">
        <v>108</v>
      </c>
      <c r="I34" s="410">
        <v>0.88</v>
      </c>
      <c r="J34" s="47">
        <f t="shared" si="4"/>
        <v>95.04</v>
      </c>
      <c r="K34" s="21">
        <f t="shared" si="3"/>
        <v>99.54937730147121</v>
      </c>
    </row>
    <row r="35" spans="1:11" s="22" customFormat="1" x14ac:dyDescent="0.35">
      <c r="A35" s="19">
        <v>23</v>
      </c>
      <c r="B35" s="19">
        <v>90853</v>
      </c>
      <c r="C35" s="20" t="s">
        <v>116</v>
      </c>
      <c r="D35" s="116">
        <v>625</v>
      </c>
      <c r="E35" s="410">
        <v>0.83</v>
      </c>
      <c r="F35" s="47">
        <f t="shared" si="5"/>
        <v>518.75</v>
      </c>
      <c r="G35" s="21">
        <f t="shared" si="2"/>
        <v>93.893162682069431</v>
      </c>
      <c r="H35" s="116">
        <v>2030</v>
      </c>
      <c r="I35" s="410">
        <v>0.72</v>
      </c>
      <c r="J35" s="47">
        <f t="shared" si="4"/>
        <v>1461.6</v>
      </c>
      <c r="K35" s="21">
        <f t="shared" si="3"/>
        <v>81.449490519385535</v>
      </c>
    </row>
    <row r="36" spans="1:11" s="22" customFormat="1" x14ac:dyDescent="0.35">
      <c r="A36" s="19">
        <v>24</v>
      </c>
      <c r="B36" s="19">
        <v>90870</v>
      </c>
      <c r="C36" s="20" t="s">
        <v>117</v>
      </c>
      <c r="D36" s="116">
        <v>0</v>
      </c>
      <c r="E36" s="410">
        <v>5.18</v>
      </c>
      <c r="F36" s="47">
        <f t="shared" si="5"/>
        <v>0</v>
      </c>
      <c r="G36" s="21">
        <f t="shared" si="2"/>
        <v>585.98383457002376</v>
      </c>
      <c r="H36" s="116">
        <v>0</v>
      </c>
      <c r="I36" s="410">
        <v>3.12</v>
      </c>
      <c r="J36" s="47">
        <f t="shared" si="4"/>
        <v>0</v>
      </c>
      <c r="K36" s="21">
        <f t="shared" si="3"/>
        <v>352.94779225067066</v>
      </c>
    </row>
    <row r="37" spans="1:11" s="22" customFormat="1" x14ac:dyDescent="0.35">
      <c r="A37" s="19">
        <v>25</v>
      </c>
      <c r="B37" s="19">
        <v>90875</v>
      </c>
      <c r="C37" s="20" t="s">
        <v>152</v>
      </c>
      <c r="D37" s="116">
        <v>0</v>
      </c>
      <c r="E37" s="410">
        <v>1.75</v>
      </c>
      <c r="F37" s="47">
        <f t="shared" si="5"/>
        <v>0</v>
      </c>
      <c r="G37" s="21">
        <f t="shared" si="2"/>
        <v>197.96751167906208</v>
      </c>
      <c r="H37" s="116">
        <v>0</v>
      </c>
      <c r="I37" s="410">
        <v>1.74</v>
      </c>
      <c r="J37" s="47">
        <f t="shared" si="4"/>
        <v>0</v>
      </c>
      <c r="K37" s="21">
        <f t="shared" si="3"/>
        <v>196.83626875518172</v>
      </c>
    </row>
    <row r="38" spans="1:11" s="22" customFormat="1" x14ac:dyDescent="0.35">
      <c r="A38" s="19">
        <v>26</v>
      </c>
      <c r="B38" s="19">
        <v>90876</v>
      </c>
      <c r="C38" s="20" t="s">
        <v>153</v>
      </c>
      <c r="D38" s="116">
        <v>0</v>
      </c>
      <c r="E38" s="410">
        <v>3.08</v>
      </c>
      <c r="F38" s="47">
        <f t="shared" si="5"/>
        <v>0</v>
      </c>
      <c r="G38" s="21">
        <f t="shared" si="2"/>
        <v>348.42282055514926</v>
      </c>
      <c r="H38" s="116">
        <v>0</v>
      </c>
      <c r="I38" s="410">
        <v>2.76</v>
      </c>
      <c r="J38" s="47">
        <f t="shared" si="4"/>
        <v>0</v>
      </c>
      <c r="K38" s="21">
        <f t="shared" si="3"/>
        <v>312.22304699097788</v>
      </c>
    </row>
    <row r="39" spans="1:11" s="22" customFormat="1" x14ac:dyDescent="0.35">
      <c r="A39" s="19">
        <v>27</v>
      </c>
      <c r="B39" s="19">
        <v>90887</v>
      </c>
      <c r="C39" s="20" t="s">
        <v>330</v>
      </c>
      <c r="D39" s="116">
        <v>0</v>
      </c>
      <c r="E39" s="410">
        <v>2.56</v>
      </c>
      <c r="F39" s="47">
        <f t="shared" si="5"/>
        <v>0</v>
      </c>
      <c r="G39" s="21">
        <f t="shared" si="2"/>
        <v>289.59818851337081</v>
      </c>
      <c r="H39" s="116">
        <v>0</v>
      </c>
      <c r="I39" s="410">
        <v>2.14</v>
      </c>
      <c r="J39" s="47">
        <f t="shared" si="4"/>
        <v>0</v>
      </c>
      <c r="K39" s="21">
        <f t="shared" si="3"/>
        <v>242.08598571039593</v>
      </c>
    </row>
    <row r="40" spans="1:11" s="22" customFormat="1" x14ac:dyDescent="0.35">
      <c r="A40" s="19">
        <v>28</v>
      </c>
      <c r="B40" s="19">
        <v>96116</v>
      </c>
      <c r="C40" s="20" t="s">
        <v>341</v>
      </c>
      <c r="D40" s="116">
        <v>0</v>
      </c>
      <c r="E40" s="410">
        <v>2.76</v>
      </c>
      <c r="F40" s="47">
        <f t="shared" si="5"/>
        <v>0</v>
      </c>
      <c r="G40" s="21">
        <f t="shared" si="2"/>
        <v>312.22304699097788</v>
      </c>
      <c r="H40" s="116">
        <v>0</v>
      </c>
      <c r="I40" s="410">
        <v>2.37</v>
      </c>
      <c r="J40" s="47">
        <f t="shared" si="4"/>
        <v>0</v>
      </c>
      <c r="K40" s="21">
        <f t="shared" si="3"/>
        <v>268.10457295964409</v>
      </c>
    </row>
    <row r="41" spans="1:11" s="22" customFormat="1" x14ac:dyDescent="0.35">
      <c r="A41" s="19">
        <v>29</v>
      </c>
      <c r="B41" s="19">
        <v>96121</v>
      </c>
      <c r="C41" s="20" t="s">
        <v>340</v>
      </c>
      <c r="D41" s="116">
        <v>0</v>
      </c>
      <c r="E41" s="410">
        <v>2.25</v>
      </c>
      <c r="F41" s="47">
        <f t="shared" si="5"/>
        <v>0</v>
      </c>
      <c r="G41" s="21">
        <f t="shared" si="2"/>
        <v>254.5296578730798</v>
      </c>
      <c r="H41" s="116">
        <v>0</v>
      </c>
      <c r="I41" s="410">
        <v>1.97</v>
      </c>
      <c r="J41" s="47">
        <f t="shared" si="4"/>
        <v>0</v>
      </c>
      <c r="K41" s="21">
        <f t="shared" si="3"/>
        <v>222.85485600442988</v>
      </c>
    </row>
    <row r="42" spans="1:11" s="22" customFormat="1" x14ac:dyDescent="0.35">
      <c r="A42" s="19">
        <v>30</v>
      </c>
      <c r="B42" s="19">
        <v>96130</v>
      </c>
      <c r="C42" s="20" t="s">
        <v>338</v>
      </c>
      <c r="D42" s="116">
        <v>0</v>
      </c>
      <c r="E42" s="410">
        <v>3.6</v>
      </c>
      <c r="F42" s="47">
        <f t="shared" si="5"/>
        <v>0</v>
      </c>
      <c r="G42" s="21">
        <f t="shared" si="2"/>
        <v>407.2474525969277</v>
      </c>
      <c r="H42" s="116">
        <v>0</v>
      </c>
      <c r="I42" s="410">
        <v>3.25</v>
      </c>
      <c r="J42" s="47">
        <f t="shared" si="4"/>
        <v>0</v>
      </c>
      <c r="K42" s="21">
        <f t="shared" si="3"/>
        <v>367.65395026111526</v>
      </c>
    </row>
    <row r="43" spans="1:11" s="22" customFormat="1" x14ac:dyDescent="0.35">
      <c r="A43" s="19">
        <v>31</v>
      </c>
      <c r="B43" s="19">
        <v>96131</v>
      </c>
      <c r="C43" s="20" t="s">
        <v>339</v>
      </c>
      <c r="D43" s="116">
        <v>0</v>
      </c>
      <c r="E43" s="410">
        <v>2.57</v>
      </c>
      <c r="F43" s="47">
        <f t="shared" si="5"/>
        <v>0</v>
      </c>
      <c r="G43" s="21">
        <f t="shared" si="2"/>
        <v>290.72943143725115</v>
      </c>
      <c r="H43" s="116">
        <v>0</v>
      </c>
      <c r="I43" s="410">
        <v>2.25</v>
      </c>
      <c r="J43" s="47">
        <f t="shared" si="4"/>
        <v>0</v>
      </c>
      <c r="K43" s="21">
        <f t="shared" si="3"/>
        <v>254.5296578730798</v>
      </c>
    </row>
    <row r="44" spans="1:11" s="22" customFormat="1" x14ac:dyDescent="0.35">
      <c r="A44" s="19">
        <v>32</v>
      </c>
      <c r="B44" s="19">
        <v>96132</v>
      </c>
      <c r="C44" s="20" t="s">
        <v>332</v>
      </c>
      <c r="D44" s="116">
        <v>0</v>
      </c>
      <c r="E44" s="410">
        <v>3.85</v>
      </c>
      <c r="F44" s="47">
        <f t="shared" si="5"/>
        <v>0</v>
      </c>
      <c r="G44" s="21">
        <f t="shared" si="2"/>
        <v>435.52852569393656</v>
      </c>
      <c r="H44" s="116">
        <v>0</v>
      </c>
      <c r="I44" s="410">
        <v>3.14</v>
      </c>
      <c r="J44" s="47">
        <f t="shared" si="4"/>
        <v>0</v>
      </c>
      <c r="K44" s="21">
        <f t="shared" si="3"/>
        <v>355.21027809843139</v>
      </c>
    </row>
    <row r="45" spans="1:11" s="22" customFormat="1" x14ac:dyDescent="0.35">
      <c r="A45" s="19">
        <v>33</v>
      </c>
      <c r="B45" s="19">
        <v>96133</v>
      </c>
      <c r="C45" s="20" t="s">
        <v>333</v>
      </c>
      <c r="D45" s="116">
        <v>0</v>
      </c>
      <c r="E45" s="410">
        <v>2.92</v>
      </c>
      <c r="F45" s="47">
        <f t="shared" si="5"/>
        <v>0</v>
      </c>
      <c r="G45" s="21">
        <f t="shared" si="2"/>
        <v>330.32293377306354</v>
      </c>
      <c r="H45" s="116">
        <v>0</v>
      </c>
      <c r="I45" s="410">
        <v>2.2599999999999998</v>
      </c>
      <c r="J45" s="47">
        <f t="shared" si="4"/>
        <v>0</v>
      </c>
      <c r="K45" s="21">
        <f t="shared" si="3"/>
        <v>255.66090079696014</v>
      </c>
    </row>
    <row r="46" spans="1:11" s="22" customFormat="1" x14ac:dyDescent="0.35">
      <c r="A46" s="19">
        <v>34</v>
      </c>
      <c r="B46" s="19">
        <v>96136</v>
      </c>
      <c r="C46" s="20" t="s">
        <v>334</v>
      </c>
      <c r="D46" s="116">
        <v>0</v>
      </c>
      <c r="E46" s="410">
        <v>1.25</v>
      </c>
      <c r="F46" s="47">
        <f t="shared" si="5"/>
        <v>0</v>
      </c>
      <c r="G46" s="21">
        <f t="shared" si="2"/>
        <v>141.40536548504434</v>
      </c>
      <c r="H46" s="116">
        <v>0</v>
      </c>
      <c r="I46" s="410">
        <v>0.69</v>
      </c>
      <c r="J46" s="47">
        <f t="shared" si="4"/>
        <v>0</v>
      </c>
      <c r="K46" s="21">
        <f t="shared" si="3"/>
        <v>78.055761747744469</v>
      </c>
    </row>
    <row r="47" spans="1:11" s="22" customFormat="1" x14ac:dyDescent="0.35">
      <c r="A47" s="19">
        <v>35</v>
      </c>
      <c r="B47" s="19">
        <v>96137</v>
      </c>
      <c r="C47" s="20" t="s">
        <v>335</v>
      </c>
      <c r="D47" s="116">
        <v>0</v>
      </c>
      <c r="E47" s="410">
        <v>1.1299999999999999</v>
      </c>
      <c r="F47" s="47">
        <f t="shared" si="5"/>
        <v>0</v>
      </c>
      <c r="G47" s="21">
        <f t="shared" si="2"/>
        <v>127.83045039848007</v>
      </c>
      <c r="H47" s="116">
        <v>0</v>
      </c>
      <c r="I47" s="410">
        <v>0.53</v>
      </c>
      <c r="J47" s="47">
        <f t="shared" si="4"/>
        <v>0</v>
      </c>
      <c r="K47" s="21">
        <f t="shared" si="3"/>
        <v>59.955874965658801</v>
      </c>
    </row>
    <row r="48" spans="1:11" s="22" customFormat="1" x14ac:dyDescent="0.35">
      <c r="A48" s="19">
        <v>36</v>
      </c>
      <c r="B48" s="19">
        <v>96138</v>
      </c>
      <c r="C48" s="20" t="s">
        <v>336</v>
      </c>
      <c r="D48" s="116">
        <v>0</v>
      </c>
      <c r="E48" s="410">
        <v>1.03</v>
      </c>
      <c r="F48" s="47">
        <f t="shared" si="5"/>
        <v>0</v>
      </c>
      <c r="G48" s="21">
        <f t="shared" si="2"/>
        <v>116.51802115967654</v>
      </c>
      <c r="H48" s="116">
        <v>0</v>
      </c>
      <c r="I48" s="410">
        <v>0.56999999999999995</v>
      </c>
      <c r="J48" s="47">
        <f t="shared" si="4"/>
        <v>0</v>
      </c>
      <c r="K48" s="21">
        <f t="shared" si="3"/>
        <v>64.480846661180209</v>
      </c>
    </row>
    <row r="49" spans="1:11" s="22" customFormat="1" x14ac:dyDescent="0.35">
      <c r="A49" s="19">
        <v>37</v>
      </c>
      <c r="B49" s="19">
        <v>96139</v>
      </c>
      <c r="C49" s="20" t="s">
        <v>337</v>
      </c>
      <c r="D49" s="116">
        <v>0</v>
      </c>
      <c r="E49" s="410">
        <v>1.06</v>
      </c>
      <c r="F49" s="47">
        <f t="shared" si="5"/>
        <v>0</v>
      </c>
      <c r="G49" s="21">
        <f t="shared" si="2"/>
        <v>119.9117499313176</v>
      </c>
      <c r="H49" s="116">
        <v>0</v>
      </c>
      <c r="I49" s="410">
        <v>0.5</v>
      </c>
      <c r="J49" s="47">
        <f t="shared" si="4"/>
        <v>0</v>
      </c>
      <c r="K49" s="21">
        <f t="shared" si="3"/>
        <v>56.562146194017735</v>
      </c>
    </row>
    <row r="50" spans="1:11" s="22" customFormat="1" x14ac:dyDescent="0.35">
      <c r="A50" s="19">
        <v>38</v>
      </c>
      <c r="B50" s="19">
        <v>96146</v>
      </c>
      <c r="C50" s="20" t="s">
        <v>331</v>
      </c>
      <c r="D50" s="116">
        <v>0</v>
      </c>
      <c r="E50" s="410">
        <v>7.0000000000000007E-2</v>
      </c>
      <c r="F50" s="47">
        <f t="shared" si="5"/>
        <v>0</v>
      </c>
      <c r="G50" s="21">
        <f t="shared" si="2"/>
        <v>7.9187004671624841</v>
      </c>
      <c r="H50" s="116">
        <v>0</v>
      </c>
      <c r="I50" s="410">
        <v>7.0000000000000007E-2</v>
      </c>
      <c r="J50" s="47">
        <f t="shared" si="4"/>
        <v>0</v>
      </c>
      <c r="K50" s="21">
        <f t="shared" si="3"/>
        <v>7.9187004671624841</v>
      </c>
    </row>
    <row r="51" spans="1:11" s="22" customFormat="1" x14ac:dyDescent="0.35">
      <c r="A51" s="19">
        <v>39</v>
      </c>
      <c r="B51" s="19">
        <v>96372</v>
      </c>
      <c r="C51" s="20" t="s">
        <v>118</v>
      </c>
      <c r="D51" s="116">
        <v>427</v>
      </c>
      <c r="E51" s="410">
        <v>0.43</v>
      </c>
      <c r="F51" s="47">
        <f t="shared" si="5"/>
        <v>183.60999999999999</v>
      </c>
      <c r="G51" s="21">
        <f t="shared" si="2"/>
        <v>48.643445726855255</v>
      </c>
      <c r="H51" s="116">
        <v>2882</v>
      </c>
      <c r="I51" s="410">
        <v>0.43</v>
      </c>
      <c r="J51" s="47">
        <f t="shared" si="4"/>
        <v>1239.26</v>
      </c>
      <c r="K51" s="21">
        <f t="shared" si="3"/>
        <v>48.643445726855255</v>
      </c>
    </row>
    <row r="52" spans="1:11" s="22" customFormat="1" x14ac:dyDescent="0.35">
      <c r="A52" s="19">
        <v>40</v>
      </c>
      <c r="B52" s="19">
        <v>97535</v>
      </c>
      <c r="C52" s="20" t="s">
        <v>119</v>
      </c>
      <c r="D52" s="116">
        <v>0</v>
      </c>
      <c r="E52" s="410">
        <v>0.98</v>
      </c>
      <c r="F52" s="47">
        <f t="shared" si="5"/>
        <v>0</v>
      </c>
      <c r="G52" s="21">
        <f t="shared" si="2"/>
        <v>110.86180654027476</v>
      </c>
      <c r="H52" s="116">
        <v>0</v>
      </c>
      <c r="I52" s="410">
        <v>0.98</v>
      </c>
      <c r="J52" s="47">
        <f t="shared" si="4"/>
        <v>0</v>
      </c>
      <c r="K52" s="21">
        <f t="shared" si="3"/>
        <v>110.86180654027476</v>
      </c>
    </row>
    <row r="53" spans="1:11" s="22" customFormat="1" x14ac:dyDescent="0.35">
      <c r="A53" s="19">
        <v>41</v>
      </c>
      <c r="B53" s="19">
        <v>97537</v>
      </c>
      <c r="C53" s="20" t="s">
        <v>120</v>
      </c>
      <c r="D53" s="116">
        <v>37</v>
      </c>
      <c r="E53" s="410">
        <v>0.95</v>
      </c>
      <c r="F53" s="47">
        <f t="shared" si="5"/>
        <v>35.15</v>
      </c>
      <c r="G53" s="21">
        <f t="shared" si="2"/>
        <v>107.46807776863369</v>
      </c>
      <c r="H53" s="116">
        <v>68</v>
      </c>
      <c r="I53" s="410">
        <v>0.95</v>
      </c>
      <c r="J53" s="47">
        <f t="shared" si="4"/>
        <v>64.599999999999994</v>
      </c>
      <c r="K53" s="21">
        <f t="shared" si="3"/>
        <v>107.46807776863369</v>
      </c>
    </row>
    <row r="54" spans="1:11" s="22" customFormat="1" x14ac:dyDescent="0.35">
      <c r="A54" s="19">
        <v>42</v>
      </c>
      <c r="B54" s="19">
        <v>98966</v>
      </c>
      <c r="C54" s="20" t="s">
        <v>342</v>
      </c>
      <c r="D54" s="116">
        <v>0</v>
      </c>
      <c r="E54" s="410">
        <v>0.39</v>
      </c>
      <c r="F54" s="47">
        <f t="shared" si="5"/>
        <v>0</v>
      </c>
      <c r="G54" s="21">
        <f t="shared" si="2"/>
        <v>44.118474031333832</v>
      </c>
      <c r="H54" s="116">
        <v>0</v>
      </c>
      <c r="I54" s="410">
        <v>0.34</v>
      </c>
      <c r="J54" s="47">
        <f t="shared" si="4"/>
        <v>0</v>
      </c>
      <c r="K54" s="21">
        <f t="shared" si="3"/>
        <v>38.46225941193206</v>
      </c>
    </row>
    <row r="55" spans="1:11" s="22" customFormat="1" x14ac:dyDescent="0.35">
      <c r="A55" s="19">
        <v>43</v>
      </c>
      <c r="B55" s="19">
        <v>98967</v>
      </c>
      <c r="C55" s="20" t="s">
        <v>343</v>
      </c>
      <c r="D55" s="116">
        <v>0</v>
      </c>
      <c r="E55" s="410">
        <v>0.72</v>
      </c>
      <c r="F55" s="47">
        <f t="shared" si="5"/>
        <v>0</v>
      </c>
      <c r="G55" s="21">
        <f t="shared" si="2"/>
        <v>81.449490519385535</v>
      </c>
      <c r="H55" s="116">
        <v>0</v>
      </c>
      <c r="I55" s="410">
        <v>0.66</v>
      </c>
      <c r="J55" s="47">
        <f t="shared" si="4"/>
        <v>0</v>
      </c>
      <c r="K55" s="21">
        <f t="shared" si="3"/>
        <v>74.662032976103418</v>
      </c>
    </row>
    <row r="56" spans="1:11" s="22" customFormat="1" x14ac:dyDescent="0.35">
      <c r="A56" s="19">
        <v>44</v>
      </c>
      <c r="B56" s="19">
        <v>98968</v>
      </c>
      <c r="C56" s="20" t="s">
        <v>344</v>
      </c>
      <c r="D56" s="116">
        <v>0</v>
      </c>
      <c r="E56" s="410">
        <v>0.99</v>
      </c>
      <c r="F56" s="47">
        <f t="shared" si="5"/>
        <v>0</v>
      </c>
      <c r="G56" s="21">
        <f t="shared" si="2"/>
        <v>111.99304946415512</v>
      </c>
      <c r="H56" s="116">
        <v>0</v>
      </c>
      <c r="I56" s="410">
        <v>0.92</v>
      </c>
      <c r="J56" s="47">
        <f t="shared" si="4"/>
        <v>0</v>
      </c>
      <c r="K56" s="21">
        <f t="shared" si="3"/>
        <v>104.07434899699264</v>
      </c>
    </row>
    <row r="57" spans="1:11" s="22" customFormat="1" x14ac:dyDescent="0.35">
      <c r="A57" s="19">
        <v>45</v>
      </c>
      <c r="B57" s="19">
        <v>99202</v>
      </c>
      <c r="C57" s="20" t="s">
        <v>154</v>
      </c>
      <c r="D57" s="116">
        <v>0</v>
      </c>
      <c r="E57" s="410">
        <v>2.17</v>
      </c>
      <c r="F57" s="47">
        <f t="shared" si="5"/>
        <v>0</v>
      </c>
      <c r="G57" s="21">
        <f t="shared" si="2"/>
        <v>245.47971448203697</v>
      </c>
      <c r="H57" s="116">
        <v>5</v>
      </c>
      <c r="I57" s="410">
        <v>1.41</v>
      </c>
      <c r="J57" s="47">
        <f t="shared" si="4"/>
        <v>7.05</v>
      </c>
      <c r="K57" s="21">
        <f t="shared" si="3"/>
        <v>159.50525226713</v>
      </c>
    </row>
    <row r="58" spans="1:11" s="22" customFormat="1" x14ac:dyDescent="0.35">
      <c r="A58" s="19">
        <v>46</v>
      </c>
      <c r="B58" s="19">
        <v>99203</v>
      </c>
      <c r="C58" s="20" t="s">
        <v>154</v>
      </c>
      <c r="D58" s="116">
        <v>3</v>
      </c>
      <c r="E58" s="410">
        <v>3.35</v>
      </c>
      <c r="F58" s="47">
        <f t="shared" si="5"/>
        <v>10.050000000000001</v>
      </c>
      <c r="G58" s="21">
        <f t="shared" si="2"/>
        <v>378.96637949991884</v>
      </c>
      <c r="H58" s="116">
        <v>149</v>
      </c>
      <c r="I58" s="410">
        <v>2.44</v>
      </c>
      <c r="J58" s="47">
        <f t="shared" si="4"/>
        <v>363.56</v>
      </c>
      <c r="K58" s="21">
        <f t="shared" si="3"/>
        <v>276.02327342680655</v>
      </c>
    </row>
    <row r="59" spans="1:11" s="22" customFormat="1" x14ac:dyDescent="0.35">
      <c r="A59" s="19">
        <v>47</v>
      </c>
      <c r="B59" s="19">
        <v>99204</v>
      </c>
      <c r="C59" s="20" t="s">
        <v>154</v>
      </c>
      <c r="D59" s="116">
        <v>3</v>
      </c>
      <c r="E59" s="410">
        <v>5.0199999999999996</v>
      </c>
      <c r="F59" s="47">
        <f t="shared" si="5"/>
        <v>15.059999999999999</v>
      </c>
      <c r="G59" s="21">
        <f t="shared" si="2"/>
        <v>567.88394778793804</v>
      </c>
      <c r="H59" s="116">
        <v>638</v>
      </c>
      <c r="I59" s="410">
        <v>3.97</v>
      </c>
      <c r="J59" s="47">
        <f t="shared" si="4"/>
        <v>2532.86</v>
      </c>
      <c r="K59" s="21">
        <f t="shared" si="3"/>
        <v>449.10344078050082</v>
      </c>
    </row>
    <row r="60" spans="1:11" s="22" customFormat="1" x14ac:dyDescent="0.35">
      <c r="A60" s="19">
        <v>48</v>
      </c>
      <c r="B60" s="19">
        <v>99205</v>
      </c>
      <c r="C60" s="20" t="s">
        <v>154</v>
      </c>
      <c r="D60" s="116">
        <v>0</v>
      </c>
      <c r="E60" s="410">
        <v>6.62</v>
      </c>
      <c r="F60" s="47">
        <f t="shared" si="5"/>
        <v>0</v>
      </c>
      <c r="G60" s="21">
        <f t="shared" si="2"/>
        <v>748.88281560879489</v>
      </c>
      <c r="H60" s="116">
        <v>24</v>
      </c>
      <c r="I60" s="410">
        <v>5.4</v>
      </c>
      <c r="J60" s="47">
        <f t="shared" si="4"/>
        <v>129.60000000000002</v>
      </c>
      <c r="K60" s="21">
        <f t="shared" si="3"/>
        <v>610.87117889539161</v>
      </c>
    </row>
    <row r="61" spans="1:11" s="22" customFormat="1" ht="43.5" x14ac:dyDescent="0.35">
      <c r="A61" s="19">
        <v>49</v>
      </c>
      <c r="B61" s="19">
        <v>99211</v>
      </c>
      <c r="C61" s="20" t="s">
        <v>345</v>
      </c>
      <c r="D61" s="116">
        <v>1</v>
      </c>
      <c r="E61" s="410">
        <v>0.7</v>
      </c>
      <c r="F61" s="47">
        <f t="shared" si="5"/>
        <v>0.7</v>
      </c>
      <c r="G61" s="21">
        <f t="shared" si="2"/>
        <v>79.18700467162482</v>
      </c>
      <c r="H61" s="116">
        <v>69</v>
      </c>
      <c r="I61" s="410">
        <v>0.26</v>
      </c>
      <c r="J61" s="47">
        <f t="shared" si="4"/>
        <v>17.940000000000001</v>
      </c>
      <c r="K61" s="21">
        <f t="shared" si="3"/>
        <v>29.412316020889225</v>
      </c>
    </row>
    <row r="62" spans="1:11" s="22" customFormat="1" x14ac:dyDescent="0.35">
      <c r="A62" s="19">
        <v>50</v>
      </c>
      <c r="B62" s="19">
        <v>99212</v>
      </c>
      <c r="C62" s="20" t="s">
        <v>155</v>
      </c>
      <c r="D62" s="116">
        <v>55</v>
      </c>
      <c r="E62" s="410">
        <v>1.7</v>
      </c>
      <c r="F62" s="47">
        <f t="shared" si="5"/>
        <v>93.5</v>
      </c>
      <c r="G62" s="21">
        <f t="shared" si="2"/>
        <v>192.31129705966029</v>
      </c>
      <c r="H62" s="116">
        <v>151</v>
      </c>
      <c r="I62" s="410">
        <v>1.05</v>
      </c>
      <c r="J62" s="47">
        <f t="shared" si="4"/>
        <v>158.55000000000001</v>
      </c>
      <c r="K62" s="21">
        <f t="shared" si="3"/>
        <v>118.78050700743725</v>
      </c>
    </row>
    <row r="63" spans="1:11" s="22" customFormat="1" x14ac:dyDescent="0.35">
      <c r="A63" s="19">
        <v>51</v>
      </c>
      <c r="B63" s="19">
        <v>99213</v>
      </c>
      <c r="C63" s="20" t="s">
        <v>155</v>
      </c>
      <c r="D63" s="116">
        <v>1624</v>
      </c>
      <c r="E63" s="410">
        <v>2.73</v>
      </c>
      <c r="F63" s="47">
        <f t="shared" si="5"/>
        <v>4433.5199999999995</v>
      </c>
      <c r="G63" s="21">
        <f t="shared" si="2"/>
        <v>308.82931821933681</v>
      </c>
      <c r="H63" s="116">
        <v>3640</v>
      </c>
      <c r="I63" s="410">
        <v>1.96</v>
      </c>
      <c r="J63" s="47">
        <f t="shared" si="4"/>
        <v>7134.4</v>
      </c>
      <c r="K63" s="21">
        <f t="shared" si="3"/>
        <v>221.72361308054951</v>
      </c>
    </row>
    <row r="64" spans="1:11" s="22" customFormat="1" x14ac:dyDescent="0.35">
      <c r="A64" s="19">
        <v>52</v>
      </c>
      <c r="B64" s="19">
        <v>99214</v>
      </c>
      <c r="C64" s="20" t="s">
        <v>155</v>
      </c>
      <c r="D64" s="116">
        <v>5296</v>
      </c>
      <c r="E64" s="410">
        <v>3.85</v>
      </c>
      <c r="F64" s="47">
        <f t="shared" si="5"/>
        <v>20389.600000000002</v>
      </c>
      <c r="G64" s="21">
        <f t="shared" si="2"/>
        <v>435.52852569393656</v>
      </c>
      <c r="H64" s="116">
        <v>10281</v>
      </c>
      <c r="I64" s="410">
        <v>2.89</v>
      </c>
      <c r="J64" s="47">
        <f t="shared" si="4"/>
        <v>29712.09</v>
      </c>
      <c r="K64" s="21">
        <f t="shared" si="3"/>
        <v>326.92920500142253</v>
      </c>
    </row>
    <row r="65" spans="1:11" s="22" customFormat="1" x14ac:dyDescent="0.35">
      <c r="A65" s="19">
        <v>53</v>
      </c>
      <c r="B65" s="19">
        <v>99215</v>
      </c>
      <c r="C65" s="20" t="s">
        <v>155</v>
      </c>
      <c r="D65" s="116">
        <v>1055</v>
      </c>
      <c r="E65" s="410">
        <v>5.42</v>
      </c>
      <c r="F65" s="47">
        <f t="shared" si="5"/>
        <v>5718.1</v>
      </c>
      <c r="G65" s="21">
        <f t="shared" si="2"/>
        <v>613.13366474315228</v>
      </c>
      <c r="H65" s="116">
        <v>739</v>
      </c>
      <c r="I65" s="410">
        <v>4.29</v>
      </c>
      <c r="J65" s="47">
        <f t="shared" si="4"/>
        <v>3170.31</v>
      </c>
      <c r="K65" s="21">
        <f t="shared" si="3"/>
        <v>485.3032143446722</v>
      </c>
    </row>
    <row r="66" spans="1:11" s="22" customFormat="1" x14ac:dyDescent="0.35">
      <c r="A66" s="19">
        <v>54</v>
      </c>
      <c r="B66" s="19">
        <v>99221</v>
      </c>
      <c r="C66" s="20" t="s">
        <v>121</v>
      </c>
      <c r="D66" s="116">
        <v>0</v>
      </c>
      <c r="E66" s="410">
        <v>2.46</v>
      </c>
      <c r="F66" s="47">
        <f t="shared" si="5"/>
        <v>0</v>
      </c>
      <c r="G66" s="21">
        <f t="shared" si="2"/>
        <v>278.28575927456723</v>
      </c>
      <c r="H66" s="116">
        <v>0</v>
      </c>
      <c r="I66" s="410">
        <v>2.46</v>
      </c>
      <c r="J66" s="47">
        <f t="shared" si="4"/>
        <v>0</v>
      </c>
      <c r="K66" s="21">
        <f t="shared" si="3"/>
        <v>278.28575927456723</v>
      </c>
    </row>
    <row r="67" spans="1:11" s="22" customFormat="1" x14ac:dyDescent="0.35">
      <c r="A67" s="19">
        <v>55</v>
      </c>
      <c r="B67" s="19">
        <v>99222</v>
      </c>
      <c r="C67" s="20" t="s">
        <v>122</v>
      </c>
      <c r="D67" s="116">
        <v>0</v>
      </c>
      <c r="E67" s="410">
        <v>3.88</v>
      </c>
      <c r="F67" s="47">
        <f t="shared" si="5"/>
        <v>0</v>
      </c>
      <c r="G67" s="21">
        <f t="shared" si="2"/>
        <v>438.92225446557762</v>
      </c>
      <c r="H67" s="116">
        <v>0</v>
      </c>
      <c r="I67" s="410">
        <v>3.88</v>
      </c>
      <c r="J67" s="47">
        <f t="shared" si="4"/>
        <v>0</v>
      </c>
      <c r="K67" s="21">
        <f t="shared" si="3"/>
        <v>438.92225446557762</v>
      </c>
    </row>
    <row r="68" spans="1:11" s="22" customFormat="1" x14ac:dyDescent="0.35">
      <c r="A68" s="19">
        <v>56</v>
      </c>
      <c r="B68" s="19">
        <v>99223</v>
      </c>
      <c r="C68" s="20" t="s">
        <v>123</v>
      </c>
      <c r="D68" s="116">
        <v>0</v>
      </c>
      <c r="E68" s="410">
        <v>5.14</v>
      </c>
      <c r="F68" s="47">
        <f t="shared" si="5"/>
        <v>0</v>
      </c>
      <c r="G68" s="21">
        <f t="shared" si="2"/>
        <v>581.4588628745023</v>
      </c>
      <c r="H68" s="116">
        <v>0</v>
      </c>
      <c r="I68" s="410">
        <v>5.14</v>
      </c>
      <c r="J68" s="47">
        <f t="shared" si="4"/>
        <v>0</v>
      </c>
      <c r="K68" s="21">
        <f t="shared" si="3"/>
        <v>581.4588628745023</v>
      </c>
    </row>
    <row r="69" spans="1:11" s="22" customFormat="1" x14ac:dyDescent="0.35">
      <c r="A69" s="19">
        <v>57</v>
      </c>
      <c r="B69" s="19">
        <v>99231</v>
      </c>
      <c r="C69" s="20" t="s">
        <v>124</v>
      </c>
      <c r="D69" s="116">
        <v>0</v>
      </c>
      <c r="E69" s="410">
        <v>1.47</v>
      </c>
      <c r="F69" s="47">
        <f t="shared" si="5"/>
        <v>0</v>
      </c>
      <c r="G69" s="21">
        <f t="shared" si="2"/>
        <v>166.29270981041213</v>
      </c>
      <c r="H69" s="116">
        <v>0</v>
      </c>
      <c r="I69" s="410">
        <v>1.47</v>
      </c>
      <c r="J69" s="47">
        <f t="shared" si="4"/>
        <v>0</v>
      </c>
      <c r="K69" s="21">
        <f t="shared" si="3"/>
        <v>166.29270981041213</v>
      </c>
    </row>
    <row r="70" spans="1:11" s="22" customFormat="1" x14ac:dyDescent="0.35">
      <c r="A70" s="19">
        <v>58</v>
      </c>
      <c r="B70" s="19">
        <v>99232</v>
      </c>
      <c r="C70" s="20" t="s">
        <v>125</v>
      </c>
      <c r="D70" s="116">
        <v>0</v>
      </c>
      <c r="E70" s="410">
        <v>2.34</v>
      </c>
      <c r="F70" s="47">
        <f t="shared" si="5"/>
        <v>0</v>
      </c>
      <c r="G70" s="21">
        <f t="shared" si="2"/>
        <v>264.71084418800297</v>
      </c>
      <c r="H70" s="116">
        <v>0</v>
      </c>
      <c r="I70" s="410">
        <v>2.34</v>
      </c>
      <c r="J70" s="47">
        <f t="shared" si="4"/>
        <v>0</v>
      </c>
      <c r="K70" s="21">
        <f t="shared" si="3"/>
        <v>264.71084418800297</v>
      </c>
    </row>
    <row r="71" spans="1:11" s="22" customFormat="1" x14ac:dyDescent="0.35">
      <c r="A71" s="19">
        <v>59</v>
      </c>
      <c r="B71" s="19">
        <v>99233</v>
      </c>
      <c r="C71" s="20" t="s">
        <v>126</v>
      </c>
      <c r="D71" s="116">
        <v>0</v>
      </c>
      <c r="E71" s="410">
        <v>3.52</v>
      </c>
      <c r="F71" s="47">
        <f t="shared" si="5"/>
        <v>0</v>
      </c>
      <c r="G71" s="21">
        <f t="shared" si="2"/>
        <v>398.19750920588484</v>
      </c>
      <c r="H71" s="116">
        <v>0</v>
      </c>
      <c r="I71" s="410">
        <v>3.52</v>
      </c>
      <c r="J71" s="47">
        <f t="shared" si="4"/>
        <v>0</v>
      </c>
      <c r="K71" s="21">
        <f t="shared" si="3"/>
        <v>398.19750920588484</v>
      </c>
    </row>
    <row r="72" spans="1:11" s="22" customFormat="1" ht="29" x14ac:dyDescent="0.35">
      <c r="A72" s="19">
        <v>60</v>
      </c>
      <c r="B72" s="19">
        <v>99234</v>
      </c>
      <c r="C72" s="20" t="s">
        <v>360</v>
      </c>
      <c r="D72" s="116">
        <v>0</v>
      </c>
      <c r="E72" s="410">
        <v>2.9</v>
      </c>
      <c r="F72" s="47">
        <f t="shared" si="5"/>
        <v>0</v>
      </c>
      <c r="G72" s="21">
        <f t="shared" si="2"/>
        <v>328.06044792530287</v>
      </c>
      <c r="H72" s="116">
        <v>0</v>
      </c>
      <c r="I72" s="410">
        <v>2.9</v>
      </c>
      <c r="J72" s="47">
        <f t="shared" si="4"/>
        <v>0</v>
      </c>
      <c r="K72" s="21">
        <f t="shared" si="3"/>
        <v>328.06044792530287</v>
      </c>
    </row>
    <row r="73" spans="1:11" s="22" customFormat="1" ht="29" x14ac:dyDescent="0.35">
      <c r="A73" s="19">
        <v>61</v>
      </c>
      <c r="B73" s="19">
        <v>99235</v>
      </c>
      <c r="C73" s="20" t="s">
        <v>361</v>
      </c>
      <c r="D73" s="116">
        <v>0</v>
      </c>
      <c r="E73" s="410">
        <v>4.7300000000000004</v>
      </c>
      <c r="F73" s="47">
        <f t="shared" si="5"/>
        <v>0</v>
      </c>
      <c r="G73" s="21">
        <f t="shared" si="2"/>
        <v>535.07790299540784</v>
      </c>
      <c r="H73" s="116">
        <v>0</v>
      </c>
      <c r="I73" s="410">
        <v>4.7300000000000004</v>
      </c>
      <c r="J73" s="47">
        <f t="shared" si="4"/>
        <v>0</v>
      </c>
      <c r="K73" s="21">
        <f t="shared" si="3"/>
        <v>535.07790299540784</v>
      </c>
    </row>
    <row r="74" spans="1:11" s="22" customFormat="1" ht="29" x14ac:dyDescent="0.35">
      <c r="A74" s="19">
        <v>62</v>
      </c>
      <c r="B74" s="19">
        <v>99236</v>
      </c>
      <c r="C74" s="20" t="s">
        <v>362</v>
      </c>
      <c r="D74" s="116">
        <v>0</v>
      </c>
      <c r="E74" s="410">
        <v>6.18</v>
      </c>
      <c r="F74" s="47">
        <f t="shared" si="5"/>
        <v>0</v>
      </c>
      <c r="G74" s="21">
        <f t="shared" ref="G74:G123" si="6">E74*$F$12</f>
        <v>699.10812695805919</v>
      </c>
      <c r="H74" s="116">
        <v>0</v>
      </c>
      <c r="I74" s="410">
        <v>6.18</v>
      </c>
      <c r="J74" s="47">
        <f t="shared" si="4"/>
        <v>0</v>
      </c>
      <c r="K74" s="21">
        <f t="shared" ref="K74:K123" si="7">I74*$F$12</f>
        <v>699.10812695805919</v>
      </c>
    </row>
    <row r="75" spans="1:11" s="22" customFormat="1" x14ac:dyDescent="0.35">
      <c r="A75" s="19">
        <v>63</v>
      </c>
      <c r="B75" s="19">
        <v>99238</v>
      </c>
      <c r="C75" s="20" t="s">
        <v>346</v>
      </c>
      <c r="D75" s="116">
        <v>0</v>
      </c>
      <c r="E75" s="410">
        <v>2.41</v>
      </c>
      <c r="F75" s="47">
        <f t="shared" ref="F75:F123" si="8">D75*E75</f>
        <v>0</v>
      </c>
      <c r="G75" s="21">
        <f t="shared" si="6"/>
        <v>272.62954465516549</v>
      </c>
      <c r="H75" s="116">
        <v>0</v>
      </c>
      <c r="I75" s="410">
        <v>2.41</v>
      </c>
      <c r="J75" s="47">
        <f t="shared" ref="J75:J123" si="9">H75*I75</f>
        <v>0</v>
      </c>
      <c r="K75" s="21">
        <f t="shared" si="7"/>
        <v>272.62954465516549</v>
      </c>
    </row>
    <row r="76" spans="1:11" s="22" customFormat="1" x14ac:dyDescent="0.35">
      <c r="A76" s="19">
        <v>64</v>
      </c>
      <c r="B76" s="19">
        <v>99239</v>
      </c>
      <c r="C76" s="20" t="s">
        <v>127</v>
      </c>
      <c r="D76" s="116">
        <v>0</v>
      </c>
      <c r="E76" s="410">
        <v>3.4</v>
      </c>
      <c r="F76" s="47">
        <f t="shared" si="8"/>
        <v>0</v>
      </c>
      <c r="G76" s="21">
        <f t="shared" si="6"/>
        <v>384.62259411932058</v>
      </c>
      <c r="H76" s="116">
        <v>0</v>
      </c>
      <c r="I76" s="410">
        <v>3.4</v>
      </c>
      <c r="J76" s="47">
        <f t="shared" si="9"/>
        <v>0</v>
      </c>
      <c r="K76" s="21">
        <f t="shared" si="7"/>
        <v>384.62259411932058</v>
      </c>
    </row>
    <row r="77" spans="1:11" s="22" customFormat="1" x14ac:dyDescent="0.35">
      <c r="A77" s="19">
        <v>65</v>
      </c>
      <c r="B77" s="19">
        <v>99242</v>
      </c>
      <c r="C77" s="20" t="s">
        <v>347</v>
      </c>
      <c r="D77" s="116">
        <v>0</v>
      </c>
      <c r="E77" s="410">
        <v>2.25</v>
      </c>
      <c r="F77" s="148">
        <f t="shared" si="8"/>
        <v>0</v>
      </c>
      <c r="G77" s="149">
        <f t="shared" si="6"/>
        <v>254.5296578730798</v>
      </c>
      <c r="H77" s="116">
        <v>0</v>
      </c>
      <c r="I77" s="410">
        <v>1.66</v>
      </c>
      <c r="J77" s="47">
        <f t="shared" si="9"/>
        <v>0</v>
      </c>
      <c r="K77" s="21">
        <f t="shared" si="7"/>
        <v>187.78632536413886</v>
      </c>
    </row>
    <row r="78" spans="1:11" s="22" customFormat="1" x14ac:dyDescent="0.35">
      <c r="A78" s="19">
        <v>66</v>
      </c>
      <c r="B78" s="19">
        <v>99243</v>
      </c>
      <c r="C78" s="20" t="s">
        <v>348</v>
      </c>
      <c r="D78" s="116">
        <v>0</v>
      </c>
      <c r="E78" s="410">
        <v>3.37</v>
      </c>
      <c r="F78" s="47">
        <f t="shared" si="8"/>
        <v>0</v>
      </c>
      <c r="G78" s="21">
        <f t="shared" si="6"/>
        <v>381.22886534767957</v>
      </c>
      <c r="H78" s="116">
        <v>0</v>
      </c>
      <c r="I78" s="410">
        <v>2.62</v>
      </c>
      <c r="J78" s="47">
        <f t="shared" si="9"/>
        <v>0</v>
      </c>
      <c r="K78" s="21">
        <f t="shared" si="7"/>
        <v>296.38564605665294</v>
      </c>
    </row>
    <row r="79" spans="1:11" s="22" customFormat="1" x14ac:dyDescent="0.35">
      <c r="A79" s="19">
        <v>67</v>
      </c>
      <c r="B79" s="19">
        <v>99244</v>
      </c>
      <c r="C79" s="20" t="s">
        <v>349</v>
      </c>
      <c r="D79" s="116">
        <v>0</v>
      </c>
      <c r="E79" s="410">
        <v>4.8099999999999996</v>
      </c>
      <c r="F79" s="47">
        <f t="shared" si="8"/>
        <v>0</v>
      </c>
      <c r="G79" s="21">
        <f t="shared" si="6"/>
        <v>544.12784638645053</v>
      </c>
      <c r="H79" s="116">
        <v>0</v>
      </c>
      <c r="I79" s="410">
        <v>3.99</v>
      </c>
      <c r="J79" s="47">
        <f t="shared" si="9"/>
        <v>0</v>
      </c>
      <c r="K79" s="21">
        <f t="shared" si="7"/>
        <v>451.36592662826155</v>
      </c>
    </row>
    <row r="80" spans="1:11" s="22" customFormat="1" x14ac:dyDescent="0.35">
      <c r="A80" s="19">
        <v>68</v>
      </c>
      <c r="B80" s="19">
        <v>99245</v>
      </c>
      <c r="C80" s="20" t="s">
        <v>350</v>
      </c>
      <c r="D80" s="116">
        <v>0</v>
      </c>
      <c r="E80" s="410">
        <v>6.28</v>
      </c>
      <c r="F80" s="47">
        <f t="shared" si="8"/>
        <v>0</v>
      </c>
      <c r="G80" s="21">
        <f t="shared" si="6"/>
        <v>710.42055619686278</v>
      </c>
      <c r="H80" s="116">
        <v>0</v>
      </c>
      <c r="I80" s="410">
        <v>5.36</v>
      </c>
      <c r="J80" s="47">
        <f t="shared" si="9"/>
        <v>0</v>
      </c>
      <c r="K80" s="21">
        <f t="shared" si="7"/>
        <v>606.34620719987015</v>
      </c>
    </row>
    <row r="81" spans="1:11" s="22" customFormat="1" x14ac:dyDescent="0.35">
      <c r="A81" s="19">
        <v>69</v>
      </c>
      <c r="B81" s="19">
        <v>99252</v>
      </c>
      <c r="C81" s="20" t="s">
        <v>351</v>
      </c>
      <c r="D81" s="116">
        <v>0</v>
      </c>
      <c r="E81" s="410">
        <v>2.11</v>
      </c>
      <c r="F81" s="47">
        <f t="shared" si="8"/>
        <v>0</v>
      </c>
      <c r="G81" s="21">
        <f t="shared" si="6"/>
        <v>238.69225693875484</v>
      </c>
      <c r="H81" s="116">
        <v>0</v>
      </c>
      <c r="I81" s="410">
        <v>2.11</v>
      </c>
      <c r="J81" s="47">
        <f t="shared" si="9"/>
        <v>0</v>
      </c>
      <c r="K81" s="21">
        <f t="shared" si="7"/>
        <v>238.69225693875484</v>
      </c>
    </row>
    <row r="82" spans="1:11" s="22" customFormat="1" x14ac:dyDescent="0.35">
      <c r="A82" s="19">
        <v>70</v>
      </c>
      <c r="B82" s="19">
        <v>99253</v>
      </c>
      <c r="C82" s="20" t="s">
        <v>352</v>
      </c>
      <c r="D82" s="116">
        <v>0</v>
      </c>
      <c r="E82" s="410">
        <v>2.96</v>
      </c>
      <c r="F82" s="47">
        <f t="shared" si="8"/>
        <v>0</v>
      </c>
      <c r="G82" s="21">
        <f t="shared" si="6"/>
        <v>334.847905468585</v>
      </c>
      <c r="H82" s="116">
        <v>0</v>
      </c>
      <c r="I82" s="410">
        <v>2.96</v>
      </c>
      <c r="J82" s="47">
        <f t="shared" si="9"/>
        <v>0</v>
      </c>
      <c r="K82" s="21">
        <f t="shared" si="7"/>
        <v>334.847905468585</v>
      </c>
    </row>
    <row r="83" spans="1:11" s="22" customFormat="1" x14ac:dyDescent="0.35">
      <c r="A83" s="19">
        <v>71</v>
      </c>
      <c r="B83" s="19">
        <v>99254</v>
      </c>
      <c r="C83" s="20" t="s">
        <v>353</v>
      </c>
      <c r="D83" s="116">
        <v>0</v>
      </c>
      <c r="E83" s="410">
        <v>4.1100000000000003</v>
      </c>
      <c r="F83" s="47">
        <f t="shared" si="8"/>
        <v>0</v>
      </c>
      <c r="G83" s="21">
        <f t="shared" si="6"/>
        <v>464.94084171482581</v>
      </c>
      <c r="H83" s="116">
        <v>0</v>
      </c>
      <c r="I83" s="410">
        <v>4.1100000000000003</v>
      </c>
      <c r="J83" s="47">
        <f t="shared" si="9"/>
        <v>0</v>
      </c>
      <c r="K83" s="21">
        <f t="shared" si="7"/>
        <v>464.94084171482581</v>
      </c>
    </row>
    <row r="84" spans="1:11" s="22" customFormat="1" x14ac:dyDescent="0.35">
      <c r="A84" s="19">
        <v>72</v>
      </c>
      <c r="B84" s="19">
        <v>99255</v>
      </c>
      <c r="C84" s="20" t="s">
        <v>354</v>
      </c>
      <c r="D84" s="116">
        <v>0</v>
      </c>
      <c r="E84" s="410">
        <v>5.53</v>
      </c>
      <c r="F84" s="47">
        <f t="shared" si="8"/>
        <v>0</v>
      </c>
      <c r="G84" s="21">
        <f t="shared" si="6"/>
        <v>625.57733690583621</v>
      </c>
      <c r="H84" s="116">
        <v>0</v>
      </c>
      <c r="I84" s="410">
        <v>5.53</v>
      </c>
      <c r="J84" s="47">
        <f t="shared" si="9"/>
        <v>0</v>
      </c>
      <c r="K84" s="21">
        <f t="shared" si="7"/>
        <v>625.57733690583621</v>
      </c>
    </row>
    <row r="85" spans="1:11" s="22" customFormat="1" x14ac:dyDescent="0.35">
      <c r="A85" s="19">
        <v>73</v>
      </c>
      <c r="B85" s="19">
        <v>99281</v>
      </c>
      <c r="C85" s="20" t="s">
        <v>355</v>
      </c>
      <c r="D85" s="116">
        <v>0</v>
      </c>
      <c r="E85" s="410">
        <v>0.34</v>
      </c>
      <c r="F85" s="47">
        <f t="shared" si="8"/>
        <v>0</v>
      </c>
      <c r="G85" s="21">
        <f t="shared" si="6"/>
        <v>38.46225941193206</v>
      </c>
      <c r="H85" s="116">
        <v>0</v>
      </c>
      <c r="I85" s="410">
        <v>0.34</v>
      </c>
      <c r="J85" s="47">
        <f t="shared" si="9"/>
        <v>0</v>
      </c>
      <c r="K85" s="21">
        <f t="shared" si="7"/>
        <v>38.46225941193206</v>
      </c>
    </row>
    <row r="86" spans="1:11" s="22" customFormat="1" x14ac:dyDescent="0.35">
      <c r="A86" s="19">
        <v>74</v>
      </c>
      <c r="B86" s="19">
        <v>99282</v>
      </c>
      <c r="C86" s="20" t="s">
        <v>356</v>
      </c>
      <c r="D86" s="116">
        <v>0</v>
      </c>
      <c r="E86" s="410">
        <v>1.24</v>
      </c>
      <c r="F86" s="47">
        <f t="shared" si="8"/>
        <v>0</v>
      </c>
      <c r="G86" s="21">
        <f t="shared" si="6"/>
        <v>140.27412256116398</v>
      </c>
      <c r="H86" s="116">
        <v>0</v>
      </c>
      <c r="I86" s="410">
        <v>1.24</v>
      </c>
      <c r="J86" s="47">
        <f t="shared" si="9"/>
        <v>0</v>
      </c>
      <c r="K86" s="21">
        <f t="shared" si="7"/>
        <v>140.27412256116398</v>
      </c>
    </row>
    <row r="87" spans="1:11" s="22" customFormat="1" x14ac:dyDescent="0.35">
      <c r="A87" s="19">
        <v>75</v>
      </c>
      <c r="B87" s="19">
        <v>99283</v>
      </c>
      <c r="C87" s="20" t="s">
        <v>357</v>
      </c>
      <c r="D87" s="116">
        <v>0</v>
      </c>
      <c r="E87" s="410">
        <v>2.11</v>
      </c>
      <c r="F87" s="47">
        <f t="shared" si="8"/>
        <v>0</v>
      </c>
      <c r="G87" s="21">
        <f t="shared" si="6"/>
        <v>238.69225693875484</v>
      </c>
      <c r="H87" s="116">
        <v>0</v>
      </c>
      <c r="I87" s="410">
        <v>2.11</v>
      </c>
      <c r="J87" s="47">
        <f t="shared" si="9"/>
        <v>0</v>
      </c>
      <c r="K87" s="21">
        <f t="shared" si="7"/>
        <v>238.69225693875484</v>
      </c>
    </row>
    <row r="88" spans="1:11" s="22" customFormat="1" x14ac:dyDescent="0.35">
      <c r="A88" s="19">
        <v>76</v>
      </c>
      <c r="B88" s="19">
        <v>99284</v>
      </c>
      <c r="C88" s="20" t="s">
        <v>358</v>
      </c>
      <c r="D88" s="116">
        <v>0</v>
      </c>
      <c r="E88" s="410">
        <v>3.59</v>
      </c>
      <c r="F88" s="47">
        <f t="shared" si="8"/>
        <v>0</v>
      </c>
      <c r="G88" s="21">
        <f t="shared" si="6"/>
        <v>406.11620967304731</v>
      </c>
      <c r="H88" s="116">
        <v>0</v>
      </c>
      <c r="I88" s="410">
        <v>3.59</v>
      </c>
      <c r="J88" s="47">
        <f t="shared" si="9"/>
        <v>0</v>
      </c>
      <c r="K88" s="21">
        <f t="shared" si="7"/>
        <v>406.11620967304731</v>
      </c>
    </row>
    <row r="89" spans="1:11" s="22" customFormat="1" x14ac:dyDescent="0.35">
      <c r="A89" s="19">
        <v>77</v>
      </c>
      <c r="B89" s="19">
        <v>99285</v>
      </c>
      <c r="C89" s="20" t="s">
        <v>359</v>
      </c>
      <c r="D89" s="116">
        <v>0</v>
      </c>
      <c r="E89" s="410">
        <v>5.2</v>
      </c>
      <c r="F89" s="47">
        <f t="shared" si="8"/>
        <v>0</v>
      </c>
      <c r="G89" s="21">
        <f t="shared" si="6"/>
        <v>588.24632041778443</v>
      </c>
      <c r="H89" s="116">
        <v>0</v>
      </c>
      <c r="I89" s="410">
        <v>5.2</v>
      </c>
      <c r="J89" s="47">
        <f t="shared" si="9"/>
        <v>0</v>
      </c>
      <c r="K89" s="21">
        <f t="shared" si="7"/>
        <v>588.24632041778443</v>
      </c>
    </row>
    <row r="90" spans="1:11" s="22" customFormat="1" x14ac:dyDescent="0.35">
      <c r="A90" s="19">
        <v>78</v>
      </c>
      <c r="B90" s="19">
        <v>99304</v>
      </c>
      <c r="C90" s="20" t="s">
        <v>363</v>
      </c>
      <c r="D90" s="116">
        <v>0</v>
      </c>
      <c r="E90" s="410">
        <v>2.39</v>
      </c>
      <c r="F90" s="47">
        <f t="shared" si="8"/>
        <v>0</v>
      </c>
      <c r="G90" s="21">
        <f t="shared" si="6"/>
        <v>270.36705880740482</v>
      </c>
      <c r="H90" s="116">
        <v>0</v>
      </c>
      <c r="I90" s="410">
        <v>2.39</v>
      </c>
      <c r="J90" s="47">
        <f t="shared" si="9"/>
        <v>0</v>
      </c>
      <c r="K90" s="21">
        <f t="shared" si="7"/>
        <v>270.36705880740482</v>
      </c>
    </row>
    <row r="91" spans="1:11" s="22" customFormat="1" x14ac:dyDescent="0.35">
      <c r="A91" s="19">
        <v>79</v>
      </c>
      <c r="B91" s="19">
        <v>99305</v>
      </c>
      <c r="C91" s="20" t="s">
        <v>364</v>
      </c>
      <c r="D91" s="116">
        <v>0</v>
      </c>
      <c r="E91" s="410">
        <v>3.97</v>
      </c>
      <c r="F91" s="47">
        <f t="shared" si="8"/>
        <v>0</v>
      </c>
      <c r="G91" s="21">
        <f t="shared" si="6"/>
        <v>449.10344078050082</v>
      </c>
      <c r="H91" s="116">
        <v>0</v>
      </c>
      <c r="I91" s="410">
        <v>3.97</v>
      </c>
      <c r="J91" s="47">
        <f t="shared" si="9"/>
        <v>0</v>
      </c>
      <c r="K91" s="21">
        <f t="shared" si="7"/>
        <v>449.10344078050082</v>
      </c>
    </row>
    <row r="92" spans="1:11" s="22" customFormat="1" x14ac:dyDescent="0.35">
      <c r="A92" s="19">
        <v>80</v>
      </c>
      <c r="B92" s="19">
        <v>99306</v>
      </c>
      <c r="C92" s="20" t="s">
        <v>365</v>
      </c>
      <c r="D92" s="116">
        <v>0</v>
      </c>
      <c r="E92" s="410">
        <v>5.42</v>
      </c>
      <c r="F92" s="47">
        <f t="shared" si="8"/>
        <v>0</v>
      </c>
      <c r="G92" s="21">
        <f t="shared" si="6"/>
        <v>613.13366474315228</v>
      </c>
      <c r="H92" s="116">
        <v>0</v>
      </c>
      <c r="I92" s="410">
        <v>5.42</v>
      </c>
      <c r="J92" s="47">
        <f t="shared" si="9"/>
        <v>0</v>
      </c>
      <c r="K92" s="21">
        <f t="shared" si="7"/>
        <v>613.13366474315228</v>
      </c>
    </row>
    <row r="93" spans="1:11" s="22" customFormat="1" x14ac:dyDescent="0.35">
      <c r="A93" s="19">
        <v>81</v>
      </c>
      <c r="B93" s="19">
        <v>99307</v>
      </c>
      <c r="C93" s="20" t="s">
        <v>366</v>
      </c>
      <c r="D93" s="116">
        <v>0</v>
      </c>
      <c r="E93" s="410">
        <v>1.2</v>
      </c>
      <c r="F93" s="47">
        <f t="shared" si="8"/>
        <v>0</v>
      </c>
      <c r="G93" s="21">
        <f t="shared" si="6"/>
        <v>135.74915086564255</v>
      </c>
      <c r="H93" s="116">
        <v>0</v>
      </c>
      <c r="I93" s="410">
        <v>1.2</v>
      </c>
      <c r="J93" s="47">
        <f t="shared" si="9"/>
        <v>0</v>
      </c>
      <c r="K93" s="21">
        <f t="shared" si="7"/>
        <v>135.74915086564255</v>
      </c>
    </row>
    <row r="94" spans="1:11" s="22" customFormat="1" x14ac:dyDescent="0.35">
      <c r="A94" s="19">
        <v>82</v>
      </c>
      <c r="B94" s="19">
        <v>99308</v>
      </c>
      <c r="C94" s="20" t="s">
        <v>367</v>
      </c>
      <c r="D94" s="116">
        <v>0</v>
      </c>
      <c r="E94" s="410">
        <v>2.2200000000000002</v>
      </c>
      <c r="F94" s="47">
        <f t="shared" si="8"/>
        <v>0</v>
      </c>
      <c r="G94" s="21">
        <f t="shared" si="6"/>
        <v>251.13592910143876</v>
      </c>
      <c r="H94" s="116">
        <v>0</v>
      </c>
      <c r="I94" s="410">
        <v>2.2200000000000002</v>
      </c>
      <c r="J94" s="47">
        <f t="shared" si="9"/>
        <v>0</v>
      </c>
      <c r="K94" s="21">
        <f t="shared" si="7"/>
        <v>251.13592910143876</v>
      </c>
    </row>
    <row r="95" spans="1:11" s="22" customFormat="1" x14ac:dyDescent="0.35">
      <c r="A95" s="19">
        <v>83</v>
      </c>
      <c r="B95" s="19">
        <v>99309</v>
      </c>
      <c r="C95" s="20" t="s">
        <v>368</v>
      </c>
      <c r="D95" s="116">
        <v>2</v>
      </c>
      <c r="E95" s="410">
        <v>3.21</v>
      </c>
      <c r="F95" s="47">
        <f t="shared" si="8"/>
        <v>6.42</v>
      </c>
      <c r="G95" s="21">
        <f t="shared" si="6"/>
        <v>363.12897856559385</v>
      </c>
      <c r="H95" s="116">
        <v>0</v>
      </c>
      <c r="I95" s="410">
        <v>3.21</v>
      </c>
      <c r="J95" s="47">
        <f t="shared" si="9"/>
        <v>0</v>
      </c>
      <c r="K95" s="21">
        <f t="shared" si="7"/>
        <v>363.12897856559385</v>
      </c>
    </row>
    <row r="96" spans="1:11" s="22" customFormat="1" x14ac:dyDescent="0.35">
      <c r="A96" s="19">
        <v>84</v>
      </c>
      <c r="B96" s="19">
        <v>99310</v>
      </c>
      <c r="C96" s="20" t="s">
        <v>369</v>
      </c>
      <c r="D96" s="116">
        <v>1</v>
      </c>
      <c r="E96" s="410">
        <v>4.58</v>
      </c>
      <c r="F96" s="47">
        <f t="shared" si="8"/>
        <v>4.58</v>
      </c>
      <c r="G96" s="21">
        <f t="shared" si="6"/>
        <v>518.10925913720246</v>
      </c>
      <c r="H96" s="116">
        <v>0</v>
      </c>
      <c r="I96" s="410">
        <v>4.58</v>
      </c>
      <c r="J96" s="47">
        <f t="shared" si="9"/>
        <v>0</v>
      </c>
      <c r="K96" s="21">
        <f t="shared" si="7"/>
        <v>518.10925913720246</v>
      </c>
    </row>
    <row r="97" spans="1:11" s="22" customFormat="1" x14ac:dyDescent="0.35">
      <c r="A97" s="19">
        <v>85</v>
      </c>
      <c r="B97" s="19">
        <v>99315</v>
      </c>
      <c r="C97" s="20" t="s">
        <v>370</v>
      </c>
      <c r="D97" s="116">
        <v>0</v>
      </c>
      <c r="E97" s="410">
        <v>2.4300000000000002</v>
      </c>
      <c r="F97" s="47">
        <f t="shared" si="8"/>
        <v>0</v>
      </c>
      <c r="G97" s="21">
        <f t="shared" si="6"/>
        <v>274.89203050292622</v>
      </c>
      <c r="H97" s="116">
        <v>0</v>
      </c>
      <c r="I97" s="410">
        <v>2.4300000000000002</v>
      </c>
      <c r="J97" s="47">
        <f t="shared" si="9"/>
        <v>0</v>
      </c>
      <c r="K97" s="21">
        <f t="shared" si="7"/>
        <v>274.89203050292622</v>
      </c>
    </row>
    <row r="98" spans="1:11" s="22" customFormat="1" x14ac:dyDescent="0.35">
      <c r="A98" s="19">
        <v>86</v>
      </c>
      <c r="B98" s="19">
        <v>99316</v>
      </c>
      <c r="C98" s="20" t="s">
        <v>128</v>
      </c>
      <c r="D98" s="116">
        <v>0</v>
      </c>
      <c r="E98" s="410">
        <v>3.9</v>
      </c>
      <c r="F98" s="47">
        <f t="shared" si="8"/>
        <v>0</v>
      </c>
      <c r="G98" s="21">
        <f t="shared" si="6"/>
        <v>441.18474031333835</v>
      </c>
      <c r="H98" s="116">
        <v>0</v>
      </c>
      <c r="I98" s="410">
        <v>3.9</v>
      </c>
      <c r="J98" s="47">
        <f t="shared" si="9"/>
        <v>0</v>
      </c>
      <c r="K98" s="21">
        <f t="shared" si="7"/>
        <v>441.18474031333835</v>
      </c>
    </row>
    <row r="99" spans="1:11" s="22" customFormat="1" x14ac:dyDescent="0.35">
      <c r="A99" s="19">
        <v>87</v>
      </c>
      <c r="B99" s="19">
        <v>99341</v>
      </c>
      <c r="C99" s="20" t="s">
        <v>371</v>
      </c>
      <c r="D99" s="116">
        <v>0</v>
      </c>
      <c r="E99" s="410">
        <v>1.47</v>
      </c>
      <c r="F99" s="47">
        <f t="shared" si="8"/>
        <v>0</v>
      </c>
      <c r="G99" s="21">
        <f t="shared" si="6"/>
        <v>166.29270981041213</v>
      </c>
      <c r="H99" s="116">
        <v>0</v>
      </c>
      <c r="I99" s="410">
        <v>1.47</v>
      </c>
      <c r="J99" s="47">
        <f t="shared" si="9"/>
        <v>0</v>
      </c>
      <c r="K99" s="21">
        <f t="shared" si="7"/>
        <v>166.29270981041213</v>
      </c>
    </row>
    <row r="100" spans="1:11" s="22" customFormat="1" x14ac:dyDescent="0.35">
      <c r="A100" s="19">
        <v>88</v>
      </c>
      <c r="B100" s="19">
        <v>99342</v>
      </c>
      <c r="C100" s="20" t="s">
        <v>372</v>
      </c>
      <c r="D100" s="116">
        <v>0</v>
      </c>
      <c r="E100" s="410">
        <v>2.33</v>
      </c>
      <c r="F100" s="47">
        <f t="shared" si="8"/>
        <v>0</v>
      </c>
      <c r="G100" s="21">
        <f t="shared" si="6"/>
        <v>263.57960126412263</v>
      </c>
      <c r="H100" s="116">
        <v>0</v>
      </c>
      <c r="I100" s="410">
        <v>2.33</v>
      </c>
      <c r="J100" s="47">
        <f t="shared" si="9"/>
        <v>0</v>
      </c>
      <c r="K100" s="21">
        <f t="shared" si="7"/>
        <v>263.57960126412263</v>
      </c>
    </row>
    <row r="101" spans="1:11" s="22" customFormat="1" x14ac:dyDescent="0.35">
      <c r="A101" s="19">
        <v>89</v>
      </c>
      <c r="B101" s="19">
        <v>99344</v>
      </c>
      <c r="C101" s="20" t="s">
        <v>373</v>
      </c>
      <c r="D101" s="116">
        <v>0</v>
      </c>
      <c r="E101" s="410">
        <v>4.2300000000000004</v>
      </c>
      <c r="F101" s="47">
        <f t="shared" si="8"/>
        <v>0</v>
      </c>
      <c r="G101" s="21">
        <f t="shared" si="6"/>
        <v>478.51575680139007</v>
      </c>
      <c r="H101" s="116">
        <v>0</v>
      </c>
      <c r="I101" s="410">
        <v>4.2300000000000004</v>
      </c>
      <c r="J101" s="47">
        <f t="shared" si="9"/>
        <v>0</v>
      </c>
      <c r="K101" s="21">
        <f t="shared" si="7"/>
        <v>478.51575680139007</v>
      </c>
    </row>
    <row r="102" spans="1:11" s="22" customFormat="1" x14ac:dyDescent="0.35">
      <c r="A102" s="19">
        <v>90</v>
      </c>
      <c r="B102" s="19">
        <v>99345</v>
      </c>
      <c r="C102" s="20" t="s">
        <v>374</v>
      </c>
      <c r="D102" s="116">
        <v>0</v>
      </c>
      <c r="E102" s="410">
        <v>6.01</v>
      </c>
      <c r="F102" s="47">
        <f t="shared" si="8"/>
        <v>0</v>
      </c>
      <c r="G102" s="21">
        <f t="shared" si="6"/>
        <v>679.87699725209313</v>
      </c>
      <c r="H102" s="116">
        <v>0</v>
      </c>
      <c r="I102" s="410">
        <v>6.01</v>
      </c>
      <c r="J102" s="47">
        <f t="shared" si="9"/>
        <v>0</v>
      </c>
      <c r="K102" s="21">
        <f t="shared" si="7"/>
        <v>679.87699725209313</v>
      </c>
    </row>
    <row r="103" spans="1:11" s="22" customFormat="1" x14ac:dyDescent="0.35">
      <c r="A103" s="19">
        <v>91</v>
      </c>
      <c r="B103" s="19">
        <v>99347</v>
      </c>
      <c r="C103" s="20" t="s">
        <v>375</v>
      </c>
      <c r="D103" s="116">
        <v>0</v>
      </c>
      <c r="E103" s="410">
        <v>1.35</v>
      </c>
      <c r="F103" s="47">
        <f t="shared" si="8"/>
        <v>0</v>
      </c>
      <c r="G103" s="21">
        <f t="shared" si="6"/>
        <v>152.7177947238479</v>
      </c>
      <c r="H103" s="116">
        <v>0</v>
      </c>
      <c r="I103" s="410">
        <v>1.35</v>
      </c>
      <c r="J103" s="47">
        <f t="shared" si="9"/>
        <v>0</v>
      </c>
      <c r="K103" s="21">
        <f t="shared" si="7"/>
        <v>152.7177947238479</v>
      </c>
    </row>
    <row r="104" spans="1:11" s="22" customFormat="1" x14ac:dyDescent="0.35">
      <c r="A104" s="19">
        <v>92</v>
      </c>
      <c r="B104" s="19">
        <v>99348</v>
      </c>
      <c r="C104" s="20" t="s">
        <v>376</v>
      </c>
      <c r="D104" s="116">
        <v>0</v>
      </c>
      <c r="E104" s="410">
        <v>2.2799999999999998</v>
      </c>
      <c r="F104" s="47">
        <f t="shared" si="8"/>
        <v>0</v>
      </c>
      <c r="G104" s="21">
        <f t="shared" si="6"/>
        <v>257.92338664472084</v>
      </c>
      <c r="H104" s="116">
        <v>0</v>
      </c>
      <c r="I104" s="410">
        <v>2.2799999999999998</v>
      </c>
      <c r="J104" s="47">
        <f t="shared" si="9"/>
        <v>0</v>
      </c>
      <c r="K104" s="21">
        <f t="shared" si="7"/>
        <v>257.92338664472084</v>
      </c>
    </row>
    <row r="105" spans="1:11" s="22" customFormat="1" x14ac:dyDescent="0.35">
      <c r="A105" s="19">
        <v>93</v>
      </c>
      <c r="B105" s="19">
        <v>99349</v>
      </c>
      <c r="C105" s="20" t="s">
        <v>377</v>
      </c>
      <c r="D105" s="116">
        <v>0</v>
      </c>
      <c r="E105" s="410">
        <v>3.79</v>
      </c>
      <c r="F105" s="47">
        <f t="shared" si="8"/>
        <v>0</v>
      </c>
      <c r="G105" s="21">
        <f t="shared" si="6"/>
        <v>428.74106815065443</v>
      </c>
      <c r="H105" s="116">
        <v>0</v>
      </c>
      <c r="I105" s="410">
        <v>3.79</v>
      </c>
      <c r="J105" s="47">
        <f t="shared" si="9"/>
        <v>0</v>
      </c>
      <c r="K105" s="21">
        <f t="shared" si="7"/>
        <v>428.74106815065443</v>
      </c>
    </row>
    <row r="106" spans="1:11" s="22" customFormat="1" x14ac:dyDescent="0.35">
      <c r="A106" s="19">
        <v>94</v>
      </c>
      <c r="B106" s="19">
        <v>99350</v>
      </c>
      <c r="C106" s="20" t="s">
        <v>378</v>
      </c>
      <c r="D106" s="116">
        <v>0</v>
      </c>
      <c r="E106" s="410">
        <v>5.52</v>
      </c>
      <c r="F106" s="47">
        <f t="shared" si="8"/>
        <v>0</v>
      </c>
      <c r="G106" s="21">
        <f t="shared" si="6"/>
        <v>624.44609398195576</v>
      </c>
      <c r="H106" s="116">
        <v>0</v>
      </c>
      <c r="I106" s="410">
        <v>5.52</v>
      </c>
      <c r="J106" s="47">
        <f t="shared" si="9"/>
        <v>0</v>
      </c>
      <c r="K106" s="21">
        <f t="shared" si="7"/>
        <v>624.44609398195576</v>
      </c>
    </row>
    <row r="107" spans="1:11" s="22" customFormat="1" x14ac:dyDescent="0.35">
      <c r="A107" s="19">
        <v>95</v>
      </c>
      <c r="B107" s="19">
        <v>99366</v>
      </c>
      <c r="C107" s="20" t="s">
        <v>379</v>
      </c>
      <c r="D107" s="116">
        <v>0</v>
      </c>
      <c r="E107" s="410">
        <v>1.22</v>
      </c>
      <c r="F107" s="47">
        <f t="shared" si="8"/>
        <v>0</v>
      </c>
      <c r="G107" s="21">
        <f t="shared" si="6"/>
        <v>138.01163671340328</v>
      </c>
      <c r="H107" s="116">
        <v>0</v>
      </c>
      <c r="I107" s="410">
        <v>1.19</v>
      </c>
      <c r="J107" s="47">
        <f t="shared" si="9"/>
        <v>0</v>
      </c>
      <c r="K107" s="21">
        <f t="shared" si="7"/>
        <v>134.61790794176221</v>
      </c>
    </row>
    <row r="108" spans="1:11" s="22" customFormat="1" x14ac:dyDescent="0.35">
      <c r="A108" s="19">
        <v>96</v>
      </c>
      <c r="B108" s="19">
        <v>99367</v>
      </c>
      <c r="C108" s="20" t="s">
        <v>380</v>
      </c>
      <c r="D108" s="116">
        <v>0</v>
      </c>
      <c r="E108" s="410">
        <v>1.6</v>
      </c>
      <c r="F108" s="47">
        <f t="shared" si="8"/>
        <v>0</v>
      </c>
      <c r="G108" s="21">
        <f t="shared" si="6"/>
        <v>180.99886782085676</v>
      </c>
      <c r="H108" s="116">
        <v>0</v>
      </c>
      <c r="I108" s="410">
        <v>1.6</v>
      </c>
      <c r="J108" s="47">
        <f t="shared" si="9"/>
        <v>0</v>
      </c>
      <c r="K108" s="21">
        <f t="shared" si="7"/>
        <v>180.99886782085676</v>
      </c>
    </row>
    <row r="109" spans="1:11" s="22" customFormat="1" x14ac:dyDescent="0.35">
      <c r="A109" s="19">
        <v>97</v>
      </c>
      <c r="B109" s="19">
        <v>99368</v>
      </c>
      <c r="C109" s="20" t="s">
        <v>381</v>
      </c>
      <c r="D109" s="116">
        <v>0</v>
      </c>
      <c r="E109" s="410">
        <v>1.04</v>
      </c>
      <c r="F109" s="47">
        <f t="shared" si="8"/>
        <v>0</v>
      </c>
      <c r="G109" s="21">
        <f t="shared" si="6"/>
        <v>117.6492640835569</v>
      </c>
      <c r="H109" s="116">
        <v>0</v>
      </c>
      <c r="I109" s="410">
        <v>1.04</v>
      </c>
      <c r="J109" s="47">
        <f t="shared" si="9"/>
        <v>0</v>
      </c>
      <c r="K109" s="21">
        <f t="shared" si="7"/>
        <v>117.6492640835569</v>
      </c>
    </row>
    <row r="110" spans="1:11" s="22" customFormat="1" x14ac:dyDescent="0.35">
      <c r="A110" s="19">
        <v>98</v>
      </c>
      <c r="B110" s="19">
        <v>99441</v>
      </c>
      <c r="C110" s="20" t="s">
        <v>382</v>
      </c>
      <c r="D110" s="116">
        <v>26</v>
      </c>
      <c r="E110" s="410">
        <v>1.69</v>
      </c>
      <c r="F110" s="47">
        <f t="shared" si="8"/>
        <v>43.94</v>
      </c>
      <c r="G110" s="21">
        <f t="shared" si="6"/>
        <v>191.18005413577993</v>
      </c>
      <c r="H110" s="116">
        <v>3</v>
      </c>
      <c r="I110" s="410">
        <v>1.04</v>
      </c>
      <c r="J110" s="47">
        <f t="shared" si="9"/>
        <v>3.12</v>
      </c>
      <c r="K110" s="21">
        <f t="shared" si="7"/>
        <v>117.6492640835569</v>
      </c>
    </row>
    <row r="111" spans="1:11" s="22" customFormat="1" x14ac:dyDescent="0.35">
      <c r="A111" s="19">
        <v>99</v>
      </c>
      <c r="B111" s="19">
        <v>99442</v>
      </c>
      <c r="C111" s="20" t="s">
        <v>383</v>
      </c>
      <c r="D111" s="116">
        <v>8</v>
      </c>
      <c r="E111" s="410">
        <v>2.72</v>
      </c>
      <c r="F111" s="47">
        <f t="shared" si="8"/>
        <v>21.76</v>
      </c>
      <c r="G111" s="21">
        <f t="shared" si="6"/>
        <v>307.69807529545648</v>
      </c>
      <c r="H111" s="116">
        <v>2</v>
      </c>
      <c r="I111" s="410">
        <v>1.95</v>
      </c>
      <c r="J111" s="47">
        <f t="shared" si="9"/>
        <v>3.9</v>
      </c>
      <c r="K111" s="21">
        <f t="shared" si="7"/>
        <v>220.59237015666918</v>
      </c>
    </row>
    <row r="112" spans="1:11" s="22" customFormat="1" x14ac:dyDescent="0.35">
      <c r="A112" s="19">
        <v>100</v>
      </c>
      <c r="B112" s="19">
        <v>99443</v>
      </c>
      <c r="C112" s="20" t="s">
        <v>384</v>
      </c>
      <c r="D112" s="116">
        <v>3</v>
      </c>
      <c r="E112" s="410">
        <v>3.85</v>
      </c>
      <c r="F112" s="47">
        <f t="shared" si="8"/>
        <v>11.55</v>
      </c>
      <c r="G112" s="21">
        <f t="shared" si="6"/>
        <v>435.52852569393656</v>
      </c>
      <c r="H112" s="116">
        <v>1</v>
      </c>
      <c r="I112" s="410">
        <v>2.89</v>
      </c>
      <c r="J112" s="47">
        <f t="shared" si="9"/>
        <v>2.89</v>
      </c>
      <c r="K112" s="21">
        <f t="shared" si="7"/>
        <v>326.92920500142253</v>
      </c>
    </row>
    <row r="113" spans="1:11" s="22" customFormat="1" ht="34.5" customHeight="1" x14ac:dyDescent="0.35">
      <c r="A113" s="19">
        <v>101</v>
      </c>
      <c r="B113" s="19" t="s">
        <v>42</v>
      </c>
      <c r="C113" s="20" t="s">
        <v>385</v>
      </c>
      <c r="D113" s="116">
        <v>0</v>
      </c>
      <c r="E113" s="410">
        <v>1.27</v>
      </c>
      <c r="F113" s="47">
        <f t="shared" si="8"/>
        <v>0</v>
      </c>
      <c r="G113" s="21">
        <f t="shared" si="6"/>
        <v>143.66785133280504</v>
      </c>
      <c r="H113" s="116">
        <v>0</v>
      </c>
      <c r="I113" s="410">
        <v>1.1100000000000001</v>
      </c>
      <c r="J113" s="47">
        <f t="shared" si="9"/>
        <v>0</v>
      </c>
      <c r="K113" s="21">
        <f t="shared" si="7"/>
        <v>125.56796455071938</v>
      </c>
    </row>
    <row r="114" spans="1:11" s="22" customFormat="1" ht="29" x14ac:dyDescent="0.35">
      <c r="A114" s="19">
        <v>102</v>
      </c>
      <c r="B114" s="19" t="s">
        <v>43</v>
      </c>
      <c r="C114" s="20" t="s">
        <v>386</v>
      </c>
      <c r="D114" s="116">
        <v>0</v>
      </c>
      <c r="E114" s="410">
        <v>0.75</v>
      </c>
      <c r="F114" s="47">
        <f t="shared" si="8"/>
        <v>0</v>
      </c>
      <c r="G114" s="21">
        <f t="shared" si="6"/>
        <v>84.8432192910266</v>
      </c>
      <c r="H114" s="116">
        <v>0</v>
      </c>
      <c r="I114" s="410">
        <v>0.37</v>
      </c>
      <c r="J114" s="47">
        <f t="shared" si="9"/>
        <v>0</v>
      </c>
      <c r="K114" s="21">
        <f t="shared" si="7"/>
        <v>41.855988183573125</v>
      </c>
    </row>
    <row r="115" spans="1:11" s="22" customFormat="1" x14ac:dyDescent="0.35">
      <c r="A115" s="19">
        <v>103</v>
      </c>
      <c r="B115" s="19" t="s">
        <v>44</v>
      </c>
      <c r="C115" s="20" t="s">
        <v>129</v>
      </c>
      <c r="D115" s="116">
        <v>2</v>
      </c>
      <c r="E115" s="410">
        <v>5.17</v>
      </c>
      <c r="F115" s="47">
        <f t="shared" si="8"/>
        <v>10.34</v>
      </c>
      <c r="G115" s="21">
        <f t="shared" si="6"/>
        <v>584.85259164614342</v>
      </c>
      <c r="H115" s="116">
        <v>27</v>
      </c>
      <c r="I115" s="410">
        <v>4.43</v>
      </c>
      <c r="J115" s="47">
        <f t="shared" si="9"/>
        <v>119.60999999999999</v>
      </c>
      <c r="K115" s="21">
        <f t="shared" si="7"/>
        <v>501.14061527899713</v>
      </c>
    </row>
    <row r="116" spans="1:11" s="22" customFormat="1" x14ac:dyDescent="0.35">
      <c r="A116" s="19">
        <v>104</v>
      </c>
      <c r="B116" s="19" t="s">
        <v>45</v>
      </c>
      <c r="C116" s="20" t="s">
        <v>387</v>
      </c>
      <c r="D116" s="116">
        <v>2628</v>
      </c>
      <c r="E116" s="410">
        <v>0.72</v>
      </c>
      <c r="F116" s="47">
        <f t="shared" si="8"/>
        <v>1892.1599999999999</v>
      </c>
      <c r="G116" s="21">
        <f t="shared" si="6"/>
        <v>81.449490519385535</v>
      </c>
      <c r="H116" s="116">
        <v>7912</v>
      </c>
      <c r="I116" s="410">
        <v>0.66</v>
      </c>
      <c r="J116" s="47">
        <f t="shared" si="9"/>
        <v>5221.92</v>
      </c>
      <c r="K116" s="21">
        <f t="shared" si="7"/>
        <v>74.662032976103418</v>
      </c>
    </row>
    <row r="117" spans="1:11" s="22" customFormat="1" ht="29" x14ac:dyDescent="0.35">
      <c r="A117" s="19">
        <v>105</v>
      </c>
      <c r="B117" s="19" t="s">
        <v>19</v>
      </c>
      <c r="C117" s="20" t="s">
        <v>39</v>
      </c>
      <c r="D117" s="116">
        <v>0</v>
      </c>
      <c r="E117" s="410">
        <v>0</v>
      </c>
      <c r="F117" s="47">
        <f t="shared" si="8"/>
        <v>0</v>
      </c>
      <c r="G117" s="21">
        <f t="shared" si="6"/>
        <v>0</v>
      </c>
      <c r="H117" s="116">
        <v>0</v>
      </c>
      <c r="I117" s="410">
        <v>0</v>
      </c>
      <c r="J117" s="47">
        <f t="shared" si="9"/>
        <v>0</v>
      </c>
      <c r="K117" s="21">
        <f t="shared" si="7"/>
        <v>0</v>
      </c>
    </row>
    <row r="118" spans="1:11" s="22" customFormat="1" x14ac:dyDescent="0.35">
      <c r="A118" s="19">
        <v>106</v>
      </c>
      <c r="B118" s="19" t="s">
        <v>46</v>
      </c>
      <c r="C118" s="20" t="s">
        <v>130</v>
      </c>
      <c r="D118" s="116">
        <v>11980</v>
      </c>
      <c r="E118" s="410">
        <v>1.18</v>
      </c>
      <c r="F118" s="47">
        <f t="shared" si="8"/>
        <v>14136.4</v>
      </c>
      <c r="G118" s="21">
        <f t="shared" si="6"/>
        <v>133.48666501788185</v>
      </c>
      <c r="H118" s="116">
        <v>13463</v>
      </c>
      <c r="I118" s="410">
        <v>1.03</v>
      </c>
      <c r="J118" s="47">
        <f t="shared" si="9"/>
        <v>13866.890000000001</v>
      </c>
      <c r="K118" s="21">
        <f t="shared" si="7"/>
        <v>116.51802115967654</v>
      </c>
    </row>
    <row r="119" spans="1:11" s="22" customFormat="1" x14ac:dyDescent="0.35">
      <c r="A119" s="19">
        <v>107</v>
      </c>
      <c r="B119" s="19" t="s">
        <v>47</v>
      </c>
      <c r="C119" s="20" t="s">
        <v>131</v>
      </c>
      <c r="D119" s="116">
        <v>2087</v>
      </c>
      <c r="E119" s="410">
        <v>0.83</v>
      </c>
      <c r="F119" s="47">
        <f t="shared" si="8"/>
        <v>1732.2099999999998</v>
      </c>
      <c r="G119" s="21">
        <f t="shared" si="6"/>
        <v>93.893162682069431</v>
      </c>
      <c r="H119" s="116">
        <v>3739</v>
      </c>
      <c r="I119" s="410">
        <v>0.72</v>
      </c>
      <c r="J119" s="47">
        <f t="shared" si="9"/>
        <v>2692.08</v>
      </c>
      <c r="K119" s="21">
        <f t="shared" si="7"/>
        <v>81.449490519385535</v>
      </c>
    </row>
    <row r="120" spans="1:11" s="22" customFormat="1" x14ac:dyDescent="0.35">
      <c r="A120" s="19">
        <v>108</v>
      </c>
      <c r="B120" s="19" t="s">
        <v>48</v>
      </c>
      <c r="C120" s="20" t="s">
        <v>132</v>
      </c>
      <c r="D120" s="116">
        <v>45</v>
      </c>
      <c r="E120" s="410">
        <v>0.64</v>
      </c>
      <c r="F120" s="47">
        <f t="shared" si="8"/>
        <v>28.8</v>
      </c>
      <c r="G120" s="21">
        <f t="shared" si="6"/>
        <v>72.399547128342704</v>
      </c>
      <c r="H120" s="116">
        <v>246</v>
      </c>
      <c r="I120" s="410">
        <v>0.6</v>
      </c>
      <c r="J120" s="47">
        <f t="shared" si="9"/>
        <v>147.6</v>
      </c>
      <c r="K120" s="21">
        <f t="shared" si="7"/>
        <v>67.874575432821274</v>
      </c>
    </row>
    <row r="121" spans="1:11" s="22" customFormat="1" x14ac:dyDescent="0.35">
      <c r="A121" s="19">
        <v>109</v>
      </c>
      <c r="B121" s="19" t="s">
        <v>21</v>
      </c>
      <c r="C121" s="20" t="s">
        <v>24</v>
      </c>
      <c r="D121" s="116">
        <v>0</v>
      </c>
      <c r="E121" s="410">
        <v>0</v>
      </c>
      <c r="F121" s="47">
        <f t="shared" si="8"/>
        <v>0</v>
      </c>
      <c r="G121" s="21">
        <f t="shared" si="6"/>
        <v>0</v>
      </c>
      <c r="H121" s="116">
        <v>0</v>
      </c>
      <c r="I121" s="410">
        <v>0</v>
      </c>
      <c r="J121" s="47">
        <f t="shared" si="9"/>
        <v>0</v>
      </c>
      <c r="K121" s="21">
        <f t="shared" si="7"/>
        <v>0</v>
      </c>
    </row>
    <row r="122" spans="1:11" s="22" customFormat="1" ht="29" x14ac:dyDescent="0.35">
      <c r="A122" s="19">
        <v>110</v>
      </c>
      <c r="B122" s="19" t="s">
        <v>49</v>
      </c>
      <c r="C122" s="20" t="s">
        <v>388</v>
      </c>
      <c r="D122" s="116">
        <v>0</v>
      </c>
      <c r="E122" s="410">
        <v>0</v>
      </c>
      <c r="F122" s="47">
        <f t="shared" si="8"/>
        <v>0</v>
      </c>
      <c r="G122" s="21">
        <f t="shared" si="6"/>
        <v>0</v>
      </c>
      <c r="H122" s="116">
        <v>0</v>
      </c>
      <c r="I122" s="410">
        <v>0</v>
      </c>
      <c r="J122" s="47">
        <f t="shared" si="9"/>
        <v>0</v>
      </c>
      <c r="K122" s="21">
        <f t="shared" si="7"/>
        <v>0</v>
      </c>
    </row>
    <row r="123" spans="1:11" s="22" customFormat="1" ht="29" x14ac:dyDescent="0.35">
      <c r="A123" s="19">
        <v>111</v>
      </c>
      <c r="B123" s="19" t="s">
        <v>33</v>
      </c>
      <c r="C123" s="20" t="s">
        <v>389</v>
      </c>
      <c r="D123" s="116">
        <v>0</v>
      </c>
      <c r="E123" s="410">
        <v>0</v>
      </c>
      <c r="F123" s="47">
        <f t="shared" si="8"/>
        <v>0</v>
      </c>
      <c r="G123" s="21">
        <f t="shared" si="6"/>
        <v>0</v>
      </c>
      <c r="H123" s="116">
        <v>0</v>
      </c>
      <c r="I123" s="410">
        <v>0</v>
      </c>
      <c r="J123" s="47">
        <f t="shared" si="9"/>
        <v>0</v>
      </c>
      <c r="K123" s="21">
        <f t="shared" si="7"/>
        <v>0</v>
      </c>
    </row>
    <row r="124" spans="1:11" s="22" customFormat="1" x14ac:dyDescent="0.35">
      <c r="A124" s="19">
        <v>112</v>
      </c>
      <c r="B124" s="19" t="s">
        <v>50</v>
      </c>
      <c r="C124" s="20" t="s">
        <v>390</v>
      </c>
      <c r="D124" s="116">
        <v>0</v>
      </c>
      <c r="E124" s="410">
        <v>2.64</v>
      </c>
      <c r="F124" s="47">
        <f t="shared" ref="F124:F187" si="10">D124*E124</f>
        <v>0</v>
      </c>
      <c r="G124" s="21">
        <f t="shared" ref="G124:G186" si="11">E124*$F$12</f>
        <v>298.64813190441367</v>
      </c>
      <c r="H124" s="116">
        <v>0</v>
      </c>
      <c r="I124" s="410">
        <v>2.64</v>
      </c>
      <c r="J124" s="47">
        <f t="shared" ref="J124:J187" si="12">H124*I124</f>
        <v>0</v>
      </c>
      <c r="K124" s="21">
        <f t="shared" ref="K124:K186" si="13">I124*$F$12</f>
        <v>298.64813190441367</v>
      </c>
    </row>
    <row r="125" spans="1:11" s="22" customFormat="1" x14ac:dyDescent="0.35">
      <c r="A125" s="19">
        <v>113</v>
      </c>
      <c r="B125" s="19" t="s">
        <v>51</v>
      </c>
      <c r="C125" s="20" t="s">
        <v>133</v>
      </c>
      <c r="D125" s="116">
        <v>0</v>
      </c>
      <c r="E125" s="410">
        <v>0</v>
      </c>
      <c r="F125" s="47">
        <f t="shared" si="10"/>
        <v>0</v>
      </c>
      <c r="G125" s="21">
        <f t="shared" si="11"/>
        <v>0</v>
      </c>
      <c r="H125" s="116">
        <v>1986</v>
      </c>
      <c r="I125" s="410">
        <v>0</v>
      </c>
      <c r="J125" s="47">
        <f t="shared" si="12"/>
        <v>0</v>
      </c>
      <c r="K125" s="21">
        <f t="shared" si="13"/>
        <v>0</v>
      </c>
    </row>
    <row r="126" spans="1:11" s="22" customFormat="1" x14ac:dyDescent="0.35">
      <c r="A126" s="19">
        <v>114</v>
      </c>
      <c r="B126" s="19" t="s">
        <v>52</v>
      </c>
      <c r="C126" s="20" t="s">
        <v>134</v>
      </c>
      <c r="D126" s="116">
        <v>0</v>
      </c>
      <c r="E126" s="410">
        <v>0</v>
      </c>
      <c r="F126" s="47">
        <f t="shared" si="10"/>
        <v>0</v>
      </c>
      <c r="G126" s="21">
        <f t="shared" si="11"/>
        <v>0</v>
      </c>
      <c r="H126" s="116">
        <v>0</v>
      </c>
      <c r="I126" s="410">
        <v>0</v>
      </c>
      <c r="J126" s="47">
        <f t="shared" si="12"/>
        <v>0</v>
      </c>
      <c r="K126" s="21">
        <f t="shared" si="13"/>
        <v>0</v>
      </c>
    </row>
    <row r="127" spans="1:11" s="22" customFormat="1" x14ac:dyDescent="0.35">
      <c r="A127" s="19">
        <v>115</v>
      </c>
      <c r="B127" s="19" t="s">
        <v>53</v>
      </c>
      <c r="C127" s="20" t="s">
        <v>135</v>
      </c>
      <c r="D127" s="116">
        <v>0</v>
      </c>
      <c r="E127" s="410">
        <v>0</v>
      </c>
      <c r="F127" s="47">
        <f t="shared" si="10"/>
        <v>0</v>
      </c>
      <c r="G127" s="21">
        <f t="shared" si="11"/>
        <v>0</v>
      </c>
      <c r="H127" s="116">
        <v>0</v>
      </c>
      <c r="I127" s="410">
        <v>0</v>
      </c>
      <c r="J127" s="47">
        <f t="shared" si="12"/>
        <v>0</v>
      </c>
      <c r="K127" s="21">
        <f t="shared" si="13"/>
        <v>0</v>
      </c>
    </row>
    <row r="128" spans="1:11" s="22" customFormat="1" ht="29" x14ac:dyDescent="0.35">
      <c r="A128" s="19">
        <v>116</v>
      </c>
      <c r="B128" s="19" t="s">
        <v>54</v>
      </c>
      <c r="C128" s="20" t="s">
        <v>391</v>
      </c>
      <c r="D128" s="116">
        <v>8185</v>
      </c>
      <c r="E128" s="410">
        <v>1.02</v>
      </c>
      <c r="F128" s="47">
        <f t="shared" si="10"/>
        <v>8348.7000000000007</v>
      </c>
      <c r="G128" s="21">
        <f t="shared" si="11"/>
        <v>115.38677823579619</v>
      </c>
      <c r="H128" s="116">
        <v>13709</v>
      </c>
      <c r="I128" s="410">
        <v>0.94</v>
      </c>
      <c r="J128" s="47">
        <f t="shared" si="12"/>
        <v>12886.46</v>
      </c>
      <c r="K128" s="21">
        <f t="shared" si="13"/>
        <v>106.33683484475334</v>
      </c>
    </row>
    <row r="129" spans="1:11" s="22" customFormat="1" x14ac:dyDescent="0.35">
      <c r="A129" s="19">
        <v>117</v>
      </c>
      <c r="B129" s="19" t="s">
        <v>22</v>
      </c>
      <c r="C129" s="20" t="s">
        <v>25</v>
      </c>
      <c r="D129" s="116">
        <v>0</v>
      </c>
      <c r="E129" s="410">
        <v>0</v>
      </c>
      <c r="F129" s="47">
        <f t="shared" si="10"/>
        <v>0</v>
      </c>
      <c r="G129" s="21">
        <f t="shared" si="11"/>
        <v>0</v>
      </c>
      <c r="H129" s="116">
        <v>0</v>
      </c>
      <c r="I129" s="410">
        <v>0</v>
      </c>
      <c r="J129" s="47">
        <f t="shared" si="12"/>
        <v>0</v>
      </c>
      <c r="K129" s="21">
        <f t="shared" si="13"/>
        <v>0</v>
      </c>
    </row>
    <row r="130" spans="1:11" s="22" customFormat="1" x14ac:dyDescent="0.35">
      <c r="A130" s="19">
        <v>118</v>
      </c>
      <c r="B130" s="19" t="s">
        <v>55</v>
      </c>
      <c r="C130" s="20" t="s">
        <v>392</v>
      </c>
      <c r="D130" s="116">
        <v>0</v>
      </c>
      <c r="E130" s="410">
        <v>0.12</v>
      </c>
      <c r="F130" s="47">
        <f t="shared" si="10"/>
        <v>0</v>
      </c>
      <c r="G130" s="21">
        <f t="shared" si="11"/>
        <v>13.574915086564255</v>
      </c>
      <c r="H130" s="116">
        <v>36122</v>
      </c>
      <c r="I130" s="410">
        <v>0.09</v>
      </c>
      <c r="J130" s="47">
        <f t="shared" si="12"/>
        <v>3250.98</v>
      </c>
      <c r="K130" s="21">
        <f t="shared" si="13"/>
        <v>10.181186314923192</v>
      </c>
    </row>
    <row r="131" spans="1:11" s="22" customFormat="1" x14ac:dyDescent="0.35">
      <c r="A131" s="19">
        <v>119</v>
      </c>
      <c r="B131" s="19" t="s">
        <v>56</v>
      </c>
      <c r="C131" s="20" t="s">
        <v>393</v>
      </c>
      <c r="D131" s="116">
        <v>8597</v>
      </c>
      <c r="E131" s="410">
        <v>0.59</v>
      </c>
      <c r="F131" s="47">
        <f t="shared" si="10"/>
        <v>5072.2299999999996</v>
      </c>
      <c r="G131" s="21">
        <f t="shared" si="11"/>
        <v>66.743332508940924</v>
      </c>
      <c r="H131" s="116">
        <v>11088</v>
      </c>
      <c r="I131" s="410">
        <v>0.55000000000000004</v>
      </c>
      <c r="J131" s="47">
        <f t="shared" si="12"/>
        <v>6098.4000000000005</v>
      </c>
      <c r="K131" s="21">
        <f t="shared" si="13"/>
        <v>62.218360813419515</v>
      </c>
    </row>
    <row r="132" spans="1:11" s="22" customFormat="1" ht="29" x14ac:dyDescent="0.35">
      <c r="A132" s="19">
        <v>120</v>
      </c>
      <c r="B132" s="19" t="s">
        <v>57</v>
      </c>
      <c r="C132" s="20" t="s">
        <v>136</v>
      </c>
      <c r="D132" s="116">
        <v>0</v>
      </c>
      <c r="E132" s="410">
        <v>0.75</v>
      </c>
      <c r="F132" s="47">
        <f t="shared" si="10"/>
        <v>0</v>
      </c>
      <c r="G132" s="21">
        <f t="shared" si="11"/>
        <v>84.8432192910266</v>
      </c>
      <c r="H132" s="116">
        <v>0</v>
      </c>
      <c r="I132" s="410">
        <v>0.37</v>
      </c>
      <c r="J132" s="47">
        <f t="shared" si="12"/>
        <v>0</v>
      </c>
      <c r="K132" s="21">
        <f t="shared" si="13"/>
        <v>41.855988183573125</v>
      </c>
    </row>
    <row r="133" spans="1:11" s="22" customFormat="1" ht="29" x14ac:dyDescent="0.35">
      <c r="A133" s="19">
        <v>121</v>
      </c>
      <c r="B133" s="19" t="s">
        <v>58</v>
      </c>
      <c r="C133" s="20" t="s">
        <v>137</v>
      </c>
      <c r="D133" s="116">
        <v>0</v>
      </c>
      <c r="E133" s="410">
        <v>0.75</v>
      </c>
      <c r="F133" s="47">
        <f t="shared" si="10"/>
        <v>0</v>
      </c>
      <c r="G133" s="21">
        <f t="shared" si="11"/>
        <v>84.8432192910266</v>
      </c>
      <c r="H133" s="116">
        <v>7</v>
      </c>
      <c r="I133" s="410">
        <v>0.37</v>
      </c>
      <c r="J133" s="47">
        <f t="shared" si="12"/>
        <v>2.59</v>
      </c>
      <c r="K133" s="21">
        <f t="shared" si="13"/>
        <v>41.855988183573125</v>
      </c>
    </row>
    <row r="134" spans="1:11" s="22" customFormat="1" ht="43.5" x14ac:dyDescent="0.35">
      <c r="A134" s="19">
        <v>122</v>
      </c>
      <c r="B134" s="19" t="s">
        <v>15</v>
      </c>
      <c r="C134" s="20" t="s">
        <v>18</v>
      </c>
      <c r="D134" s="116">
        <v>0</v>
      </c>
      <c r="E134" s="410">
        <v>0</v>
      </c>
      <c r="F134" s="47">
        <f t="shared" si="10"/>
        <v>0</v>
      </c>
      <c r="G134" s="21">
        <f t="shared" si="11"/>
        <v>0</v>
      </c>
      <c r="H134" s="116">
        <v>0</v>
      </c>
      <c r="I134" s="410">
        <v>0</v>
      </c>
      <c r="J134" s="47">
        <f t="shared" si="12"/>
        <v>0</v>
      </c>
      <c r="K134" s="21">
        <f t="shared" si="13"/>
        <v>0</v>
      </c>
    </row>
    <row r="135" spans="1:11" s="22" customFormat="1" ht="29" x14ac:dyDescent="0.35">
      <c r="A135" s="19">
        <v>123</v>
      </c>
      <c r="B135" s="19" t="s">
        <v>16</v>
      </c>
      <c r="C135" s="20" t="s">
        <v>138</v>
      </c>
      <c r="D135" s="116">
        <v>0</v>
      </c>
      <c r="E135" s="410">
        <v>0</v>
      </c>
      <c r="F135" s="47">
        <f t="shared" si="10"/>
        <v>0</v>
      </c>
      <c r="G135" s="21">
        <f t="shared" si="11"/>
        <v>0</v>
      </c>
      <c r="H135" s="116">
        <v>0</v>
      </c>
      <c r="I135" s="410">
        <v>0</v>
      </c>
      <c r="J135" s="47">
        <f t="shared" si="12"/>
        <v>0</v>
      </c>
      <c r="K135" s="21">
        <f t="shared" si="13"/>
        <v>0</v>
      </c>
    </row>
    <row r="136" spans="1:11" s="22" customFormat="1" ht="29" x14ac:dyDescent="0.35">
      <c r="A136" s="19">
        <v>124</v>
      </c>
      <c r="B136" s="19" t="s">
        <v>17</v>
      </c>
      <c r="C136" s="20" t="s">
        <v>139</v>
      </c>
      <c r="D136" s="116">
        <v>0</v>
      </c>
      <c r="E136" s="410">
        <v>0</v>
      </c>
      <c r="F136" s="47">
        <f t="shared" si="10"/>
        <v>0</v>
      </c>
      <c r="G136" s="21">
        <f t="shared" si="11"/>
        <v>0</v>
      </c>
      <c r="H136" s="116">
        <v>0</v>
      </c>
      <c r="I136" s="410">
        <v>0</v>
      </c>
      <c r="J136" s="47">
        <f t="shared" si="12"/>
        <v>0</v>
      </c>
      <c r="K136" s="21">
        <f t="shared" si="13"/>
        <v>0</v>
      </c>
    </row>
    <row r="137" spans="1:11" s="22" customFormat="1" x14ac:dyDescent="0.35">
      <c r="A137" s="19">
        <v>125</v>
      </c>
      <c r="B137" s="19" t="s">
        <v>23</v>
      </c>
      <c r="C137" s="20" t="s">
        <v>140</v>
      </c>
      <c r="D137" s="116">
        <v>0</v>
      </c>
      <c r="E137" s="410">
        <v>0</v>
      </c>
      <c r="F137" s="47">
        <f t="shared" si="10"/>
        <v>0</v>
      </c>
      <c r="G137" s="21">
        <f t="shared" si="11"/>
        <v>0</v>
      </c>
      <c r="H137" s="116">
        <v>0</v>
      </c>
      <c r="I137" s="410">
        <v>0</v>
      </c>
      <c r="J137" s="47">
        <f t="shared" si="12"/>
        <v>0</v>
      </c>
      <c r="K137" s="21">
        <f t="shared" si="13"/>
        <v>0</v>
      </c>
    </row>
    <row r="138" spans="1:11" s="22" customFormat="1" x14ac:dyDescent="0.35">
      <c r="A138" s="19">
        <v>126</v>
      </c>
      <c r="B138" s="19" t="s">
        <v>59</v>
      </c>
      <c r="C138" s="20" t="s">
        <v>395</v>
      </c>
      <c r="D138" s="116">
        <v>45</v>
      </c>
      <c r="E138" s="410">
        <v>3.27</v>
      </c>
      <c r="F138" s="47">
        <f t="shared" si="10"/>
        <v>147.15</v>
      </c>
      <c r="G138" s="21">
        <f t="shared" si="11"/>
        <v>369.91643610887598</v>
      </c>
      <c r="H138" s="116">
        <v>60</v>
      </c>
      <c r="I138" s="410">
        <v>2.17</v>
      </c>
      <c r="J138" s="47">
        <f t="shared" si="12"/>
        <v>130.19999999999999</v>
      </c>
      <c r="K138" s="21">
        <f t="shared" si="13"/>
        <v>245.47971448203697</v>
      </c>
    </row>
    <row r="139" spans="1:11" s="22" customFormat="1" x14ac:dyDescent="0.35">
      <c r="A139" s="19">
        <v>127</v>
      </c>
      <c r="B139" s="19" t="s">
        <v>60</v>
      </c>
      <c r="C139" s="20" t="s">
        <v>394</v>
      </c>
      <c r="D139" s="116">
        <v>2913</v>
      </c>
      <c r="E139" s="410">
        <v>1.1499999999999999</v>
      </c>
      <c r="F139" s="47">
        <f t="shared" si="10"/>
        <v>3349.95</v>
      </c>
      <c r="G139" s="21">
        <f t="shared" si="11"/>
        <v>130.09293624624078</v>
      </c>
      <c r="H139" s="116">
        <v>7313</v>
      </c>
      <c r="I139" s="410">
        <v>0.7</v>
      </c>
      <c r="J139" s="47">
        <f t="shared" si="12"/>
        <v>5119.0999999999995</v>
      </c>
      <c r="K139" s="21">
        <f t="shared" si="13"/>
        <v>79.18700467162482</v>
      </c>
    </row>
    <row r="140" spans="1:11" s="22" customFormat="1" x14ac:dyDescent="0.35">
      <c r="A140" s="19">
        <v>128</v>
      </c>
      <c r="B140" s="19" t="s">
        <v>61</v>
      </c>
      <c r="C140" s="20" t="s">
        <v>141</v>
      </c>
      <c r="D140" s="116">
        <v>5798</v>
      </c>
      <c r="E140" s="410">
        <v>0.44</v>
      </c>
      <c r="F140" s="47">
        <f t="shared" si="10"/>
        <v>2551.12</v>
      </c>
      <c r="G140" s="21">
        <f t="shared" si="11"/>
        <v>49.774688650735605</v>
      </c>
      <c r="H140" s="116">
        <v>30</v>
      </c>
      <c r="I140" s="410">
        <v>0.44</v>
      </c>
      <c r="J140" s="47">
        <f t="shared" si="12"/>
        <v>13.2</v>
      </c>
      <c r="K140" s="21">
        <f t="shared" si="13"/>
        <v>49.774688650735605</v>
      </c>
    </row>
    <row r="141" spans="1:11" s="22" customFormat="1" x14ac:dyDescent="0.35">
      <c r="A141" s="19">
        <v>129</v>
      </c>
      <c r="B141" s="19" t="s">
        <v>62</v>
      </c>
      <c r="C141" s="20" t="s">
        <v>396</v>
      </c>
      <c r="D141" s="116">
        <v>3637</v>
      </c>
      <c r="E141" s="410">
        <v>0.92</v>
      </c>
      <c r="F141" s="47">
        <f t="shared" si="10"/>
        <v>3346.04</v>
      </c>
      <c r="G141" s="21">
        <f t="shared" si="11"/>
        <v>104.07434899699264</v>
      </c>
      <c r="H141" s="116">
        <v>16974</v>
      </c>
      <c r="I141" s="410">
        <v>0.92</v>
      </c>
      <c r="J141" s="47">
        <f t="shared" si="12"/>
        <v>15616.08</v>
      </c>
      <c r="K141" s="21">
        <f t="shared" si="13"/>
        <v>104.07434899699264</v>
      </c>
    </row>
    <row r="142" spans="1:11" s="22" customFormat="1" x14ac:dyDescent="0.35">
      <c r="A142" s="19">
        <v>130</v>
      </c>
      <c r="B142" s="19" t="s">
        <v>63</v>
      </c>
      <c r="C142" s="20" t="s">
        <v>397</v>
      </c>
      <c r="D142" s="116">
        <v>0</v>
      </c>
      <c r="E142" s="410">
        <v>5.28</v>
      </c>
      <c r="F142" s="47">
        <f t="shared" si="10"/>
        <v>0</v>
      </c>
      <c r="G142" s="21">
        <f t="shared" si="11"/>
        <v>597.29626380882735</v>
      </c>
      <c r="H142" s="116">
        <v>0</v>
      </c>
      <c r="I142" s="410">
        <v>5.28</v>
      </c>
      <c r="J142" s="47">
        <f t="shared" si="12"/>
        <v>0</v>
      </c>
      <c r="K142" s="21">
        <f t="shared" si="13"/>
        <v>597.29626380882735</v>
      </c>
    </row>
    <row r="143" spans="1:11" s="22" customFormat="1" x14ac:dyDescent="0.35">
      <c r="A143" s="19">
        <v>131</v>
      </c>
      <c r="B143" s="19" t="s">
        <v>64</v>
      </c>
      <c r="C143" s="20" t="s">
        <v>399</v>
      </c>
      <c r="D143" s="116">
        <v>1953</v>
      </c>
      <c r="E143" s="410">
        <v>0.44</v>
      </c>
      <c r="F143" s="47">
        <f t="shared" si="10"/>
        <v>859.32</v>
      </c>
      <c r="G143" s="21">
        <f t="shared" si="11"/>
        <v>49.774688650735605</v>
      </c>
      <c r="H143" s="116">
        <v>374</v>
      </c>
      <c r="I143" s="410">
        <v>0.44</v>
      </c>
      <c r="J143" s="47">
        <f t="shared" si="12"/>
        <v>164.56</v>
      </c>
      <c r="K143" s="21">
        <f t="shared" si="13"/>
        <v>49.774688650735605</v>
      </c>
    </row>
    <row r="144" spans="1:11" s="22" customFormat="1" x14ac:dyDescent="0.35">
      <c r="A144" s="19">
        <v>132</v>
      </c>
      <c r="B144" s="19" t="s">
        <v>65</v>
      </c>
      <c r="C144" s="20" t="s">
        <v>398</v>
      </c>
      <c r="D144" s="116">
        <v>0</v>
      </c>
      <c r="E144" s="410">
        <v>5.28</v>
      </c>
      <c r="F144" s="47">
        <f t="shared" si="10"/>
        <v>0</v>
      </c>
      <c r="G144" s="21">
        <f t="shared" si="11"/>
        <v>597.29626380882735</v>
      </c>
      <c r="H144" s="116">
        <v>0</v>
      </c>
      <c r="I144" s="410">
        <v>5.28</v>
      </c>
      <c r="J144" s="47">
        <f t="shared" si="12"/>
        <v>0</v>
      </c>
      <c r="K144" s="21">
        <f t="shared" si="13"/>
        <v>597.29626380882735</v>
      </c>
    </row>
    <row r="145" spans="1:11" s="22" customFormat="1" x14ac:dyDescent="0.35">
      <c r="A145" s="19">
        <v>133</v>
      </c>
      <c r="B145" s="19" t="s">
        <v>66</v>
      </c>
      <c r="C145" s="20" t="s">
        <v>142</v>
      </c>
      <c r="D145" s="116">
        <v>1645</v>
      </c>
      <c r="E145" s="410">
        <v>0.54</v>
      </c>
      <c r="F145" s="47">
        <f t="shared" si="10"/>
        <v>888.30000000000007</v>
      </c>
      <c r="G145" s="21">
        <f t="shared" si="11"/>
        <v>61.087117889539158</v>
      </c>
      <c r="H145" s="116">
        <v>3952</v>
      </c>
      <c r="I145" s="410">
        <v>0.54</v>
      </c>
      <c r="J145" s="47">
        <f t="shared" si="12"/>
        <v>2134.08</v>
      </c>
      <c r="K145" s="21">
        <f t="shared" si="13"/>
        <v>61.087117889539158</v>
      </c>
    </row>
    <row r="146" spans="1:11" s="22" customFormat="1" x14ac:dyDescent="0.35">
      <c r="A146" s="19">
        <v>134</v>
      </c>
      <c r="B146" s="19" t="s">
        <v>67</v>
      </c>
      <c r="C146" s="20" t="s">
        <v>400</v>
      </c>
      <c r="D146" s="116">
        <v>1629</v>
      </c>
      <c r="E146" s="410">
        <v>1.29</v>
      </c>
      <c r="F146" s="47">
        <f t="shared" si="10"/>
        <v>2101.41</v>
      </c>
      <c r="G146" s="21">
        <f t="shared" si="11"/>
        <v>145.93033718056577</v>
      </c>
      <c r="H146" s="116">
        <v>261</v>
      </c>
      <c r="I146" s="410">
        <v>1.1299999999999999</v>
      </c>
      <c r="J146" s="47">
        <f t="shared" si="12"/>
        <v>294.92999999999995</v>
      </c>
      <c r="K146" s="21">
        <f t="shared" si="13"/>
        <v>127.83045039848007</v>
      </c>
    </row>
    <row r="147" spans="1:11" s="22" customFormat="1" x14ac:dyDescent="0.35">
      <c r="A147" s="19">
        <v>135</v>
      </c>
      <c r="B147" s="19" t="s">
        <v>68</v>
      </c>
      <c r="C147" s="20" t="s">
        <v>401</v>
      </c>
      <c r="D147" s="116">
        <v>1</v>
      </c>
      <c r="E147" s="410">
        <v>5.28</v>
      </c>
      <c r="F147" s="47">
        <f t="shared" si="10"/>
        <v>5.28</v>
      </c>
      <c r="G147" s="21">
        <f t="shared" si="11"/>
        <v>597.29626380882735</v>
      </c>
      <c r="H147" s="116">
        <v>0</v>
      </c>
      <c r="I147" s="410">
        <v>5.28</v>
      </c>
      <c r="J147" s="47">
        <f t="shared" si="12"/>
        <v>0</v>
      </c>
      <c r="K147" s="21">
        <f t="shared" si="13"/>
        <v>597.29626380882735</v>
      </c>
    </row>
    <row r="148" spans="1:11" s="22" customFormat="1" x14ac:dyDescent="0.35">
      <c r="A148" s="19">
        <v>136</v>
      </c>
      <c r="B148" s="19" t="s">
        <v>69</v>
      </c>
      <c r="C148" s="20" t="s">
        <v>402</v>
      </c>
      <c r="D148" s="116">
        <v>0</v>
      </c>
      <c r="E148" s="410">
        <v>0.14000000000000001</v>
      </c>
      <c r="F148" s="47">
        <f t="shared" si="10"/>
        <v>0</v>
      </c>
      <c r="G148" s="21">
        <f t="shared" si="11"/>
        <v>15.837400934324968</v>
      </c>
      <c r="H148" s="116">
        <v>0</v>
      </c>
      <c r="I148" s="410">
        <v>0.12</v>
      </c>
      <c r="J148" s="47">
        <f t="shared" si="12"/>
        <v>0</v>
      </c>
      <c r="K148" s="21">
        <f t="shared" si="13"/>
        <v>13.574915086564255</v>
      </c>
    </row>
    <row r="149" spans="1:11" s="22" customFormat="1" x14ac:dyDescent="0.35">
      <c r="A149" s="19">
        <v>137</v>
      </c>
      <c r="B149" s="19" t="s">
        <v>70</v>
      </c>
      <c r="C149" s="20" t="s">
        <v>403</v>
      </c>
      <c r="D149" s="116">
        <v>0</v>
      </c>
      <c r="E149" s="410">
        <v>3.08</v>
      </c>
      <c r="F149" s="47">
        <f t="shared" si="10"/>
        <v>0</v>
      </c>
      <c r="G149" s="21">
        <f t="shared" si="11"/>
        <v>348.42282055514926</v>
      </c>
      <c r="H149" s="116">
        <v>0</v>
      </c>
      <c r="I149" s="410">
        <v>2.6399999999999997</v>
      </c>
      <c r="J149" s="47">
        <f t="shared" si="12"/>
        <v>0</v>
      </c>
      <c r="K149" s="21">
        <f t="shared" si="13"/>
        <v>298.64813190441362</v>
      </c>
    </row>
    <row r="150" spans="1:11" s="22" customFormat="1" x14ac:dyDescent="0.35">
      <c r="A150" s="19">
        <v>138</v>
      </c>
      <c r="B150" s="19" t="s">
        <v>71</v>
      </c>
      <c r="C150" s="20" t="s">
        <v>404</v>
      </c>
      <c r="D150" s="116">
        <v>0</v>
      </c>
      <c r="E150" s="410">
        <v>5.28</v>
      </c>
      <c r="F150" s="47">
        <f t="shared" si="10"/>
        <v>0</v>
      </c>
      <c r="G150" s="21">
        <f t="shared" si="11"/>
        <v>597.29626380882735</v>
      </c>
      <c r="H150" s="116">
        <v>0</v>
      </c>
      <c r="I150" s="410">
        <v>5.28</v>
      </c>
      <c r="J150" s="47">
        <f t="shared" si="12"/>
        <v>0</v>
      </c>
      <c r="K150" s="21">
        <f t="shared" si="13"/>
        <v>597.29626380882735</v>
      </c>
    </row>
    <row r="151" spans="1:11" s="22" customFormat="1" x14ac:dyDescent="0.35">
      <c r="A151" s="19">
        <v>139</v>
      </c>
      <c r="B151" s="19" t="s">
        <v>789</v>
      </c>
      <c r="C151" s="20" t="s">
        <v>790</v>
      </c>
      <c r="D151" s="116">
        <v>0</v>
      </c>
      <c r="E151" s="410">
        <v>0.12</v>
      </c>
      <c r="F151" s="47">
        <f t="shared" ref="F151" si="14">D151*E151</f>
        <v>0</v>
      </c>
      <c r="G151" s="21">
        <f t="shared" ref="G151" si="15">E151*$F$12</f>
        <v>13.574915086564255</v>
      </c>
      <c r="H151" s="116">
        <v>38984</v>
      </c>
      <c r="I151" s="410">
        <v>0.09</v>
      </c>
      <c r="J151" s="47">
        <f t="shared" ref="J151" si="16">H151*I151</f>
        <v>3508.56</v>
      </c>
      <c r="K151" s="21">
        <f t="shared" ref="K151" si="17">I151*$F$12</f>
        <v>10.181186314923192</v>
      </c>
    </row>
    <row r="152" spans="1:11" s="22" customFormat="1" x14ac:dyDescent="0.35">
      <c r="A152" s="19">
        <v>140</v>
      </c>
      <c r="B152" s="19" t="s">
        <v>72</v>
      </c>
      <c r="C152" s="20" t="s">
        <v>405</v>
      </c>
      <c r="D152" s="116">
        <v>0</v>
      </c>
      <c r="E152" s="410">
        <v>1.02</v>
      </c>
      <c r="F152" s="47">
        <f t="shared" si="10"/>
        <v>0</v>
      </c>
      <c r="G152" s="21">
        <f t="shared" si="11"/>
        <v>115.38677823579619</v>
      </c>
      <c r="H152" s="116">
        <v>0</v>
      </c>
      <c r="I152" s="410">
        <v>0.94</v>
      </c>
      <c r="J152" s="47">
        <f t="shared" si="12"/>
        <v>0</v>
      </c>
      <c r="K152" s="21">
        <f t="shared" si="13"/>
        <v>106.33683484475334</v>
      </c>
    </row>
    <row r="153" spans="1:11" s="22" customFormat="1" x14ac:dyDescent="0.35">
      <c r="A153" s="19">
        <v>141</v>
      </c>
      <c r="B153" s="19" t="s">
        <v>20</v>
      </c>
      <c r="C153" s="20" t="s">
        <v>406</v>
      </c>
      <c r="D153" s="116">
        <v>0</v>
      </c>
      <c r="E153" s="410">
        <v>0</v>
      </c>
      <c r="F153" s="47">
        <f t="shared" si="10"/>
        <v>0</v>
      </c>
      <c r="G153" s="21">
        <f t="shared" si="11"/>
        <v>0</v>
      </c>
      <c r="H153" s="116">
        <v>0</v>
      </c>
      <c r="I153" s="410">
        <v>0</v>
      </c>
      <c r="J153" s="47">
        <f t="shared" si="12"/>
        <v>0</v>
      </c>
      <c r="K153" s="21">
        <f t="shared" si="13"/>
        <v>0</v>
      </c>
    </row>
    <row r="154" spans="1:11" s="22" customFormat="1" x14ac:dyDescent="0.35">
      <c r="A154" s="19">
        <v>142</v>
      </c>
      <c r="B154" s="19" t="s">
        <v>73</v>
      </c>
      <c r="C154" s="20" t="s">
        <v>143</v>
      </c>
      <c r="D154" s="116">
        <v>0</v>
      </c>
      <c r="E154" s="410">
        <v>5.17</v>
      </c>
      <c r="F154" s="47">
        <f t="shared" si="10"/>
        <v>0</v>
      </c>
      <c r="G154" s="21">
        <f t="shared" si="11"/>
        <v>584.85259164614342</v>
      </c>
      <c r="H154" s="116">
        <v>0</v>
      </c>
      <c r="I154" s="410">
        <v>4.43</v>
      </c>
      <c r="J154" s="47">
        <f t="shared" si="12"/>
        <v>0</v>
      </c>
      <c r="K154" s="21">
        <f t="shared" si="13"/>
        <v>501.14061527899713</v>
      </c>
    </row>
    <row r="155" spans="1:11" s="22" customFormat="1" x14ac:dyDescent="0.35">
      <c r="A155" s="19">
        <v>143</v>
      </c>
      <c r="B155" s="19" t="s">
        <v>74</v>
      </c>
      <c r="C155" s="20" t="s">
        <v>144</v>
      </c>
      <c r="D155" s="116">
        <v>0</v>
      </c>
      <c r="E155" s="410">
        <v>1.7</v>
      </c>
      <c r="F155" s="47">
        <f t="shared" si="10"/>
        <v>0</v>
      </c>
      <c r="G155" s="21">
        <f t="shared" si="11"/>
        <v>192.31129705966029</v>
      </c>
      <c r="H155" s="116">
        <v>0</v>
      </c>
      <c r="I155" s="410">
        <v>1.05</v>
      </c>
      <c r="J155" s="47">
        <f t="shared" si="12"/>
        <v>0</v>
      </c>
      <c r="K155" s="21">
        <f t="shared" si="13"/>
        <v>118.78050700743725</v>
      </c>
    </row>
    <row r="156" spans="1:11" s="22" customFormat="1" x14ac:dyDescent="0.35">
      <c r="A156" s="19">
        <v>144</v>
      </c>
      <c r="B156" s="19" t="s">
        <v>26</v>
      </c>
      <c r="C156" s="20" t="s">
        <v>143</v>
      </c>
      <c r="D156" s="116">
        <v>0</v>
      </c>
      <c r="E156" s="410">
        <v>0</v>
      </c>
      <c r="F156" s="47">
        <f t="shared" si="10"/>
        <v>0</v>
      </c>
      <c r="G156" s="21">
        <f t="shared" si="11"/>
        <v>0</v>
      </c>
      <c r="H156" s="116">
        <v>0</v>
      </c>
      <c r="I156" s="410">
        <v>0</v>
      </c>
      <c r="J156" s="47">
        <f t="shared" si="12"/>
        <v>0</v>
      </c>
      <c r="K156" s="21">
        <f t="shared" si="13"/>
        <v>0</v>
      </c>
    </row>
    <row r="157" spans="1:11" s="22" customFormat="1" x14ac:dyDescent="0.35">
      <c r="A157" s="19">
        <v>145</v>
      </c>
      <c r="B157" s="19" t="s">
        <v>75</v>
      </c>
      <c r="C157" s="20" t="s">
        <v>145</v>
      </c>
      <c r="D157" s="116">
        <v>0</v>
      </c>
      <c r="E157" s="410">
        <v>1.35</v>
      </c>
      <c r="F157" s="47">
        <f t="shared" si="10"/>
        <v>0</v>
      </c>
      <c r="G157" s="21">
        <f t="shared" si="11"/>
        <v>152.7177947238479</v>
      </c>
      <c r="H157" s="116">
        <v>0</v>
      </c>
      <c r="I157" s="410">
        <v>1.35</v>
      </c>
      <c r="J157" s="47">
        <f t="shared" si="12"/>
        <v>0</v>
      </c>
      <c r="K157" s="21">
        <f t="shared" si="13"/>
        <v>152.7177947238479</v>
      </c>
    </row>
    <row r="158" spans="1:11" s="22" customFormat="1" x14ac:dyDescent="0.35">
      <c r="A158" s="19">
        <v>146</v>
      </c>
      <c r="B158" s="19" t="s">
        <v>76</v>
      </c>
      <c r="C158" s="20" t="s">
        <v>146</v>
      </c>
      <c r="D158" s="116">
        <v>0</v>
      </c>
      <c r="E158" s="410">
        <v>2.56</v>
      </c>
      <c r="F158" s="47">
        <f t="shared" si="10"/>
        <v>0</v>
      </c>
      <c r="G158" s="21">
        <f t="shared" si="11"/>
        <v>289.59818851337081</v>
      </c>
      <c r="H158" s="116">
        <v>0</v>
      </c>
      <c r="I158" s="410">
        <v>2.14</v>
      </c>
      <c r="J158" s="47">
        <f t="shared" si="12"/>
        <v>0</v>
      </c>
      <c r="K158" s="21">
        <f t="shared" si="13"/>
        <v>242.08598571039593</v>
      </c>
    </row>
    <row r="159" spans="1:11" s="22" customFormat="1" x14ac:dyDescent="0.35">
      <c r="A159" s="19">
        <v>147</v>
      </c>
      <c r="B159" s="19" t="s">
        <v>77</v>
      </c>
      <c r="C159" s="20" t="s">
        <v>407</v>
      </c>
      <c r="D159" s="116">
        <v>110</v>
      </c>
      <c r="E159" s="410">
        <v>1.6</v>
      </c>
      <c r="F159" s="47">
        <f t="shared" si="10"/>
        <v>176</v>
      </c>
      <c r="G159" s="21">
        <f t="shared" si="11"/>
        <v>180.99886782085676</v>
      </c>
      <c r="H159" s="116">
        <v>652</v>
      </c>
      <c r="I159" s="410">
        <v>1.6</v>
      </c>
      <c r="J159" s="47">
        <f t="shared" si="12"/>
        <v>1043.2</v>
      </c>
      <c r="K159" s="21">
        <f t="shared" si="13"/>
        <v>180.99886782085676</v>
      </c>
    </row>
    <row r="160" spans="1:11" s="22" customFormat="1" x14ac:dyDescent="0.35">
      <c r="A160" s="19">
        <v>148</v>
      </c>
      <c r="B160" s="19" t="s">
        <v>78</v>
      </c>
      <c r="C160" s="20" t="s">
        <v>408</v>
      </c>
      <c r="D160" s="116">
        <v>0</v>
      </c>
      <c r="E160" s="410">
        <v>2.64</v>
      </c>
      <c r="F160" s="47">
        <f t="shared" si="10"/>
        <v>0</v>
      </c>
      <c r="G160" s="21">
        <f t="shared" si="11"/>
        <v>298.64813190441367</v>
      </c>
      <c r="H160" s="116">
        <v>0</v>
      </c>
      <c r="I160" s="410">
        <v>2.64</v>
      </c>
      <c r="J160" s="47">
        <f t="shared" si="12"/>
        <v>0</v>
      </c>
      <c r="K160" s="21">
        <f t="shared" si="13"/>
        <v>298.64813190441367</v>
      </c>
    </row>
    <row r="161" spans="1:11" s="22" customFormat="1" x14ac:dyDescent="0.35">
      <c r="A161" s="19">
        <v>149</v>
      </c>
      <c r="B161" s="19" t="s">
        <v>79</v>
      </c>
      <c r="C161" s="20" t="s">
        <v>409</v>
      </c>
      <c r="D161" s="116">
        <v>3709</v>
      </c>
      <c r="E161" s="410">
        <v>1.24</v>
      </c>
      <c r="F161" s="47">
        <f t="shared" si="10"/>
        <v>4599.16</v>
      </c>
      <c r="G161" s="21">
        <f t="shared" si="11"/>
        <v>140.27412256116398</v>
      </c>
      <c r="H161" s="116">
        <v>6148</v>
      </c>
      <c r="I161" s="410">
        <v>1.24</v>
      </c>
      <c r="J161" s="47">
        <f t="shared" si="12"/>
        <v>7623.5199999999995</v>
      </c>
      <c r="K161" s="21">
        <f t="shared" si="13"/>
        <v>140.27412256116398</v>
      </c>
    </row>
    <row r="162" spans="1:11" s="22" customFormat="1" x14ac:dyDescent="0.35">
      <c r="A162" s="19">
        <v>150</v>
      </c>
      <c r="B162" s="19" t="s">
        <v>80</v>
      </c>
      <c r="C162" s="20" t="s">
        <v>410</v>
      </c>
      <c r="D162" s="116">
        <v>0</v>
      </c>
      <c r="E162" s="410">
        <v>0.83</v>
      </c>
      <c r="F162" s="47">
        <f t="shared" si="10"/>
        <v>0</v>
      </c>
      <c r="G162" s="21">
        <f t="shared" si="11"/>
        <v>93.893162682069431</v>
      </c>
      <c r="H162" s="116">
        <v>0</v>
      </c>
      <c r="I162" s="410">
        <v>0.72</v>
      </c>
      <c r="J162" s="47">
        <f t="shared" si="12"/>
        <v>0</v>
      </c>
      <c r="K162" s="21">
        <f t="shared" si="13"/>
        <v>81.449490519385535</v>
      </c>
    </row>
    <row r="163" spans="1:11" s="22" customFormat="1" x14ac:dyDescent="0.35">
      <c r="A163" s="19">
        <v>151</v>
      </c>
      <c r="B163" s="19" t="s">
        <v>81</v>
      </c>
      <c r="C163" s="20" t="s">
        <v>411</v>
      </c>
      <c r="D163" s="116">
        <v>2241</v>
      </c>
      <c r="E163" s="410">
        <v>0.92</v>
      </c>
      <c r="F163" s="47">
        <f t="shared" si="10"/>
        <v>2061.7200000000003</v>
      </c>
      <c r="G163" s="21">
        <f t="shared" si="11"/>
        <v>104.07434899699264</v>
      </c>
      <c r="H163" s="116">
        <v>10676</v>
      </c>
      <c r="I163" s="410">
        <v>0.92</v>
      </c>
      <c r="J163" s="47">
        <f t="shared" si="12"/>
        <v>9821.92</v>
      </c>
      <c r="K163" s="21">
        <f t="shared" si="13"/>
        <v>104.07434899699264</v>
      </c>
    </row>
    <row r="164" spans="1:11" s="22" customFormat="1" x14ac:dyDescent="0.35">
      <c r="A164" s="19">
        <v>152</v>
      </c>
      <c r="B164" s="19" t="s">
        <v>82</v>
      </c>
      <c r="C164" s="20" t="s">
        <v>412</v>
      </c>
      <c r="D164" s="116">
        <v>2</v>
      </c>
      <c r="E164" s="410">
        <v>0.14000000000000001</v>
      </c>
      <c r="F164" s="47">
        <f t="shared" si="10"/>
        <v>0.28000000000000003</v>
      </c>
      <c r="G164" s="21">
        <f t="shared" si="11"/>
        <v>15.837400934324968</v>
      </c>
      <c r="H164" s="116">
        <v>241</v>
      </c>
      <c r="I164" s="410">
        <v>0.12</v>
      </c>
      <c r="J164" s="47">
        <f t="shared" si="12"/>
        <v>28.919999999999998</v>
      </c>
      <c r="K164" s="21">
        <f t="shared" si="13"/>
        <v>13.574915086564255</v>
      </c>
    </row>
    <row r="165" spans="1:11" s="22" customFormat="1" x14ac:dyDescent="0.35">
      <c r="A165" s="19">
        <v>153</v>
      </c>
      <c r="B165" s="19" t="s">
        <v>83</v>
      </c>
      <c r="C165" s="20" t="s">
        <v>417</v>
      </c>
      <c r="D165" s="116">
        <v>0</v>
      </c>
      <c r="E165" s="410">
        <v>3.3600000000000003</v>
      </c>
      <c r="F165" s="47">
        <f t="shared" si="10"/>
        <v>0</v>
      </c>
      <c r="G165" s="21">
        <f t="shared" si="11"/>
        <v>380.09762242379924</v>
      </c>
      <c r="H165" s="116">
        <v>0</v>
      </c>
      <c r="I165" s="410">
        <v>2.88</v>
      </c>
      <c r="J165" s="47">
        <f t="shared" si="12"/>
        <v>0</v>
      </c>
      <c r="K165" s="21">
        <f t="shared" si="13"/>
        <v>325.79796207754214</v>
      </c>
    </row>
    <row r="166" spans="1:11" s="22" customFormat="1" x14ac:dyDescent="0.35">
      <c r="A166" s="19">
        <v>154</v>
      </c>
      <c r="B166" s="19" t="s">
        <v>84</v>
      </c>
      <c r="C166" s="20" t="s">
        <v>415</v>
      </c>
      <c r="D166" s="116">
        <v>493</v>
      </c>
      <c r="E166" s="410">
        <v>0.44</v>
      </c>
      <c r="F166" s="47">
        <f t="shared" si="10"/>
        <v>216.92</v>
      </c>
      <c r="G166" s="21">
        <f t="shared" si="11"/>
        <v>49.774688650735605</v>
      </c>
      <c r="H166" s="116">
        <v>9948</v>
      </c>
      <c r="I166" s="410">
        <v>0.44</v>
      </c>
      <c r="J166" s="47">
        <f t="shared" si="12"/>
        <v>4377.12</v>
      </c>
      <c r="K166" s="21">
        <f t="shared" si="13"/>
        <v>49.774688650735605</v>
      </c>
    </row>
    <row r="167" spans="1:11" s="22" customFormat="1" x14ac:dyDescent="0.35">
      <c r="A167" s="19">
        <v>155</v>
      </c>
      <c r="B167" s="19" t="s">
        <v>85</v>
      </c>
      <c r="C167" s="20" t="s">
        <v>416</v>
      </c>
      <c r="D167" s="116">
        <v>0</v>
      </c>
      <c r="E167" s="410">
        <v>5.28</v>
      </c>
      <c r="F167" s="47">
        <f t="shared" si="10"/>
        <v>0</v>
      </c>
      <c r="G167" s="21">
        <f t="shared" si="11"/>
        <v>597.29626380882735</v>
      </c>
      <c r="H167" s="116">
        <v>0</v>
      </c>
      <c r="I167" s="410">
        <v>5.28</v>
      </c>
      <c r="J167" s="47">
        <f t="shared" si="12"/>
        <v>0</v>
      </c>
      <c r="K167" s="21">
        <f t="shared" si="13"/>
        <v>597.29626380882735</v>
      </c>
    </row>
    <row r="168" spans="1:11" s="22" customFormat="1" x14ac:dyDescent="0.35">
      <c r="A168" s="19">
        <v>156</v>
      </c>
      <c r="B168" s="19" t="s">
        <v>86</v>
      </c>
      <c r="C168" s="20" t="s">
        <v>414</v>
      </c>
      <c r="D168" s="116">
        <v>0</v>
      </c>
      <c r="E168" s="410">
        <v>0.44</v>
      </c>
      <c r="F168" s="47">
        <f t="shared" si="10"/>
        <v>0</v>
      </c>
      <c r="G168" s="21">
        <f t="shared" si="11"/>
        <v>49.774688650735605</v>
      </c>
      <c r="H168" s="116">
        <v>0</v>
      </c>
      <c r="I168" s="410">
        <v>0.44</v>
      </c>
      <c r="J168" s="47">
        <f t="shared" si="12"/>
        <v>0</v>
      </c>
      <c r="K168" s="21">
        <f t="shared" si="13"/>
        <v>49.774688650735605</v>
      </c>
    </row>
    <row r="169" spans="1:11" s="22" customFormat="1" x14ac:dyDescent="0.35">
      <c r="A169" s="19">
        <v>157</v>
      </c>
      <c r="B169" s="19" t="s">
        <v>87</v>
      </c>
      <c r="C169" s="20" t="s">
        <v>413</v>
      </c>
      <c r="D169" s="116">
        <v>0</v>
      </c>
      <c r="E169" s="410">
        <v>5.28</v>
      </c>
      <c r="F169" s="47">
        <f t="shared" si="10"/>
        <v>0</v>
      </c>
      <c r="G169" s="21">
        <f t="shared" si="11"/>
        <v>597.29626380882735</v>
      </c>
      <c r="H169" s="116">
        <v>0</v>
      </c>
      <c r="I169" s="410">
        <v>5.28</v>
      </c>
      <c r="J169" s="47">
        <f t="shared" si="12"/>
        <v>0</v>
      </c>
      <c r="K169" s="21">
        <f t="shared" si="13"/>
        <v>597.29626380882735</v>
      </c>
    </row>
    <row r="170" spans="1:11" s="22" customFormat="1" x14ac:dyDescent="0.35">
      <c r="A170" s="19">
        <v>158</v>
      </c>
      <c r="B170" s="19" t="s">
        <v>88</v>
      </c>
      <c r="C170" s="20" t="s">
        <v>418</v>
      </c>
      <c r="D170" s="116">
        <v>377</v>
      </c>
      <c r="E170" s="410">
        <v>0.14000000000000001</v>
      </c>
      <c r="F170" s="47">
        <f t="shared" si="10"/>
        <v>52.780000000000008</v>
      </c>
      <c r="G170" s="21">
        <f t="shared" si="11"/>
        <v>15.837400934324968</v>
      </c>
      <c r="H170" s="116">
        <v>449</v>
      </c>
      <c r="I170" s="410">
        <v>0.12</v>
      </c>
      <c r="J170" s="47">
        <f t="shared" si="12"/>
        <v>53.879999999999995</v>
      </c>
      <c r="K170" s="21">
        <f t="shared" si="13"/>
        <v>13.574915086564255</v>
      </c>
    </row>
    <row r="171" spans="1:11" s="22" customFormat="1" x14ac:dyDescent="0.35">
      <c r="A171" s="19">
        <v>159</v>
      </c>
      <c r="B171" s="19" t="s">
        <v>89</v>
      </c>
      <c r="C171" s="20" t="s">
        <v>419</v>
      </c>
      <c r="D171" s="116">
        <v>0</v>
      </c>
      <c r="E171" s="410">
        <v>3.3600000000000003</v>
      </c>
      <c r="F171" s="47">
        <f t="shared" si="10"/>
        <v>0</v>
      </c>
      <c r="G171" s="21">
        <f t="shared" si="11"/>
        <v>380.09762242379924</v>
      </c>
      <c r="H171" s="116">
        <v>0</v>
      </c>
      <c r="I171" s="410">
        <v>2.88</v>
      </c>
      <c r="J171" s="47">
        <f t="shared" si="12"/>
        <v>0</v>
      </c>
      <c r="K171" s="21">
        <f t="shared" si="13"/>
        <v>325.79796207754214</v>
      </c>
    </row>
    <row r="172" spans="1:11" s="22" customFormat="1" x14ac:dyDescent="0.35">
      <c r="A172" s="19">
        <v>160</v>
      </c>
      <c r="B172" s="19" t="s">
        <v>90</v>
      </c>
      <c r="C172" s="20" t="s">
        <v>420</v>
      </c>
      <c r="D172" s="116">
        <v>783</v>
      </c>
      <c r="E172" s="410">
        <v>0.14000000000000001</v>
      </c>
      <c r="F172" s="47">
        <f t="shared" si="10"/>
        <v>109.62</v>
      </c>
      <c r="G172" s="21">
        <f t="shared" si="11"/>
        <v>15.837400934324968</v>
      </c>
      <c r="H172" s="116">
        <v>88</v>
      </c>
      <c r="I172" s="410">
        <v>0.12</v>
      </c>
      <c r="J172" s="47">
        <f t="shared" si="12"/>
        <v>10.559999999999999</v>
      </c>
      <c r="K172" s="21">
        <f t="shared" si="13"/>
        <v>13.574915086564255</v>
      </c>
    </row>
    <row r="173" spans="1:11" s="22" customFormat="1" x14ac:dyDescent="0.35">
      <c r="A173" s="19">
        <v>161</v>
      </c>
      <c r="B173" s="19" t="s">
        <v>91</v>
      </c>
      <c r="C173" s="20" t="s">
        <v>421</v>
      </c>
      <c r="D173" s="116">
        <v>0</v>
      </c>
      <c r="E173" s="410">
        <v>3.3600000000000003</v>
      </c>
      <c r="F173" s="47">
        <f t="shared" si="10"/>
        <v>0</v>
      </c>
      <c r="G173" s="21">
        <f t="shared" si="11"/>
        <v>380.09762242379924</v>
      </c>
      <c r="H173" s="116">
        <v>0</v>
      </c>
      <c r="I173" s="410">
        <v>2.88</v>
      </c>
      <c r="J173" s="47">
        <f t="shared" si="12"/>
        <v>0</v>
      </c>
      <c r="K173" s="21">
        <f t="shared" si="13"/>
        <v>325.79796207754214</v>
      </c>
    </row>
    <row r="174" spans="1:11" s="22" customFormat="1" x14ac:dyDescent="0.35">
      <c r="A174" s="19">
        <v>162</v>
      </c>
      <c r="B174" s="19" t="s">
        <v>92</v>
      </c>
      <c r="C174" s="20" t="s">
        <v>422</v>
      </c>
      <c r="D174" s="116">
        <v>2157</v>
      </c>
      <c r="E174" s="410">
        <v>0.14000000000000001</v>
      </c>
      <c r="F174" s="47">
        <f t="shared" si="10"/>
        <v>301.98</v>
      </c>
      <c r="G174" s="21">
        <f t="shared" si="11"/>
        <v>15.837400934324968</v>
      </c>
      <c r="H174" s="116">
        <v>8686</v>
      </c>
      <c r="I174" s="410">
        <v>0.12</v>
      </c>
      <c r="J174" s="47">
        <f t="shared" si="12"/>
        <v>1042.32</v>
      </c>
      <c r="K174" s="21">
        <f t="shared" si="13"/>
        <v>13.574915086564255</v>
      </c>
    </row>
    <row r="175" spans="1:11" s="22" customFormat="1" x14ac:dyDescent="0.35">
      <c r="A175" s="19">
        <v>163</v>
      </c>
      <c r="B175" s="19" t="s">
        <v>93</v>
      </c>
      <c r="C175" s="20" t="s">
        <v>423</v>
      </c>
      <c r="D175" s="116">
        <v>0</v>
      </c>
      <c r="E175" s="410">
        <v>0.14000000000000001</v>
      </c>
      <c r="F175" s="47">
        <f t="shared" si="10"/>
        <v>0</v>
      </c>
      <c r="G175" s="21">
        <f t="shared" si="11"/>
        <v>15.837400934324968</v>
      </c>
      <c r="H175" s="116">
        <v>0</v>
      </c>
      <c r="I175" s="410">
        <v>0.12</v>
      </c>
      <c r="J175" s="47">
        <f t="shared" si="12"/>
        <v>0</v>
      </c>
      <c r="K175" s="21">
        <f t="shared" si="13"/>
        <v>13.574915086564255</v>
      </c>
    </row>
    <row r="176" spans="1:11" s="22" customFormat="1" x14ac:dyDescent="0.35">
      <c r="A176" s="19">
        <v>164</v>
      </c>
      <c r="B176" s="19" t="s">
        <v>94</v>
      </c>
      <c r="C176" s="20" t="s">
        <v>424</v>
      </c>
      <c r="D176" s="116">
        <v>0</v>
      </c>
      <c r="E176" s="410">
        <v>3.3600000000000003</v>
      </c>
      <c r="F176" s="47">
        <f t="shared" si="10"/>
        <v>0</v>
      </c>
      <c r="G176" s="21">
        <f t="shared" si="11"/>
        <v>380.09762242379924</v>
      </c>
      <c r="H176" s="116">
        <v>0</v>
      </c>
      <c r="I176" s="410">
        <v>2.88</v>
      </c>
      <c r="J176" s="47">
        <f t="shared" si="12"/>
        <v>0</v>
      </c>
      <c r="K176" s="21">
        <f t="shared" si="13"/>
        <v>325.79796207754214</v>
      </c>
    </row>
    <row r="177" spans="1:11" s="22" customFormat="1" x14ac:dyDescent="0.35">
      <c r="A177" s="19">
        <v>165</v>
      </c>
      <c r="B177" s="19" t="s">
        <v>95</v>
      </c>
      <c r="C177" s="20" t="s">
        <v>425</v>
      </c>
      <c r="D177" s="116">
        <v>137</v>
      </c>
      <c r="E177" s="410">
        <v>0.14000000000000001</v>
      </c>
      <c r="F177" s="47">
        <f t="shared" si="10"/>
        <v>19.180000000000003</v>
      </c>
      <c r="G177" s="21">
        <f t="shared" si="11"/>
        <v>15.837400934324968</v>
      </c>
      <c r="H177" s="116">
        <v>4110</v>
      </c>
      <c r="I177" s="410">
        <v>0.12</v>
      </c>
      <c r="J177" s="47">
        <f t="shared" si="12"/>
        <v>493.2</v>
      </c>
      <c r="K177" s="21">
        <f t="shared" si="13"/>
        <v>13.574915086564255</v>
      </c>
    </row>
    <row r="178" spans="1:11" s="22" customFormat="1" x14ac:dyDescent="0.35">
      <c r="A178" s="19">
        <v>166</v>
      </c>
      <c r="B178" s="19" t="s">
        <v>96</v>
      </c>
      <c r="C178" s="20" t="s">
        <v>426</v>
      </c>
      <c r="D178" s="116">
        <v>8609</v>
      </c>
      <c r="E178" s="410">
        <v>1.29</v>
      </c>
      <c r="F178" s="47">
        <f t="shared" si="10"/>
        <v>11105.61</v>
      </c>
      <c r="G178" s="21">
        <f t="shared" si="11"/>
        <v>145.93033718056577</v>
      </c>
      <c r="H178" s="116">
        <v>1196</v>
      </c>
      <c r="I178" s="410">
        <v>1.1299999999999999</v>
      </c>
      <c r="J178" s="47">
        <f t="shared" si="12"/>
        <v>1351.4799999999998</v>
      </c>
      <c r="K178" s="21">
        <f t="shared" si="13"/>
        <v>127.83045039848007</v>
      </c>
    </row>
    <row r="179" spans="1:11" s="22" customFormat="1" x14ac:dyDescent="0.35">
      <c r="A179" s="19">
        <v>167</v>
      </c>
      <c r="B179" s="19" t="s">
        <v>35</v>
      </c>
      <c r="C179" s="20" t="s">
        <v>37</v>
      </c>
      <c r="D179" s="116">
        <v>0</v>
      </c>
      <c r="E179" s="410">
        <v>0</v>
      </c>
      <c r="F179" s="47">
        <f t="shared" si="10"/>
        <v>0</v>
      </c>
      <c r="G179" s="21">
        <f t="shared" si="11"/>
        <v>0</v>
      </c>
      <c r="H179" s="116">
        <v>0</v>
      </c>
      <c r="I179" s="410">
        <v>0</v>
      </c>
      <c r="J179" s="47">
        <f t="shared" si="12"/>
        <v>0</v>
      </c>
      <c r="K179" s="21">
        <f t="shared" si="13"/>
        <v>0</v>
      </c>
    </row>
    <row r="180" spans="1:11" s="22" customFormat="1" x14ac:dyDescent="0.35">
      <c r="A180" s="19">
        <v>168</v>
      </c>
      <c r="B180" s="19" t="s">
        <v>97</v>
      </c>
      <c r="C180" s="20" t="s">
        <v>427</v>
      </c>
      <c r="D180" s="116">
        <v>0</v>
      </c>
      <c r="E180" s="410">
        <v>0</v>
      </c>
      <c r="F180" s="47">
        <f t="shared" si="10"/>
        <v>0</v>
      </c>
      <c r="G180" s="21">
        <f t="shared" si="11"/>
        <v>0</v>
      </c>
      <c r="H180" s="116">
        <v>0</v>
      </c>
      <c r="I180" s="410">
        <v>0</v>
      </c>
      <c r="J180" s="47">
        <f t="shared" si="12"/>
        <v>0</v>
      </c>
      <c r="K180" s="21">
        <f t="shared" si="13"/>
        <v>0</v>
      </c>
    </row>
    <row r="181" spans="1:11" s="22" customFormat="1" x14ac:dyDescent="0.35">
      <c r="A181" s="19">
        <v>169</v>
      </c>
      <c r="B181" s="19" t="s">
        <v>98</v>
      </c>
      <c r="C181" s="20" t="s">
        <v>428</v>
      </c>
      <c r="D181" s="116">
        <v>0</v>
      </c>
      <c r="E181" s="410">
        <v>0.22</v>
      </c>
      <c r="F181" s="47">
        <f t="shared" si="10"/>
        <v>0</v>
      </c>
      <c r="G181" s="21">
        <f t="shared" si="11"/>
        <v>24.887344325367803</v>
      </c>
      <c r="H181" s="116">
        <v>16</v>
      </c>
      <c r="I181" s="410">
        <v>0.22</v>
      </c>
      <c r="J181" s="47">
        <f t="shared" si="12"/>
        <v>3.52</v>
      </c>
      <c r="K181" s="21">
        <f t="shared" si="13"/>
        <v>24.887344325367803</v>
      </c>
    </row>
    <row r="182" spans="1:11" s="22" customFormat="1" x14ac:dyDescent="0.35">
      <c r="A182" s="19">
        <v>170</v>
      </c>
      <c r="B182" s="19" t="s">
        <v>99</v>
      </c>
      <c r="C182" s="20" t="s">
        <v>429</v>
      </c>
      <c r="D182" s="116">
        <v>0</v>
      </c>
      <c r="E182" s="410">
        <v>4.4000000000000004</v>
      </c>
      <c r="F182" s="47">
        <f t="shared" si="10"/>
        <v>0</v>
      </c>
      <c r="G182" s="21">
        <f t="shared" si="11"/>
        <v>497.74688650735612</v>
      </c>
      <c r="H182" s="116">
        <v>1273</v>
      </c>
      <c r="I182" s="410">
        <v>4.4000000000000004</v>
      </c>
      <c r="J182" s="47">
        <f t="shared" si="12"/>
        <v>5601.2000000000007</v>
      </c>
      <c r="K182" s="21">
        <f t="shared" si="13"/>
        <v>497.74688650735612</v>
      </c>
    </row>
    <row r="183" spans="1:11" s="22" customFormat="1" x14ac:dyDescent="0.35">
      <c r="A183" s="19">
        <v>171</v>
      </c>
      <c r="B183" s="19" t="s">
        <v>100</v>
      </c>
      <c r="C183" s="20" t="s">
        <v>147</v>
      </c>
      <c r="D183" s="116">
        <v>0</v>
      </c>
      <c r="E183" s="410">
        <v>1.02</v>
      </c>
      <c r="F183" s="47">
        <f t="shared" si="10"/>
        <v>0</v>
      </c>
      <c r="G183" s="21">
        <f t="shared" si="11"/>
        <v>115.38677823579619</v>
      </c>
      <c r="H183" s="116">
        <v>0</v>
      </c>
      <c r="I183" s="410">
        <v>0.94</v>
      </c>
      <c r="J183" s="47">
        <f t="shared" si="12"/>
        <v>0</v>
      </c>
      <c r="K183" s="21">
        <f t="shared" si="13"/>
        <v>106.33683484475334</v>
      </c>
    </row>
    <row r="184" spans="1:11" s="22" customFormat="1" x14ac:dyDescent="0.35">
      <c r="A184" s="19">
        <v>172</v>
      </c>
      <c r="B184" s="19" t="s">
        <v>101</v>
      </c>
      <c r="C184" s="20" t="s">
        <v>148</v>
      </c>
      <c r="D184" s="116">
        <v>0</v>
      </c>
      <c r="E184" s="410">
        <v>0.75</v>
      </c>
      <c r="F184" s="47">
        <f t="shared" si="10"/>
        <v>0</v>
      </c>
      <c r="G184" s="21">
        <f t="shared" si="11"/>
        <v>84.8432192910266</v>
      </c>
      <c r="H184" s="116">
        <v>0</v>
      </c>
      <c r="I184" s="410">
        <v>0.37</v>
      </c>
      <c r="J184" s="47">
        <f t="shared" si="12"/>
        <v>0</v>
      </c>
      <c r="K184" s="21">
        <f t="shared" si="13"/>
        <v>41.855988183573125</v>
      </c>
    </row>
    <row r="185" spans="1:11" s="22" customFormat="1" x14ac:dyDescent="0.35">
      <c r="A185" s="19">
        <v>173</v>
      </c>
      <c r="B185" s="19" t="s">
        <v>102</v>
      </c>
      <c r="C185" s="20" t="s">
        <v>430</v>
      </c>
      <c r="D185" s="116">
        <v>0</v>
      </c>
      <c r="E185" s="410">
        <v>0.75</v>
      </c>
      <c r="F185" s="47">
        <f t="shared" si="10"/>
        <v>0</v>
      </c>
      <c r="G185" s="21">
        <f t="shared" si="11"/>
        <v>84.8432192910266</v>
      </c>
      <c r="H185" s="116">
        <v>0</v>
      </c>
      <c r="I185" s="410">
        <v>0.37</v>
      </c>
      <c r="J185" s="47">
        <f t="shared" si="12"/>
        <v>0</v>
      </c>
      <c r="K185" s="21">
        <f t="shared" si="13"/>
        <v>41.855988183573125</v>
      </c>
    </row>
    <row r="186" spans="1:11" s="22" customFormat="1" x14ac:dyDescent="0.35">
      <c r="A186" s="19">
        <v>174</v>
      </c>
      <c r="B186" s="19" t="s">
        <v>103</v>
      </c>
      <c r="C186" s="20" t="s">
        <v>431</v>
      </c>
      <c r="D186" s="116">
        <v>14</v>
      </c>
      <c r="E186" s="410">
        <v>3.96</v>
      </c>
      <c r="F186" s="47">
        <f t="shared" si="10"/>
        <v>55.44</v>
      </c>
      <c r="G186" s="21">
        <f t="shared" si="11"/>
        <v>447.97219785662048</v>
      </c>
      <c r="H186" s="116">
        <v>2507</v>
      </c>
      <c r="I186" s="410">
        <v>3.96</v>
      </c>
      <c r="J186" s="47">
        <f t="shared" si="12"/>
        <v>9927.7199999999993</v>
      </c>
      <c r="K186" s="21">
        <f t="shared" si="13"/>
        <v>447.97219785662048</v>
      </c>
    </row>
    <row r="187" spans="1:11" s="22" customFormat="1" x14ac:dyDescent="0.35">
      <c r="A187" s="19">
        <v>175</v>
      </c>
      <c r="B187" s="19" t="s">
        <v>104</v>
      </c>
      <c r="C187" s="20" t="s">
        <v>432</v>
      </c>
      <c r="D187" s="116">
        <v>0</v>
      </c>
      <c r="E187" s="410">
        <v>3.59</v>
      </c>
      <c r="F187" s="47">
        <f t="shared" si="10"/>
        <v>0</v>
      </c>
      <c r="G187" s="21">
        <f t="shared" ref="G187:G196" si="18">E187*$F$12</f>
        <v>406.11620967304731</v>
      </c>
      <c r="H187" s="116">
        <v>9</v>
      </c>
      <c r="I187" s="410">
        <v>3.59</v>
      </c>
      <c r="J187" s="47">
        <f t="shared" si="12"/>
        <v>32.31</v>
      </c>
      <c r="K187" s="21">
        <f t="shared" ref="K187:K196" si="19">I187*$F$12</f>
        <v>406.11620967304731</v>
      </c>
    </row>
    <row r="188" spans="1:11" s="22" customFormat="1" x14ac:dyDescent="0.35">
      <c r="A188" s="19">
        <v>176</v>
      </c>
      <c r="B188" s="19" t="s">
        <v>36</v>
      </c>
      <c r="C188" s="20" t="s">
        <v>38</v>
      </c>
      <c r="D188" s="116">
        <v>0</v>
      </c>
      <c r="E188" s="410">
        <v>0</v>
      </c>
      <c r="F188" s="47">
        <f t="shared" ref="F188:F196" si="20">D188*E188</f>
        <v>0</v>
      </c>
      <c r="G188" s="21">
        <f t="shared" si="18"/>
        <v>0</v>
      </c>
      <c r="H188" s="116">
        <v>0</v>
      </c>
      <c r="I188" s="410">
        <v>0</v>
      </c>
      <c r="J188" s="47">
        <f t="shared" ref="J188:J196" si="21">H188*I188</f>
        <v>0</v>
      </c>
      <c r="K188" s="21">
        <f t="shared" si="19"/>
        <v>0</v>
      </c>
    </row>
    <row r="189" spans="1:11" s="22" customFormat="1" x14ac:dyDescent="0.35">
      <c r="A189" s="19">
        <v>177</v>
      </c>
      <c r="B189" s="19" t="s">
        <v>105</v>
      </c>
      <c r="C189" s="20" t="s">
        <v>433</v>
      </c>
      <c r="D189" s="116">
        <v>0</v>
      </c>
      <c r="E189" s="410">
        <v>0.28999999999999998</v>
      </c>
      <c r="F189" s="47">
        <f t="shared" si="20"/>
        <v>0</v>
      </c>
      <c r="G189" s="21">
        <f t="shared" si="18"/>
        <v>32.806044792530287</v>
      </c>
      <c r="H189" s="116">
        <v>23431</v>
      </c>
      <c r="I189" s="410">
        <v>0.28999999999999998</v>
      </c>
      <c r="J189" s="47">
        <f t="shared" si="21"/>
        <v>6794.99</v>
      </c>
      <c r="K189" s="21">
        <f t="shared" si="19"/>
        <v>32.806044792530287</v>
      </c>
    </row>
    <row r="190" spans="1:11" s="22" customFormat="1" x14ac:dyDescent="0.35">
      <c r="A190" s="19">
        <v>178</v>
      </c>
      <c r="B190" s="19" t="s">
        <v>106</v>
      </c>
      <c r="C190" s="20" t="s">
        <v>149</v>
      </c>
      <c r="D190" s="116">
        <v>0</v>
      </c>
      <c r="E190" s="410">
        <v>3.07</v>
      </c>
      <c r="F190" s="47">
        <f t="shared" si="20"/>
        <v>0</v>
      </c>
      <c r="G190" s="21">
        <f t="shared" si="18"/>
        <v>347.29157763126886</v>
      </c>
      <c r="H190" s="116">
        <v>0</v>
      </c>
      <c r="I190" s="410">
        <v>3.05</v>
      </c>
      <c r="J190" s="47">
        <f t="shared" si="21"/>
        <v>0</v>
      </c>
      <c r="K190" s="21">
        <f t="shared" si="19"/>
        <v>345.02909178350819</v>
      </c>
    </row>
    <row r="191" spans="1:11" s="22" customFormat="1" ht="29" x14ac:dyDescent="0.35">
      <c r="A191" s="19">
        <v>179</v>
      </c>
      <c r="B191" s="19" t="s">
        <v>27</v>
      </c>
      <c r="C191" s="20" t="s">
        <v>30</v>
      </c>
      <c r="D191" s="116">
        <v>0</v>
      </c>
      <c r="E191" s="410">
        <v>0</v>
      </c>
      <c r="F191" s="47">
        <f t="shared" si="20"/>
        <v>0</v>
      </c>
      <c r="G191" s="21">
        <f t="shared" si="18"/>
        <v>0</v>
      </c>
      <c r="H191" s="116">
        <v>0</v>
      </c>
      <c r="I191" s="410">
        <v>0</v>
      </c>
      <c r="J191" s="47">
        <f t="shared" si="21"/>
        <v>0</v>
      </c>
      <c r="K191" s="21">
        <f t="shared" si="19"/>
        <v>0</v>
      </c>
    </row>
    <row r="192" spans="1:11" s="22" customFormat="1" x14ac:dyDescent="0.35">
      <c r="A192" s="19">
        <v>180</v>
      </c>
      <c r="B192" s="19" t="s">
        <v>107</v>
      </c>
      <c r="C192" s="20" t="s">
        <v>150</v>
      </c>
      <c r="D192" s="116">
        <v>0</v>
      </c>
      <c r="E192" s="410">
        <v>0.59</v>
      </c>
      <c r="F192" s="47">
        <f t="shared" si="20"/>
        <v>0</v>
      </c>
      <c r="G192" s="21">
        <f t="shared" si="18"/>
        <v>66.743332508940924</v>
      </c>
      <c r="H192" s="116">
        <v>0</v>
      </c>
      <c r="I192" s="410">
        <v>0.55000000000000004</v>
      </c>
      <c r="J192" s="47">
        <f t="shared" si="21"/>
        <v>0</v>
      </c>
      <c r="K192" s="21">
        <f t="shared" si="19"/>
        <v>62.218360813419515</v>
      </c>
    </row>
    <row r="193" spans="1:11" s="22" customFormat="1" x14ac:dyDescent="0.35">
      <c r="A193" s="19">
        <v>181</v>
      </c>
      <c r="B193" s="19" t="s">
        <v>28</v>
      </c>
      <c r="C193" s="20" t="s">
        <v>31</v>
      </c>
      <c r="D193" s="116">
        <v>0</v>
      </c>
      <c r="E193" s="410">
        <v>0</v>
      </c>
      <c r="F193" s="47">
        <f t="shared" si="20"/>
        <v>0</v>
      </c>
      <c r="G193" s="21">
        <f t="shared" si="18"/>
        <v>0</v>
      </c>
      <c r="H193" s="116">
        <v>0</v>
      </c>
      <c r="I193" s="410">
        <v>0</v>
      </c>
      <c r="J193" s="47">
        <f t="shared" si="21"/>
        <v>0</v>
      </c>
      <c r="K193" s="21">
        <f t="shared" si="19"/>
        <v>0</v>
      </c>
    </row>
    <row r="194" spans="1:11" s="22" customFormat="1" x14ac:dyDescent="0.35">
      <c r="A194" s="19">
        <v>182</v>
      </c>
      <c r="B194" s="19" t="s">
        <v>108</v>
      </c>
      <c r="C194" s="20" t="s">
        <v>434</v>
      </c>
      <c r="D194" s="116">
        <v>0</v>
      </c>
      <c r="E194" s="410">
        <v>0.64</v>
      </c>
      <c r="F194" s="47">
        <f t="shared" si="20"/>
        <v>0</v>
      </c>
      <c r="G194" s="21">
        <f t="shared" si="18"/>
        <v>72.399547128342704</v>
      </c>
      <c r="H194" s="116">
        <v>0</v>
      </c>
      <c r="I194" s="410">
        <v>0.6</v>
      </c>
      <c r="J194" s="47">
        <f t="shared" si="21"/>
        <v>0</v>
      </c>
      <c r="K194" s="21">
        <f t="shared" si="19"/>
        <v>67.874575432821274</v>
      </c>
    </row>
    <row r="195" spans="1:11" s="22" customFormat="1" x14ac:dyDescent="0.35">
      <c r="A195" s="19">
        <v>183</v>
      </c>
      <c r="B195" s="19" t="s">
        <v>109</v>
      </c>
      <c r="C195" s="20" t="s">
        <v>151</v>
      </c>
      <c r="D195" s="116">
        <v>3192</v>
      </c>
      <c r="E195" s="410">
        <v>0.65000000000000013</v>
      </c>
      <c r="F195" s="47">
        <f t="shared" si="20"/>
        <v>2074.8000000000006</v>
      </c>
      <c r="G195" s="21">
        <f t="shared" si="18"/>
        <v>73.530790052223068</v>
      </c>
      <c r="H195" s="116">
        <v>4886</v>
      </c>
      <c r="I195" s="410">
        <v>0.59999999999999987</v>
      </c>
      <c r="J195" s="47">
        <f t="shared" si="21"/>
        <v>2931.5999999999995</v>
      </c>
      <c r="K195" s="21">
        <f t="shared" si="19"/>
        <v>67.874575432821274</v>
      </c>
    </row>
    <row r="196" spans="1:11" s="22" customFormat="1" x14ac:dyDescent="0.35">
      <c r="A196" s="19">
        <v>184</v>
      </c>
      <c r="B196" s="19" t="s">
        <v>29</v>
      </c>
      <c r="C196" s="20" t="s">
        <v>32</v>
      </c>
      <c r="D196" s="116">
        <v>0</v>
      </c>
      <c r="E196" s="410">
        <v>0</v>
      </c>
      <c r="F196" s="47">
        <f t="shared" si="20"/>
        <v>0</v>
      </c>
      <c r="G196" s="21">
        <f t="shared" si="18"/>
        <v>0</v>
      </c>
      <c r="H196" s="116">
        <v>0</v>
      </c>
      <c r="I196" s="410">
        <v>0</v>
      </c>
      <c r="J196" s="47">
        <f t="shared" si="21"/>
        <v>0</v>
      </c>
      <c r="K196" s="21">
        <f t="shared" si="19"/>
        <v>0</v>
      </c>
    </row>
    <row r="197" spans="1:11" x14ac:dyDescent="0.35">
      <c r="A197" s="19">
        <v>185</v>
      </c>
      <c r="D197" s="9">
        <f>SUM(D18:D196)</f>
        <v>95678</v>
      </c>
      <c r="E197" s="13"/>
      <c r="F197" s="9">
        <f>SUM(F18:F196)</f>
        <v>149909.44</v>
      </c>
      <c r="H197" s="9">
        <f>SUM(H18:H196)</f>
        <v>272325</v>
      </c>
      <c r="J197" s="9">
        <f>SUM(J18:J196)</f>
        <v>241108.66000000003</v>
      </c>
    </row>
  </sheetData>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
    <mergeCell ref="K4:K6"/>
    <mergeCell ref="L4:L6"/>
    <mergeCell ref="D15:G15"/>
    <mergeCell ref="H15:K15"/>
    <mergeCell ref="J9:J11"/>
    <mergeCell ref="K9:K11"/>
  </mergeCells>
  <pageMargins left="0.7" right="0.7" top="0.75" bottom="0.75" header="0.3" footer="0.3"/>
  <pageSetup orientation="portrait" horizontalDpi="1200" verticalDpi="1200"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4">
    <tabColor rgb="FF9CC5CA"/>
  </sheetPr>
  <dimension ref="A1:M46"/>
  <sheetViews>
    <sheetView workbookViewId="0">
      <selection activeCell="D45" sqref="D45"/>
    </sheetView>
  </sheetViews>
  <sheetFormatPr defaultColWidth="9.1796875" defaultRowHeight="14.5" x14ac:dyDescent="0.35"/>
  <cols>
    <col min="2" max="2" width="16.54296875" customWidth="1"/>
    <col min="3" max="3" width="40.7265625" customWidth="1"/>
    <col min="4" max="4" width="26.7265625" style="100" customWidth="1"/>
    <col min="5" max="5" width="3" customWidth="1"/>
    <col min="6" max="6" width="9.1796875" customWidth="1"/>
    <col min="7" max="7" width="33.26953125" style="48" customWidth="1"/>
    <col min="8" max="8" width="30.26953125" customWidth="1"/>
    <col min="9" max="9" width="23.54296875" customWidth="1"/>
  </cols>
  <sheetData>
    <row r="1" spans="1:13" ht="26" x14ac:dyDescent="0.6">
      <c r="A1" s="3" t="s">
        <v>774</v>
      </c>
      <c r="G1" s="129"/>
    </row>
    <row r="2" spans="1:13" ht="21" x14ac:dyDescent="0.5">
      <c r="A2" s="2" t="s">
        <v>772</v>
      </c>
      <c r="H2" s="40"/>
      <c r="I2" s="40"/>
      <c r="J2" s="40"/>
      <c r="K2" s="40"/>
      <c r="L2" s="40"/>
      <c r="M2" s="40"/>
    </row>
    <row r="3" spans="1:13" ht="21" x14ac:dyDescent="0.5">
      <c r="A3" s="242" t="s">
        <v>899</v>
      </c>
      <c r="G3" s="130"/>
      <c r="H3" s="130"/>
      <c r="I3" s="130"/>
      <c r="J3" s="40"/>
      <c r="K3" s="40"/>
      <c r="L3" s="40"/>
      <c r="M3" s="40"/>
    </row>
    <row r="4" spans="1:13" x14ac:dyDescent="0.35">
      <c r="G4" s="40"/>
      <c r="H4" s="40"/>
      <c r="I4" s="40"/>
      <c r="J4" s="40"/>
      <c r="K4" s="40"/>
      <c r="L4" s="40"/>
      <c r="M4" s="40"/>
    </row>
    <row r="5" spans="1:13" ht="15" customHeight="1" x14ac:dyDescent="0.35">
      <c r="A5" s="1" t="s">
        <v>773</v>
      </c>
      <c r="C5" s="420">
        <f>'As-Filed Schedule 1'!C5</f>
        <v>0</v>
      </c>
      <c r="D5" s="55"/>
      <c r="E5" s="53"/>
      <c r="F5" s="53"/>
      <c r="G5" s="50"/>
      <c r="H5" s="50"/>
      <c r="I5" s="13"/>
      <c r="J5" s="13"/>
      <c r="K5" s="40"/>
      <c r="L5" s="40"/>
    </row>
    <row r="6" spans="1:13" x14ac:dyDescent="0.35">
      <c r="A6" s="1" t="s">
        <v>0</v>
      </c>
      <c r="C6" s="35">
        <f>'As-Filed Schedule 1'!C6</f>
        <v>45473</v>
      </c>
      <c r="D6" s="35"/>
      <c r="E6" s="35"/>
      <c r="F6" s="35"/>
      <c r="G6" s="13"/>
      <c r="H6" s="13"/>
      <c r="I6" s="13"/>
      <c r="J6" s="13"/>
      <c r="K6" s="40"/>
      <c r="L6" s="40"/>
    </row>
    <row r="7" spans="1:13" s="1" customFormat="1" x14ac:dyDescent="0.35">
      <c r="D7" s="100"/>
      <c r="G7" s="40"/>
      <c r="H7" s="40"/>
      <c r="I7" s="40"/>
      <c r="J7" s="40"/>
      <c r="K7" s="40"/>
      <c r="L7" s="40"/>
      <c r="M7" s="40"/>
    </row>
    <row r="8" spans="1:13" x14ac:dyDescent="0.35">
      <c r="D8" s="175">
        <v>1</v>
      </c>
      <c r="G8" s="40"/>
      <c r="H8" s="40"/>
      <c r="I8" s="40"/>
      <c r="J8" s="40"/>
      <c r="K8" s="40"/>
      <c r="L8" s="40"/>
      <c r="M8" s="40"/>
    </row>
    <row r="9" spans="1:13" s="6" customFormat="1" x14ac:dyDescent="0.35">
      <c r="A9" s="97"/>
      <c r="B9" s="492" t="s">
        <v>868</v>
      </c>
      <c r="C9" s="492"/>
      <c r="D9" s="151" t="s">
        <v>869</v>
      </c>
      <c r="G9" s="129"/>
      <c r="H9" s="129"/>
      <c r="I9" s="129"/>
      <c r="J9" s="129"/>
      <c r="K9" s="129"/>
      <c r="L9" s="129"/>
      <c r="M9" s="129"/>
    </row>
    <row r="10" spans="1:13" s="6" customFormat="1" x14ac:dyDescent="0.35">
      <c r="A10" s="97"/>
      <c r="B10" s="152"/>
      <c r="C10" s="153"/>
      <c r="D10" s="154"/>
      <c r="G10" s="129"/>
      <c r="H10" s="129"/>
      <c r="I10" s="129"/>
      <c r="J10" s="129"/>
      <c r="K10" s="129"/>
      <c r="L10" s="129"/>
      <c r="M10" s="129"/>
    </row>
    <row r="11" spans="1:13" s="22" customFormat="1" x14ac:dyDescent="0.35">
      <c r="A11" s="488" t="s">
        <v>870</v>
      </c>
      <c r="B11" s="489"/>
      <c r="C11" s="489"/>
      <c r="D11" s="490"/>
      <c r="G11" s="128"/>
      <c r="H11" s="128"/>
      <c r="I11" s="128"/>
      <c r="J11" s="128"/>
      <c r="K11" s="128"/>
      <c r="L11" s="128"/>
      <c r="M11" s="128"/>
    </row>
    <row r="12" spans="1:13" s="22" customFormat="1" x14ac:dyDescent="0.35">
      <c r="A12" s="155">
        <v>1</v>
      </c>
      <c r="B12" s="479" t="s">
        <v>871</v>
      </c>
      <c r="C12" s="481"/>
      <c r="D12" s="157">
        <v>36890820</v>
      </c>
      <c r="G12" s="140"/>
    </row>
    <row r="13" spans="1:13" s="22" customFormat="1" x14ac:dyDescent="0.35">
      <c r="A13" s="155">
        <v>2</v>
      </c>
      <c r="B13" s="479" t="s">
        <v>872</v>
      </c>
      <c r="C13" s="481"/>
      <c r="D13" s="157">
        <v>830585</v>
      </c>
      <c r="G13" s="140"/>
    </row>
    <row r="14" spans="1:13" s="22" customFormat="1" x14ac:dyDescent="0.35">
      <c r="A14" s="155">
        <v>3</v>
      </c>
      <c r="B14" s="173" t="s">
        <v>873</v>
      </c>
      <c r="C14" s="168"/>
      <c r="D14" s="157">
        <v>175725</v>
      </c>
      <c r="G14" s="140"/>
    </row>
    <row r="15" spans="1:13" s="22" customFormat="1" x14ac:dyDescent="0.35">
      <c r="A15" s="155">
        <v>4</v>
      </c>
      <c r="B15" s="173" t="s">
        <v>874</v>
      </c>
      <c r="C15" s="168"/>
      <c r="D15" s="157">
        <v>1031386</v>
      </c>
      <c r="G15" s="140"/>
    </row>
    <row r="16" spans="1:13" s="22" customFormat="1" x14ac:dyDescent="0.35">
      <c r="A16" s="155">
        <v>5</v>
      </c>
      <c r="B16" s="173" t="s">
        <v>875</v>
      </c>
      <c r="C16" s="168"/>
      <c r="D16" s="157">
        <v>778669</v>
      </c>
      <c r="G16" s="140"/>
    </row>
    <row r="17" spans="1:7" s="22" customFormat="1" x14ac:dyDescent="0.35">
      <c r="A17" s="155">
        <v>6</v>
      </c>
      <c r="B17" s="173" t="s">
        <v>876</v>
      </c>
      <c r="C17" s="168"/>
      <c r="D17" s="157">
        <v>678831</v>
      </c>
      <c r="G17" s="140"/>
    </row>
    <row r="18" spans="1:7" s="22" customFormat="1" x14ac:dyDescent="0.35">
      <c r="A18" s="155">
        <v>7</v>
      </c>
      <c r="B18" s="479" t="s">
        <v>877</v>
      </c>
      <c r="C18" s="481"/>
      <c r="D18" s="157">
        <v>0</v>
      </c>
      <c r="G18" s="140"/>
    </row>
    <row r="19" spans="1:7" s="22" customFormat="1" x14ac:dyDescent="0.35">
      <c r="A19" s="155">
        <v>8</v>
      </c>
      <c r="B19" s="485" t="s">
        <v>878</v>
      </c>
      <c r="C19" s="487"/>
      <c r="D19" s="160">
        <f>SUM(D12:D18)</f>
        <v>40386016</v>
      </c>
      <c r="G19" s="140"/>
    </row>
    <row r="20" spans="1:7" s="22" customFormat="1" x14ac:dyDescent="0.35">
      <c r="A20" s="161"/>
      <c r="B20" s="162"/>
      <c r="C20" s="162"/>
      <c r="D20" s="164"/>
      <c r="G20" s="140"/>
    </row>
    <row r="21" spans="1:7" s="22" customFormat="1" x14ac:dyDescent="0.35">
      <c r="A21" s="488" t="s">
        <v>879</v>
      </c>
      <c r="B21" s="489"/>
      <c r="C21" s="489"/>
      <c r="D21" s="490"/>
      <c r="E21" s="140"/>
      <c r="F21" s="140"/>
      <c r="G21" s="140"/>
    </row>
    <row r="22" spans="1:7" s="22" customFormat="1" x14ac:dyDescent="0.35">
      <c r="A22" s="155">
        <v>9</v>
      </c>
      <c r="B22" s="479" t="s">
        <v>880</v>
      </c>
      <c r="C22" s="481"/>
      <c r="D22" s="157">
        <v>2165313</v>
      </c>
      <c r="E22" s="140"/>
      <c r="F22" s="140"/>
      <c r="G22" s="140"/>
    </row>
    <row r="23" spans="1:7" s="22" customFormat="1" x14ac:dyDescent="0.35">
      <c r="A23" s="155">
        <v>10</v>
      </c>
      <c r="B23" s="173" t="s">
        <v>881</v>
      </c>
      <c r="C23" s="168"/>
      <c r="D23" s="157">
        <v>4273036</v>
      </c>
      <c r="E23" s="140"/>
      <c r="F23" s="140"/>
      <c r="G23" s="140"/>
    </row>
    <row r="24" spans="1:7" s="22" customFormat="1" x14ac:dyDescent="0.35">
      <c r="A24" s="155">
        <v>11</v>
      </c>
      <c r="B24" s="173" t="s">
        <v>882</v>
      </c>
      <c r="C24" s="168"/>
      <c r="D24" s="157">
        <v>1745607</v>
      </c>
      <c r="E24" s="140"/>
      <c r="F24" s="140"/>
      <c r="G24" s="140"/>
    </row>
    <row r="25" spans="1:7" s="22" customFormat="1" x14ac:dyDescent="0.35">
      <c r="A25" s="155">
        <v>12</v>
      </c>
      <c r="B25" s="173" t="s">
        <v>883</v>
      </c>
      <c r="C25" s="168"/>
      <c r="D25" s="157">
        <v>733612</v>
      </c>
      <c r="E25" s="140"/>
      <c r="F25" s="140"/>
      <c r="G25" s="140"/>
    </row>
    <row r="26" spans="1:7" s="22" customFormat="1" x14ac:dyDescent="0.35">
      <c r="A26" s="155">
        <v>13</v>
      </c>
      <c r="B26" s="173" t="s">
        <v>884</v>
      </c>
      <c r="C26" s="168"/>
      <c r="D26" s="157">
        <v>864606</v>
      </c>
      <c r="E26" s="140"/>
      <c r="F26" s="140"/>
      <c r="G26" s="140"/>
    </row>
    <row r="27" spans="1:7" s="22" customFormat="1" x14ac:dyDescent="0.35">
      <c r="A27" s="155">
        <v>14</v>
      </c>
      <c r="B27" s="485" t="s">
        <v>885</v>
      </c>
      <c r="C27" s="487"/>
      <c r="D27" s="160">
        <f>SUM(D22:D26)</f>
        <v>9782174</v>
      </c>
      <c r="E27" s="140"/>
      <c r="F27" s="140"/>
      <c r="G27" s="140"/>
    </row>
    <row r="28" spans="1:7" s="22" customFormat="1" x14ac:dyDescent="0.35">
      <c r="A28" s="161"/>
      <c r="B28" s="162"/>
      <c r="C28" s="162"/>
      <c r="D28" s="164"/>
      <c r="F28" s="140"/>
      <c r="G28" s="140"/>
    </row>
    <row r="29" spans="1:7" s="22" customFormat="1" x14ac:dyDescent="0.35">
      <c r="A29" s="488" t="s">
        <v>886</v>
      </c>
      <c r="B29" s="489"/>
      <c r="C29" s="489"/>
      <c r="D29" s="490"/>
      <c r="F29" s="140"/>
      <c r="G29" s="140"/>
    </row>
    <row r="30" spans="1:7" s="22" customFormat="1" x14ac:dyDescent="0.35">
      <c r="A30" s="155">
        <v>15</v>
      </c>
      <c r="B30" s="479" t="s">
        <v>887</v>
      </c>
      <c r="C30" s="481"/>
      <c r="D30" s="157"/>
      <c r="G30" s="140"/>
    </row>
    <row r="31" spans="1:7" s="22" customFormat="1" x14ac:dyDescent="0.35">
      <c r="A31" s="155">
        <v>16</v>
      </c>
      <c r="B31" s="173" t="s">
        <v>888</v>
      </c>
      <c r="C31" s="168"/>
      <c r="D31" s="157"/>
      <c r="G31" s="140"/>
    </row>
    <row r="32" spans="1:7" s="22" customFormat="1" x14ac:dyDescent="0.35">
      <c r="A32" s="155">
        <v>17</v>
      </c>
      <c r="B32" s="173" t="s">
        <v>889</v>
      </c>
      <c r="C32" s="168"/>
      <c r="D32" s="157"/>
      <c r="G32" s="140"/>
    </row>
    <row r="33" spans="1:7" s="22" customFormat="1" x14ac:dyDescent="0.35">
      <c r="A33" s="155">
        <v>18</v>
      </c>
      <c r="B33" s="173" t="s">
        <v>890</v>
      </c>
      <c r="C33" s="168"/>
      <c r="D33" s="157"/>
      <c r="G33" s="140"/>
    </row>
    <row r="34" spans="1:7" s="22" customFormat="1" x14ac:dyDescent="0.35">
      <c r="A34" s="155">
        <v>19</v>
      </c>
      <c r="B34" s="173" t="s">
        <v>891</v>
      </c>
      <c r="C34" s="168"/>
      <c r="D34" s="157">
        <v>3000</v>
      </c>
      <c r="G34" s="140"/>
    </row>
    <row r="35" spans="1:7" s="22" customFormat="1" x14ac:dyDescent="0.35">
      <c r="A35" s="155">
        <v>20</v>
      </c>
      <c r="B35" s="485" t="s">
        <v>892</v>
      </c>
      <c r="C35" s="487"/>
      <c r="D35" s="160">
        <f>SUM(D30:D34)</f>
        <v>3000</v>
      </c>
      <c r="G35" s="140"/>
    </row>
    <row r="36" spans="1:7" s="22" customFormat="1" x14ac:dyDescent="0.35">
      <c r="A36" s="161"/>
      <c r="B36" s="162"/>
      <c r="C36" s="162"/>
      <c r="D36" s="164"/>
      <c r="G36" s="140"/>
    </row>
    <row r="37" spans="1:7" s="22" customFormat="1" x14ac:dyDescent="0.35">
      <c r="A37" s="488" t="s">
        <v>893</v>
      </c>
      <c r="B37" s="489"/>
      <c r="C37" s="489"/>
      <c r="D37" s="490"/>
      <c r="G37" s="140"/>
    </row>
    <row r="38" spans="1:7" s="22" customFormat="1" x14ac:dyDescent="0.35">
      <c r="A38" s="155">
        <v>21</v>
      </c>
      <c r="B38" s="479" t="s">
        <v>304</v>
      </c>
      <c r="C38" s="480"/>
      <c r="D38" s="157"/>
      <c r="G38" s="140"/>
    </row>
    <row r="39" spans="1:7" s="22" customFormat="1" x14ac:dyDescent="0.35">
      <c r="A39" s="155">
        <v>22</v>
      </c>
      <c r="B39" s="479" t="s">
        <v>894</v>
      </c>
      <c r="C39" s="480"/>
      <c r="D39" s="157"/>
      <c r="G39" s="140"/>
    </row>
    <row r="40" spans="1:7" s="22" customFormat="1" x14ac:dyDescent="0.35">
      <c r="A40" s="155">
        <v>23</v>
      </c>
      <c r="B40" s="479" t="s">
        <v>895</v>
      </c>
      <c r="C40" s="480"/>
      <c r="D40" s="157">
        <v>267656</v>
      </c>
      <c r="G40" s="140"/>
    </row>
    <row r="41" spans="1:7" s="22" customFormat="1" x14ac:dyDescent="0.35">
      <c r="A41" s="155">
        <v>24</v>
      </c>
      <c r="B41" s="485" t="s">
        <v>896</v>
      </c>
      <c r="C41" s="486"/>
      <c r="D41" s="160">
        <f>SUM(D38:D40)</f>
        <v>267656</v>
      </c>
      <c r="G41" s="140"/>
    </row>
    <row r="42" spans="1:7" s="22" customFormat="1" x14ac:dyDescent="0.35">
      <c r="A42" s="161"/>
      <c r="B42" s="162"/>
      <c r="C42" s="162"/>
      <c r="D42" s="164"/>
      <c r="G42" s="140"/>
    </row>
    <row r="43" spans="1:7" s="63" customFormat="1" ht="15.5" x14ac:dyDescent="0.35">
      <c r="A43" s="155">
        <v>25</v>
      </c>
      <c r="B43" s="482" t="s">
        <v>897</v>
      </c>
      <c r="C43" s="484"/>
      <c r="D43" s="169">
        <f>SUM(D19,D27,D35,D41)</f>
        <v>50438846</v>
      </c>
      <c r="G43" s="141"/>
    </row>
    <row r="44" spans="1:7" s="22" customFormat="1" x14ac:dyDescent="0.35">
      <c r="A44" s="170"/>
      <c r="B44" s="170"/>
      <c r="C44" s="170"/>
      <c r="D44" s="170"/>
      <c r="G44" s="140"/>
    </row>
    <row r="45" spans="1:7" s="22" customFormat="1" x14ac:dyDescent="0.35">
      <c r="A45" s="155">
        <v>26</v>
      </c>
      <c r="B45" s="478" t="s">
        <v>898</v>
      </c>
      <c r="C45" s="478"/>
      <c r="D45" s="472">
        <v>50438846</v>
      </c>
      <c r="G45" s="140"/>
    </row>
    <row r="46" spans="1:7" s="22" customFormat="1" ht="15.5" x14ac:dyDescent="0.35">
      <c r="A46" s="155">
        <v>27</v>
      </c>
      <c r="B46" s="478" t="s">
        <v>10</v>
      </c>
      <c r="C46" s="478"/>
      <c r="D46" s="169">
        <f>D43-D45</f>
        <v>0</v>
      </c>
      <c r="E46" s="33" t="str">
        <f>IF(ABS(D46)&gt;1,"Error - This variance should be 0.","")</f>
        <v/>
      </c>
      <c r="G46" s="140"/>
    </row>
  </sheetData>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20">
    <mergeCell ref="B35:C35"/>
    <mergeCell ref="B9:C9"/>
    <mergeCell ref="A11:D11"/>
    <mergeCell ref="B12:C12"/>
    <mergeCell ref="B13:C13"/>
    <mergeCell ref="B18:C18"/>
    <mergeCell ref="B19:C19"/>
    <mergeCell ref="A21:D21"/>
    <mergeCell ref="B22:C22"/>
    <mergeCell ref="B27:C27"/>
    <mergeCell ref="A29:D29"/>
    <mergeCell ref="B30:C30"/>
    <mergeCell ref="B45:C45"/>
    <mergeCell ref="B46:C46"/>
    <mergeCell ref="A37:D37"/>
    <mergeCell ref="B38:C38"/>
    <mergeCell ref="B39:C39"/>
    <mergeCell ref="B40:C40"/>
    <mergeCell ref="B41:C41"/>
    <mergeCell ref="B43:C43"/>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5"/>
  <dimension ref="A1:AE104"/>
  <sheetViews>
    <sheetView workbookViewId="0"/>
  </sheetViews>
  <sheetFormatPr defaultColWidth="9.1796875" defaultRowHeight="14.5" x14ac:dyDescent="0.35"/>
  <cols>
    <col min="2" max="2" width="15.81640625" customWidth="1"/>
    <col min="3" max="3" width="43.81640625" customWidth="1"/>
    <col min="4" max="4" width="12.26953125" customWidth="1"/>
    <col min="5" max="5" width="15" style="261" customWidth="1"/>
    <col min="6" max="6" width="11.54296875" style="48" customWidth="1"/>
    <col min="7" max="7" width="20.26953125" customWidth="1"/>
    <col min="8" max="8" width="20.26953125" style="261" customWidth="1"/>
    <col min="9" max="9" width="20.26953125" style="48" customWidth="1"/>
    <col min="10" max="10" width="20.26953125" customWidth="1"/>
    <col min="11" max="11" width="20.26953125" style="261" customWidth="1"/>
    <col min="12" max="12" width="20.26953125" style="48" customWidth="1"/>
    <col min="13" max="13" width="20.26953125" customWidth="1"/>
    <col min="14" max="14" width="20.26953125" style="261" customWidth="1"/>
    <col min="15" max="15" width="20.26953125" style="48" customWidth="1"/>
    <col min="16" max="16" width="20.26953125" customWidth="1"/>
    <col min="17" max="17" width="20.26953125" style="261" customWidth="1"/>
    <col min="18" max="18" width="20.26953125" style="48" customWidth="1"/>
    <col min="19" max="19" width="20.26953125" customWidth="1"/>
    <col min="20" max="20" width="20.26953125" style="261" customWidth="1"/>
    <col min="21" max="21" width="20.26953125" style="48" customWidth="1"/>
    <col min="22" max="22" width="20.26953125" customWidth="1"/>
    <col min="23" max="23" width="20.26953125" style="261" customWidth="1"/>
    <col min="24" max="24" width="20.26953125" style="48" customWidth="1"/>
    <col min="25" max="25" width="33.26953125" style="48" customWidth="1"/>
    <col min="26" max="26" width="30.26953125" customWidth="1"/>
    <col min="27" max="27" width="23.54296875" customWidth="1"/>
  </cols>
  <sheetData>
    <row r="1" spans="1:31" ht="26" x14ac:dyDescent="0.6">
      <c r="A1" s="457" t="s">
        <v>774</v>
      </c>
      <c r="F1" s="53"/>
    </row>
    <row r="2" spans="1:31" ht="21" x14ac:dyDescent="0.5">
      <c r="A2" s="2" t="s">
        <v>772</v>
      </c>
      <c r="Z2" s="40"/>
      <c r="AA2" s="40"/>
      <c r="AB2" s="40"/>
      <c r="AC2" s="40"/>
      <c r="AD2" s="40"/>
      <c r="AE2" s="40"/>
    </row>
    <row r="3" spans="1:31" ht="25" customHeight="1" x14ac:dyDescent="0.5">
      <c r="A3" s="5" t="s">
        <v>551</v>
      </c>
      <c r="Y3" s="130"/>
      <c r="Z3" s="130"/>
      <c r="AA3" s="130"/>
      <c r="AB3" s="40"/>
      <c r="AC3" s="40"/>
      <c r="AD3" s="40"/>
      <c r="AE3" s="40"/>
    </row>
    <row r="4" spans="1:31" ht="25" customHeight="1" x14ac:dyDescent="0.5">
      <c r="A4" s="243" t="s">
        <v>496</v>
      </c>
      <c r="Y4" s="130"/>
      <c r="Z4" s="130"/>
      <c r="AA4" s="130"/>
      <c r="AB4" s="40"/>
      <c r="AC4" s="40"/>
      <c r="AD4" s="40"/>
      <c r="AE4" s="40"/>
    </row>
    <row r="5" spans="1:31" x14ac:dyDescent="0.35">
      <c r="J5" s="36"/>
      <c r="K5" s="269"/>
      <c r="L5" s="36"/>
      <c r="Y5" s="40"/>
      <c r="Z5" s="40"/>
      <c r="AA5" s="40"/>
      <c r="AB5" s="40"/>
      <c r="AC5" s="40"/>
      <c r="AD5" s="40"/>
      <c r="AE5" s="40"/>
    </row>
    <row r="6" spans="1:31" x14ac:dyDescent="0.35">
      <c r="A6" s="1" t="s">
        <v>773</v>
      </c>
      <c r="C6" s="421" t="str">
        <f>Results!$C$6</f>
        <v>Health Solutions</v>
      </c>
      <c r="J6" s="48"/>
      <c r="Y6" s="40"/>
      <c r="Z6" s="40"/>
      <c r="AA6" s="40"/>
      <c r="AB6" s="40"/>
      <c r="AC6" s="40"/>
      <c r="AD6" s="40"/>
      <c r="AE6" s="40"/>
    </row>
    <row r="7" spans="1:31" x14ac:dyDescent="0.35">
      <c r="A7" s="1" t="s">
        <v>0</v>
      </c>
      <c r="C7" s="35">
        <f>Results!$C$7</f>
        <v>45473</v>
      </c>
      <c r="J7" s="40"/>
      <c r="K7" s="260"/>
      <c r="L7" s="40"/>
      <c r="Y7" s="40"/>
      <c r="Z7" s="40"/>
      <c r="AA7" s="40"/>
      <c r="AB7" s="40"/>
      <c r="AC7" s="40"/>
      <c r="AD7" s="40"/>
      <c r="AE7" s="40"/>
    </row>
    <row r="8" spans="1:31" s="1" customFormat="1" x14ac:dyDescent="0.35">
      <c r="E8" s="260"/>
      <c r="F8" s="40"/>
      <c r="G8"/>
      <c r="H8" s="261"/>
      <c r="I8" s="48"/>
      <c r="J8"/>
      <c r="K8" s="261"/>
      <c r="L8" s="48"/>
      <c r="M8" s="48"/>
      <c r="N8" s="261"/>
      <c r="O8" s="48"/>
      <c r="P8"/>
      <c r="Q8" s="261"/>
      <c r="R8" s="48"/>
      <c r="T8" s="260"/>
      <c r="U8" s="40"/>
      <c r="W8" s="260"/>
      <c r="X8" s="40"/>
      <c r="Y8" s="40"/>
      <c r="Z8" s="40"/>
      <c r="AA8" s="40"/>
      <c r="AB8" s="40"/>
      <c r="AC8" s="40"/>
      <c r="AD8" s="40"/>
      <c r="AE8" s="40"/>
    </row>
    <row r="9" spans="1:31" x14ac:dyDescent="0.35">
      <c r="D9" s="23">
        <v>1</v>
      </c>
      <c r="E9" s="256" t="s">
        <v>552</v>
      </c>
      <c r="F9" s="257" t="s">
        <v>553</v>
      </c>
      <c r="G9" s="23">
        <v>2</v>
      </c>
      <c r="H9" s="256" t="s">
        <v>556</v>
      </c>
      <c r="I9" s="257" t="s">
        <v>557</v>
      </c>
      <c r="J9" s="23">
        <v>3</v>
      </c>
      <c r="K9" s="256" t="s">
        <v>560</v>
      </c>
      <c r="L9" s="257" t="s">
        <v>561</v>
      </c>
      <c r="M9" s="23">
        <v>4</v>
      </c>
      <c r="N9" s="256" t="s">
        <v>564</v>
      </c>
      <c r="O9" s="257" t="s">
        <v>565</v>
      </c>
      <c r="P9" s="23">
        <v>5</v>
      </c>
      <c r="Q9" s="256" t="s">
        <v>566</v>
      </c>
      <c r="R9" s="257" t="s">
        <v>567</v>
      </c>
      <c r="S9" s="23">
        <v>6</v>
      </c>
      <c r="T9" s="256" t="s">
        <v>570</v>
      </c>
      <c r="U9" s="257" t="s">
        <v>571</v>
      </c>
      <c r="V9" s="23">
        <v>7</v>
      </c>
      <c r="W9" s="256" t="s">
        <v>574</v>
      </c>
      <c r="X9" s="257" t="s">
        <v>575</v>
      </c>
      <c r="Y9" s="40"/>
      <c r="Z9" s="40"/>
      <c r="AA9" s="40"/>
      <c r="AB9" s="40"/>
      <c r="AC9" s="40"/>
      <c r="AD9" s="40"/>
      <c r="AE9" s="40"/>
    </row>
    <row r="10" spans="1:31" s="6" customFormat="1" ht="116" x14ac:dyDescent="0.35">
      <c r="A10" s="97"/>
      <c r="B10" s="492" t="s">
        <v>1</v>
      </c>
      <c r="C10" s="492"/>
      <c r="D10" s="151" t="s">
        <v>7</v>
      </c>
      <c r="E10" s="258" t="s">
        <v>554</v>
      </c>
      <c r="F10" s="259" t="s">
        <v>555</v>
      </c>
      <c r="G10" s="151" t="s">
        <v>6</v>
      </c>
      <c r="H10" s="258" t="s">
        <v>558</v>
      </c>
      <c r="I10" s="259" t="s">
        <v>559</v>
      </c>
      <c r="J10" s="151" t="s">
        <v>485</v>
      </c>
      <c r="K10" s="258" t="s">
        <v>562</v>
      </c>
      <c r="L10" s="259" t="s">
        <v>563</v>
      </c>
      <c r="M10" s="151" t="s">
        <v>776</v>
      </c>
      <c r="N10" s="258" t="s">
        <v>777</v>
      </c>
      <c r="O10" s="259" t="s">
        <v>778</v>
      </c>
      <c r="P10" s="151" t="s">
        <v>486</v>
      </c>
      <c r="Q10" s="258" t="s">
        <v>568</v>
      </c>
      <c r="R10" s="259" t="s">
        <v>569</v>
      </c>
      <c r="S10" s="151" t="s">
        <v>9</v>
      </c>
      <c r="T10" s="258" t="s">
        <v>572</v>
      </c>
      <c r="U10" s="259" t="s">
        <v>573</v>
      </c>
      <c r="V10" s="151" t="s">
        <v>8</v>
      </c>
      <c r="W10" s="258" t="s">
        <v>576</v>
      </c>
      <c r="X10" s="259" t="s">
        <v>577</v>
      </c>
      <c r="Y10" s="129"/>
      <c r="Z10" s="129"/>
      <c r="AA10" s="129"/>
      <c r="AB10" s="129"/>
      <c r="AC10" s="129"/>
      <c r="AD10" s="129"/>
      <c r="AE10" s="129"/>
    </row>
    <row r="11" spans="1:31" s="6" customFormat="1" x14ac:dyDescent="0.35">
      <c r="A11" s="97"/>
      <c r="B11" s="152"/>
      <c r="C11" s="153"/>
      <c r="D11" s="154"/>
      <c r="E11" s="262"/>
      <c r="F11" s="271"/>
      <c r="G11" s="154"/>
      <c r="H11" s="262"/>
      <c r="I11" s="271"/>
      <c r="J11" s="154"/>
      <c r="K11" s="262"/>
      <c r="L11" s="271"/>
      <c r="M11" s="154"/>
      <c r="N11" s="262"/>
      <c r="O11" s="271"/>
      <c r="P11" s="154"/>
      <c r="Q11" s="262"/>
      <c r="R11" s="271"/>
      <c r="S11" s="154"/>
      <c r="T11" s="262"/>
      <c r="U11" s="271"/>
      <c r="V11" s="154"/>
      <c r="W11" s="262"/>
      <c r="X11" s="271"/>
      <c r="Y11" s="129"/>
      <c r="Z11" s="129"/>
      <c r="AA11" s="129"/>
      <c r="AB11" s="129"/>
      <c r="AC11" s="129"/>
      <c r="AD11" s="129"/>
      <c r="AE11" s="129"/>
    </row>
    <row r="12" spans="1:31" s="22" customFormat="1" x14ac:dyDescent="0.35">
      <c r="A12" s="488" t="s">
        <v>280</v>
      </c>
      <c r="B12" s="489"/>
      <c r="C12" s="489"/>
      <c r="D12" s="489"/>
      <c r="E12" s="489"/>
      <c r="F12" s="489"/>
      <c r="G12" s="489"/>
      <c r="H12" s="489"/>
      <c r="I12" s="489"/>
      <c r="J12" s="489"/>
      <c r="K12" s="489"/>
      <c r="L12" s="489"/>
      <c r="M12" s="489"/>
      <c r="N12" s="489"/>
      <c r="O12" s="489"/>
      <c r="P12" s="489"/>
      <c r="Q12" s="489"/>
      <c r="R12" s="489"/>
      <c r="S12" s="489"/>
      <c r="T12" s="489"/>
      <c r="U12" s="489"/>
      <c r="V12" s="489"/>
      <c r="W12" s="489"/>
      <c r="X12" s="490"/>
      <c r="Y12" s="128"/>
      <c r="Z12" s="128"/>
      <c r="AA12" s="128"/>
      <c r="AB12" s="128"/>
      <c r="AC12" s="128"/>
      <c r="AD12" s="128"/>
      <c r="AE12" s="128"/>
    </row>
    <row r="13" spans="1:31" s="22" customFormat="1" x14ac:dyDescent="0.35">
      <c r="A13" s="155">
        <v>1</v>
      </c>
      <c r="B13" s="479" t="s">
        <v>458</v>
      </c>
      <c r="C13" s="481"/>
      <c r="D13" s="156">
        <f>'As-Filed Schedule 1'!D12</f>
        <v>4</v>
      </c>
      <c r="E13" s="263">
        <f>SUMIFS(Adjustments!$G:$G,Adjustments!$H:$H,"1",Adjustments!$I:$I,$D$9,Adjustments!$J:$J,$A13)</f>
        <v>0</v>
      </c>
      <c r="F13" s="272">
        <f>SUM(D13:E13)</f>
        <v>4</v>
      </c>
      <c r="G13" s="157">
        <f>'As-Filed Schedule 1'!E12</f>
        <v>0</v>
      </c>
      <c r="H13" s="263">
        <f>SUMIFS(Adjustments!$G:$G,Adjustments!$H:$H,"1",Adjustments!$I:$I,$G$9,Adjustments!$J:$J,$A13)</f>
        <v>0</v>
      </c>
      <c r="I13" s="274">
        <f>SUM(G13:H13)</f>
        <v>0</v>
      </c>
      <c r="J13" s="157">
        <f>'As-Filed Schedule 1'!F12</f>
        <v>1252517.6711216203</v>
      </c>
      <c r="K13" s="263">
        <f>SUMIFS(Adjustments!$G:$G,Adjustments!$H:$H,"1",Adjustments!$I:$I,$J$9,Adjustments!$J:$J,$A13)</f>
        <v>0</v>
      </c>
      <c r="L13" s="274">
        <f>SUM(J13:K13)</f>
        <v>1252517.6711216203</v>
      </c>
      <c r="M13" s="157">
        <f>'As-Filed Schedule 1'!G12</f>
        <v>0</v>
      </c>
      <c r="N13" s="263">
        <f>SUMIFS(Adjustments!$G:$G,Adjustments!$H:$H,"1",Adjustments!$I:$I,$M$9,Adjustments!$J:$J,$A13)</f>
        <v>0</v>
      </c>
      <c r="O13" s="274">
        <f t="shared" ref="O13:O15" si="0">SUM(M13:N13)</f>
        <v>0</v>
      </c>
      <c r="P13" s="157">
        <f>'As-Filed Schedule 1'!H12</f>
        <v>0</v>
      </c>
      <c r="Q13" s="263">
        <f>SUMIFS(Adjustments!$G:$G,Adjustments!$H:$H,"1",Adjustments!$I:$I,$P$9,Adjustments!$J:$J,$A13)</f>
        <v>0</v>
      </c>
      <c r="R13" s="274">
        <f>SUM(P13:Q13)</f>
        <v>0</v>
      </c>
      <c r="S13" s="157">
        <f>'As-Filed Schedule 1'!I12</f>
        <v>0</v>
      </c>
      <c r="T13" s="263">
        <f>SUMIFS(Adjustments!$G:$G,Adjustments!$H:$H,"1",Adjustments!$I:$I,$S$9,Adjustments!$J:$J,$A13)</f>
        <v>0</v>
      </c>
      <c r="U13" s="274">
        <f t="shared" ref="U13:U15" si="1">SUM(S13:T13)</f>
        <v>0</v>
      </c>
      <c r="V13" s="160">
        <f>SUM(D13,G13,J13,M13,P13,S13)</f>
        <v>1252521.6711216203</v>
      </c>
      <c r="W13" s="266">
        <f>SUM(E13,H13,K13,N13,Q13,T13)</f>
        <v>0</v>
      </c>
      <c r="X13" s="275">
        <f>SUM(F13,I13,L13,O13,R13,U13)</f>
        <v>1252521.6711216203</v>
      </c>
      <c r="Y13" s="140"/>
    </row>
    <row r="14" spans="1:31" s="22" customFormat="1" x14ac:dyDescent="0.35">
      <c r="A14" s="155">
        <v>2</v>
      </c>
      <c r="B14" s="479" t="s">
        <v>291</v>
      </c>
      <c r="C14" s="481"/>
      <c r="D14" s="156">
        <f>'As-Filed Schedule 1'!D13</f>
        <v>129</v>
      </c>
      <c r="E14" s="263">
        <f>SUMIFS(Adjustments!$G:$G,Adjustments!$H:$H,"1",Adjustments!$I:$I,$D$9,Adjustments!$J:$J,$A14)</f>
        <v>0</v>
      </c>
      <c r="F14" s="272">
        <f>SUM(D14:E14)</f>
        <v>129</v>
      </c>
      <c r="G14" s="157">
        <f>'As-Filed Schedule 1'!E13</f>
        <v>142862.00714314927</v>
      </c>
      <c r="H14" s="263">
        <f>SUMIFS(Adjustments!$G:$G,Adjustments!$H:$H,"1",Adjustments!$I:$I,$G$9,Adjustments!$J:$J,$A14)</f>
        <v>0</v>
      </c>
      <c r="I14" s="274">
        <f t="shared" ref="I14:I15" si="2">SUM(G14:H14)</f>
        <v>142862.00714314927</v>
      </c>
      <c r="J14" s="157">
        <f>'As-Filed Schedule 1'!F13</f>
        <v>10372518.064588582</v>
      </c>
      <c r="K14" s="263">
        <f>SUMIFS(Adjustments!$G:$G,Adjustments!$H:$H,"1",Adjustments!$I:$I,$J$9,Adjustments!$J:$J,$A14)</f>
        <v>0</v>
      </c>
      <c r="L14" s="274">
        <f t="shared" ref="L14:L15" si="3">SUM(J14:K14)</f>
        <v>10372518.064588582</v>
      </c>
      <c r="M14" s="157">
        <f>'As-Filed Schedule 1'!G13</f>
        <v>940574.00711593369</v>
      </c>
      <c r="N14" s="263">
        <f>SUMIFS(Adjustments!$G:$G,Adjustments!$H:$H,"1",Adjustments!$I:$I,$M$9,Adjustments!$J:$J,$A14)</f>
        <v>0</v>
      </c>
      <c r="O14" s="274">
        <f t="shared" si="0"/>
        <v>940574.00711593369</v>
      </c>
      <c r="P14" s="157">
        <f>'As-Filed Schedule 1'!H13</f>
        <v>25800.351698746534</v>
      </c>
      <c r="Q14" s="263">
        <f>SUMIFS(Adjustments!$G:$G,Adjustments!$H:$H,"1",Adjustments!$I:$I,$P$9,Adjustments!$J:$J,$A14)</f>
        <v>0</v>
      </c>
      <c r="R14" s="274">
        <f t="shared" ref="R14:R15" si="4">SUM(P14:Q14)</f>
        <v>25800.351698746534</v>
      </c>
      <c r="S14" s="157">
        <f>'As-Filed Schedule 1'!I13</f>
        <v>0</v>
      </c>
      <c r="T14" s="263">
        <f>SUMIFS(Adjustments!$G:$G,Adjustments!$H:$H,"1",Adjustments!$I:$I,$S$9,Adjustments!$J:$J,$A14)</f>
        <v>0</v>
      </c>
      <c r="U14" s="274">
        <f t="shared" si="1"/>
        <v>0</v>
      </c>
      <c r="V14" s="160">
        <f t="shared" ref="V14:V15" si="5">SUM(D14,G14,J14,M14,P14,S14)</f>
        <v>11481883.430546412</v>
      </c>
      <c r="W14" s="266">
        <f t="shared" ref="W14:W15" si="6">SUM(E14,H14,K14,N14,Q14,T14)</f>
        <v>0</v>
      </c>
      <c r="X14" s="275">
        <f t="shared" ref="X14:X15" si="7">SUM(F14,I14,L14,O14,R14,U14)</f>
        <v>11481883.430546412</v>
      </c>
      <c r="Y14" s="140"/>
    </row>
    <row r="15" spans="1:31" s="22" customFormat="1" x14ac:dyDescent="0.35">
      <c r="A15" s="155">
        <v>3</v>
      </c>
      <c r="B15" s="479" t="s">
        <v>301</v>
      </c>
      <c r="C15" s="481"/>
      <c r="D15" s="156">
        <f>'As-Filed Schedule 1'!D14</f>
        <v>207.62416666666661</v>
      </c>
      <c r="E15" s="263">
        <f>SUMIFS(Adjustments!$G:$G,Adjustments!$H:$H,"1",Adjustments!$I:$I,$D$9,Adjustments!$J:$J,$A15)</f>
        <v>0</v>
      </c>
      <c r="F15" s="272">
        <f>SUM(D15:E15)</f>
        <v>207.62416666666661</v>
      </c>
      <c r="G15" s="157">
        <f>'As-Filed Schedule 1'!E14</f>
        <v>0</v>
      </c>
      <c r="H15" s="263">
        <f>SUMIFS(Adjustments!$G:$G,Adjustments!$H:$H,"1",Adjustments!$I:$I,$G$9,Adjustments!$J:$J,$A15)</f>
        <v>0</v>
      </c>
      <c r="I15" s="274">
        <f t="shared" si="2"/>
        <v>0</v>
      </c>
      <c r="J15" s="157">
        <f>'As-Filed Schedule 1'!F14</f>
        <v>7568591.0528414752</v>
      </c>
      <c r="K15" s="263">
        <f>SUMIFS(Adjustments!$G:$G,Adjustments!$H:$H,"1",Adjustments!$I:$I,$J$9,Adjustments!$J:$J,$A15)</f>
        <v>0</v>
      </c>
      <c r="L15" s="274">
        <f t="shared" si="3"/>
        <v>7568591.0528414752</v>
      </c>
      <c r="M15" s="157">
        <f>'As-Filed Schedule 1'!G14</f>
        <v>971995.66099046753</v>
      </c>
      <c r="N15" s="263">
        <f>SUMIFS(Adjustments!$G:$G,Adjustments!$H:$H,"1",Adjustments!$I:$I,$M$9,Adjustments!$J:$J,$A15)</f>
        <v>0</v>
      </c>
      <c r="O15" s="274">
        <f t="shared" si="0"/>
        <v>971995.66099046753</v>
      </c>
      <c r="P15" s="157">
        <f>'As-Filed Schedule 1'!H14</f>
        <v>102845.8952354432</v>
      </c>
      <c r="Q15" s="263">
        <f>SUMIFS(Adjustments!$G:$G,Adjustments!$H:$H,"1",Adjustments!$I:$I,$P$9,Adjustments!$J:$J,$A15)</f>
        <v>0</v>
      </c>
      <c r="R15" s="274">
        <f t="shared" si="4"/>
        <v>102845.8952354432</v>
      </c>
      <c r="S15" s="157">
        <f>'As-Filed Schedule 1'!I14</f>
        <v>0</v>
      </c>
      <c r="T15" s="263">
        <f>SUMIFS(Adjustments!$G:$G,Adjustments!$H:$H,"1",Adjustments!$I:$I,$S$9,Adjustments!$J:$J,$A15)</f>
        <v>0</v>
      </c>
      <c r="U15" s="274">
        <f t="shared" si="1"/>
        <v>0</v>
      </c>
      <c r="V15" s="160">
        <f t="shared" si="5"/>
        <v>8643640.2332340535</v>
      </c>
      <c r="W15" s="266">
        <f t="shared" si="6"/>
        <v>0</v>
      </c>
      <c r="X15" s="275">
        <f t="shared" si="7"/>
        <v>8643640.2332340535</v>
      </c>
      <c r="Y15" s="140"/>
    </row>
    <row r="16" spans="1:31" s="22" customFormat="1" x14ac:dyDescent="0.35">
      <c r="A16" s="155">
        <v>4</v>
      </c>
      <c r="B16" s="485" t="s">
        <v>290</v>
      </c>
      <c r="C16" s="487"/>
      <c r="D16" s="159">
        <f>SUM(D13:D15)</f>
        <v>340.62416666666661</v>
      </c>
      <c r="E16" s="159">
        <f t="shared" ref="E16:F16" si="8">SUM(E13:E15)</f>
        <v>0</v>
      </c>
      <c r="F16" s="159">
        <f t="shared" si="8"/>
        <v>340.62416666666661</v>
      </c>
      <c r="G16" s="160">
        <f>SUM(G13:G15)</f>
        <v>142862.00714314927</v>
      </c>
      <c r="H16" s="160">
        <f t="shared" ref="H16:U16" si="9">SUM(H13:H15)</f>
        <v>0</v>
      </c>
      <c r="I16" s="160">
        <f t="shared" si="9"/>
        <v>142862.00714314927</v>
      </c>
      <c r="J16" s="160">
        <f t="shared" si="9"/>
        <v>19193626.788551677</v>
      </c>
      <c r="K16" s="160">
        <f t="shared" si="9"/>
        <v>0</v>
      </c>
      <c r="L16" s="160">
        <f t="shared" si="9"/>
        <v>19193626.788551677</v>
      </c>
      <c r="M16" s="160">
        <f t="shared" si="9"/>
        <v>1912569.6681064013</v>
      </c>
      <c r="N16" s="160">
        <f t="shared" si="9"/>
        <v>0</v>
      </c>
      <c r="O16" s="160">
        <f t="shared" si="9"/>
        <v>1912569.6681064013</v>
      </c>
      <c r="P16" s="160">
        <f t="shared" si="9"/>
        <v>128646.24693418972</v>
      </c>
      <c r="Q16" s="160">
        <f t="shared" si="9"/>
        <v>0</v>
      </c>
      <c r="R16" s="160">
        <f t="shared" si="9"/>
        <v>128646.24693418972</v>
      </c>
      <c r="S16" s="160">
        <f t="shared" si="9"/>
        <v>0</v>
      </c>
      <c r="T16" s="160">
        <f t="shared" si="9"/>
        <v>0</v>
      </c>
      <c r="U16" s="160">
        <f t="shared" si="9"/>
        <v>0</v>
      </c>
      <c r="V16" s="160">
        <f>SUM(D16,G16,J16,M16,P16,S16)</f>
        <v>21378045.334902085</v>
      </c>
      <c r="W16" s="266">
        <f>SUM(E16,H16,K16,N16,Q16,T16)</f>
        <v>0</v>
      </c>
      <c r="X16" s="275">
        <f>SUM(F16,I16,L16,O16,R16,U16)</f>
        <v>21378045.334902085</v>
      </c>
      <c r="Y16" s="140"/>
    </row>
    <row r="17" spans="1:25" s="22" customFormat="1" x14ac:dyDescent="0.35">
      <c r="A17" s="161"/>
      <c r="B17" s="162"/>
      <c r="C17" s="162"/>
      <c r="D17" s="163"/>
      <c r="E17" s="264"/>
      <c r="F17" s="273"/>
      <c r="G17" s="164"/>
      <c r="H17" s="267"/>
      <c r="I17" s="276"/>
      <c r="J17" s="164"/>
      <c r="K17" s="267"/>
      <c r="L17" s="276"/>
      <c r="M17" s="164"/>
      <c r="N17" s="267"/>
      <c r="O17" s="276"/>
      <c r="P17" s="164"/>
      <c r="Q17" s="267"/>
      <c r="R17" s="276"/>
      <c r="S17" s="164"/>
      <c r="T17" s="267"/>
      <c r="U17" s="276"/>
      <c r="V17" s="164"/>
      <c r="W17" s="267"/>
      <c r="X17" s="276"/>
      <c r="Y17" s="140"/>
    </row>
    <row r="18" spans="1:25" s="22" customFormat="1" x14ac:dyDescent="0.35">
      <c r="A18" s="488" t="s">
        <v>281</v>
      </c>
      <c r="B18" s="489"/>
      <c r="C18" s="489"/>
      <c r="D18" s="489"/>
      <c r="E18" s="489"/>
      <c r="F18" s="489"/>
      <c r="G18" s="489"/>
      <c r="H18" s="489"/>
      <c r="I18" s="489"/>
      <c r="J18" s="489"/>
      <c r="K18" s="489"/>
      <c r="L18" s="489"/>
      <c r="M18" s="489"/>
      <c r="N18" s="489"/>
      <c r="O18" s="489"/>
      <c r="P18" s="489"/>
      <c r="Q18" s="489"/>
      <c r="R18" s="489"/>
      <c r="S18" s="489"/>
      <c r="T18" s="489"/>
      <c r="U18" s="489"/>
      <c r="V18" s="489"/>
      <c r="W18" s="489"/>
      <c r="X18" s="490"/>
      <c r="Y18" s="140"/>
    </row>
    <row r="19" spans="1:25" s="22" customFormat="1" x14ac:dyDescent="0.35">
      <c r="A19" s="155">
        <v>5</v>
      </c>
      <c r="B19" s="479" t="s">
        <v>221</v>
      </c>
      <c r="C19" s="481"/>
      <c r="D19" s="156">
        <f>'As-Filed Schedule 1'!D18</f>
        <v>6</v>
      </c>
      <c r="E19" s="263">
        <f>SUMIFS(Adjustments!$G:$G,Adjustments!$H:$H,"1",Adjustments!$I:$I,$D$9,Adjustments!$J:$J,$A19)</f>
        <v>0</v>
      </c>
      <c r="F19" s="272">
        <f>SUM(D19:E19)</f>
        <v>6</v>
      </c>
      <c r="G19" s="157">
        <f>'As-Filed Schedule 1'!E18</f>
        <v>1379125.538542239</v>
      </c>
      <c r="H19" s="263">
        <f>SUMIFS(Adjustments!$G:$G,Adjustments!$H:$H,"1",Adjustments!$I:$I,$G$9,Adjustments!$J:$J,$A19)</f>
        <v>0</v>
      </c>
      <c r="I19" s="274">
        <f t="shared" ref="I19:I20" si="10">SUM(G19:H19)</f>
        <v>1379125.538542239</v>
      </c>
      <c r="J19" s="157">
        <f>'As-Filed Schedule 1'!F18</f>
        <v>254065.66526232229</v>
      </c>
      <c r="K19" s="263">
        <f>SUMIFS(Adjustments!$G:$G,Adjustments!$H:$H,"1",Adjustments!$I:$I,$J$9,Adjustments!$J:$J,$A19)</f>
        <v>0</v>
      </c>
      <c r="L19" s="274">
        <f t="shared" ref="L19:L20" si="11">SUM(J19:K19)</f>
        <v>254065.66526232229</v>
      </c>
      <c r="M19" s="157">
        <f>'As-Filed Schedule 1'!G18</f>
        <v>0</v>
      </c>
      <c r="N19" s="263">
        <f>SUMIFS(Adjustments!$G:$G,Adjustments!$H:$H,"1",Adjustments!$I:$I,$M$9,Adjustments!$J:$J,$A19)</f>
        <v>0</v>
      </c>
      <c r="O19" s="274">
        <f t="shared" ref="O19:O20" si="12">SUM(M19:N19)</f>
        <v>0</v>
      </c>
      <c r="P19" s="157">
        <f>'As-Filed Schedule 1'!H18</f>
        <v>0</v>
      </c>
      <c r="Q19" s="263">
        <f>SUMIFS(Adjustments!$G:$G,Adjustments!$H:$H,"1",Adjustments!$I:$I,$P$9,Adjustments!$J:$J,$A19)</f>
        <v>0</v>
      </c>
      <c r="R19" s="274">
        <f t="shared" ref="R19:R20" si="13">SUM(P19:Q19)</f>
        <v>0</v>
      </c>
      <c r="S19" s="157">
        <f>'As-Filed Schedule 1'!I18</f>
        <v>0</v>
      </c>
      <c r="T19" s="263">
        <f>SUMIFS(Adjustments!$G:$G,Adjustments!$H:$H,"1",Adjustments!$I:$I,$S$9,Adjustments!$J:$J,$A19)</f>
        <v>0</v>
      </c>
      <c r="U19" s="274">
        <f t="shared" ref="U19:U20" si="14">SUM(S19:T19)</f>
        <v>0</v>
      </c>
      <c r="V19" s="160">
        <f t="shared" ref="V19:V20" si="15">SUM(D19,G19,J19,M19,P19,S19)</f>
        <v>1633197.2038045614</v>
      </c>
      <c r="W19" s="266">
        <f t="shared" ref="W19:W20" si="16">SUM(E19,H19,K19,N19,Q19,T19)</f>
        <v>0</v>
      </c>
      <c r="X19" s="275">
        <f t="shared" ref="X19:X20" si="17">SUM(F19,I19,L19,O19,R19,U19)</f>
        <v>1633197.2038045614</v>
      </c>
      <c r="Y19" s="140"/>
    </row>
    <row r="20" spans="1:25" s="22" customFormat="1" x14ac:dyDescent="0.35">
      <c r="A20" s="155">
        <v>6</v>
      </c>
      <c r="B20" s="479" t="s">
        <v>293</v>
      </c>
      <c r="C20" s="481"/>
      <c r="D20" s="156">
        <f>'As-Filed Schedule 1'!D19</f>
        <v>65.322499999999991</v>
      </c>
      <c r="E20" s="263">
        <f>SUMIFS(Adjustments!$G:$G,Adjustments!$H:$H,"1",Adjustments!$I:$I,$D$9,Adjustments!$J:$J,$A20)</f>
        <v>0</v>
      </c>
      <c r="F20" s="272">
        <f>SUM(D20:E20)</f>
        <v>65.322499999999991</v>
      </c>
      <c r="G20" s="157">
        <f>'As-Filed Schedule 1'!E19</f>
        <v>3984691.4543146109</v>
      </c>
      <c r="H20" s="263">
        <f>SUMIFS(Adjustments!$G:$G,Adjustments!$H:$H,"1",Adjustments!$I:$I,$G$9,Adjustments!$J:$J,$A20)</f>
        <v>0</v>
      </c>
      <c r="I20" s="274">
        <f t="shared" si="10"/>
        <v>3984691.4543146109</v>
      </c>
      <c r="J20" s="157">
        <f>'As-Filed Schedule 1'!F19</f>
        <v>3673179.5461859996</v>
      </c>
      <c r="K20" s="263">
        <f>SUMIFS(Adjustments!$G:$G,Adjustments!$H:$H,"1",Adjustments!$I:$I,$J$9,Adjustments!$J:$J,$A20)</f>
        <v>0</v>
      </c>
      <c r="L20" s="274">
        <f t="shared" si="11"/>
        <v>3673179.5461859996</v>
      </c>
      <c r="M20" s="157">
        <f>'As-Filed Schedule 1'!G19</f>
        <v>37087.331893598843</v>
      </c>
      <c r="N20" s="263">
        <f>SUMIFS(Adjustments!$G:$G,Adjustments!$H:$H,"1",Adjustments!$I:$I,$M$9,Adjustments!$J:$J,$A20)</f>
        <v>0</v>
      </c>
      <c r="O20" s="274">
        <f t="shared" si="12"/>
        <v>37087.331893598843</v>
      </c>
      <c r="P20" s="157">
        <f>'As-Filed Schedule 1'!H19</f>
        <v>12280.753065810261</v>
      </c>
      <c r="Q20" s="263">
        <f>SUMIFS(Adjustments!$G:$G,Adjustments!$H:$H,"1",Adjustments!$I:$I,$P$9,Adjustments!$J:$J,$A20)</f>
        <v>0</v>
      </c>
      <c r="R20" s="274">
        <f t="shared" si="13"/>
        <v>12280.753065810261</v>
      </c>
      <c r="S20" s="157">
        <f>'As-Filed Schedule 1'!I19</f>
        <v>0</v>
      </c>
      <c r="T20" s="263">
        <f>SUMIFS(Adjustments!$G:$G,Adjustments!$H:$H,"1",Adjustments!$I:$I,$S$9,Adjustments!$J:$J,$A20)</f>
        <v>0</v>
      </c>
      <c r="U20" s="274">
        <f t="shared" si="14"/>
        <v>0</v>
      </c>
      <c r="V20" s="160">
        <f t="shared" si="15"/>
        <v>7707304.4079600191</v>
      </c>
      <c r="W20" s="266">
        <f t="shared" si="16"/>
        <v>0</v>
      </c>
      <c r="X20" s="275">
        <f t="shared" si="17"/>
        <v>7707304.4079600191</v>
      </c>
      <c r="Y20" s="140"/>
    </row>
    <row r="21" spans="1:25" s="22" customFormat="1" x14ac:dyDescent="0.35">
      <c r="A21" s="155">
        <v>7</v>
      </c>
      <c r="B21" s="485" t="s">
        <v>220</v>
      </c>
      <c r="C21" s="487"/>
      <c r="D21" s="159">
        <f>SUM(D19:D20)</f>
        <v>71.322499999999991</v>
      </c>
      <c r="E21" s="159">
        <f t="shared" ref="E21:F21" si="18">SUM(E19:E20)</f>
        <v>0</v>
      </c>
      <c r="F21" s="159">
        <f t="shared" si="18"/>
        <v>71.322499999999991</v>
      </c>
      <c r="G21" s="160">
        <f>SUM(G19:G20)</f>
        <v>5363816.9928568499</v>
      </c>
      <c r="H21" s="160">
        <f t="shared" ref="H21:U21" si="19">SUM(H19:H20)</f>
        <v>0</v>
      </c>
      <c r="I21" s="160">
        <f t="shared" si="19"/>
        <v>5363816.9928568499</v>
      </c>
      <c r="J21" s="160">
        <f t="shared" si="19"/>
        <v>3927245.2114483221</v>
      </c>
      <c r="K21" s="160">
        <f t="shared" si="19"/>
        <v>0</v>
      </c>
      <c r="L21" s="160">
        <f t="shared" si="19"/>
        <v>3927245.2114483221</v>
      </c>
      <c r="M21" s="160">
        <f t="shared" si="19"/>
        <v>37087.331893598843</v>
      </c>
      <c r="N21" s="160">
        <f t="shared" si="19"/>
        <v>0</v>
      </c>
      <c r="O21" s="160">
        <f t="shared" si="19"/>
        <v>37087.331893598843</v>
      </c>
      <c r="P21" s="160">
        <f t="shared" si="19"/>
        <v>12280.753065810261</v>
      </c>
      <c r="Q21" s="160">
        <f t="shared" si="19"/>
        <v>0</v>
      </c>
      <c r="R21" s="160">
        <f t="shared" si="19"/>
        <v>12280.753065810261</v>
      </c>
      <c r="S21" s="160">
        <f t="shared" si="19"/>
        <v>0</v>
      </c>
      <c r="T21" s="160">
        <f t="shared" si="19"/>
        <v>0</v>
      </c>
      <c r="U21" s="160">
        <f t="shared" si="19"/>
        <v>0</v>
      </c>
      <c r="V21" s="160">
        <f>SUM(D21,G21,J21,M21,P21,S21)</f>
        <v>9340501.61176458</v>
      </c>
      <c r="W21" s="266">
        <f>SUM(E21,H21,K21,N21,Q21,T21)</f>
        <v>0</v>
      </c>
      <c r="X21" s="275">
        <f>SUM(F21,I21,L21,O21,R21,U21)</f>
        <v>9340501.61176458</v>
      </c>
      <c r="Y21" s="140"/>
    </row>
    <row r="22" spans="1:25" s="22" customFormat="1" x14ac:dyDescent="0.35">
      <c r="A22" s="161"/>
      <c r="B22" s="162"/>
      <c r="C22" s="162"/>
      <c r="D22" s="163"/>
      <c r="E22" s="264"/>
      <c r="F22" s="273"/>
      <c r="G22" s="164"/>
      <c r="H22" s="267"/>
      <c r="I22" s="276"/>
      <c r="J22" s="164"/>
      <c r="K22" s="267"/>
      <c r="L22" s="276"/>
      <c r="M22" s="164"/>
      <c r="N22" s="267"/>
      <c r="O22" s="276"/>
      <c r="P22" s="164"/>
      <c r="Q22" s="267"/>
      <c r="R22" s="276"/>
      <c r="S22" s="164"/>
      <c r="T22" s="267"/>
      <c r="U22" s="276"/>
      <c r="V22" s="164"/>
      <c r="W22" s="267"/>
      <c r="X22" s="276"/>
      <c r="Y22" s="140"/>
    </row>
    <row r="23" spans="1:25" s="22" customFormat="1" x14ac:dyDescent="0.35">
      <c r="A23" s="488" t="s">
        <v>275</v>
      </c>
      <c r="B23" s="489"/>
      <c r="C23" s="489"/>
      <c r="D23" s="489"/>
      <c r="E23" s="489"/>
      <c r="F23" s="489"/>
      <c r="G23" s="489"/>
      <c r="H23" s="489"/>
      <c r="I23" s="489"/>
      <c r="J23" s="489"/>
      <c r="K23" s="489"/>
      <c r="L23" s="489"/>
      <c r="M23" s="489"/>
      <c r="N23" s="489"/>
      <c r="O23" s="489"/>
      <c r="P23" s="489"/>
      <c r="Q23" s="489"/>
      <c r="R23" s="489"/>
      <c r="S23" s="489"/>
      <c r="T23" s="489"/>
      <c r="U23" s="489"/>
      <c r="V23" s="489"/>
      <c r="W23" s="489"/>
      <c r="X23" s="490"/>
      <c r="Y23" s="140"/>
    </row>
    <row r="24" spans="1:25" s="22" customFormat="1" x14ac:dyDescent="0.35">
      <c r="A24" s="155">
        <v>8</v>
      </c>
      <c r="B24" s="479" t="s">
        <v>276</v>
      </c>
      <c r="C24" s="480"/>
      <c r="D24" s="480"/>
      <c r="E24" s="480"/>
      <c r="F24" s="481"/>
      <c r="G24" s="165">
        <f>'As-Filed Schedule 1A'!H27*-1</f>
        <v>0</v>
      </c>
      <c r="H24" s="160"/>
      <c r="I24" s="165">
        <f>'Schedule 1A Adjustments'!K27*-1</f>
        <v>0</v>
      </c>
      <c r="J24" s="165">
        <f>'As-Filed Schedule 1A'!H28*-1</f>
        <v>0</v>
      </c>
      <c r="K24" s="160"/>
      <c r="L24" s="165">
        <f>'Schedule 1A Adjustments'!K28*-1</f>
        <v>0</v>
      </c>
      <c r="M24" s="165">
        <f>-'As-Filed Schedule 1A'!H29</f>
        <v>0</v>
      </c>
      <c r="N24" s="160"/>
      <c r="O24" s="165">
        <f>'Schedule 1A Adjustments'!K29*-1</f>
        <v>0</v>
      </c>
      <c r="P24" s="165">
        <f>-'As-Filed Schedule 1A'!H30</f>
        <v>0</v>
      </c>
      <c r="Q24" s="160"/>
      <c r="R24" s="165">
        <f>'Schedule 1A Adjustments'!K30*-1</f>
        <v>0</v>
      </c>
      <c r="S24" s="165">
        <f>-SUM(G24,J24,M24,P24)</f>
        <v>0</v>
      </c>
      <c r="T24" s="160"/>
      <c r="U24" s="277">
        <f>-SUM(I24,L24,O24,R24)</f>
        <v>0</v>
      </c>
      <c r="V24" s="160">
        <f>SUM(G24,J24,M24,P24,S24)</f>
        <v>0</v>
      </c>
      <c r="W24" s="266"/>
      <c r="X24" s="275">
        <f>SUM(I24,L24,O24,R24,U24)</f>
        <v>0</v>
      </c>
      <c r="Y24" s="140"/>
    </row>
    <row r="25" spans="1:25" s="22" customFormat="1" x14ac:dyDescent="0.35">
      <c r="A25" s="155">
        <v>9</v>
      </c>
      <c r="B25" s="485" t="s">
        <v>222</v>
      </c>
      <c r="C25" s="486"/>
      <c r="D25" s="486"/>
      <c r="E25" s="486"/>
      <c r="F25" s="487"/>
      <c r="G25" s="160">
        <f>SUM(G24:G24)</f>
        <v>0</v>
      </c>
      <c r="H25" s="160">
        <f t="shared" ref="H25:I25" si="20">SUM(H24:H24)</f>
        <v>0</v>
      </c>
      <c r="I25" s="160">
        <f t="shared" si="20"/>
        <v>0</v>
      </c>
      <c r="J25" s="160">
        <f>SUM(J24:J24)</f>
        <v>0</v>
      </c>
      <c r="K25" s="160">
        <f t="shared" ref="K25:L25" si="21">SUM(K24:K24)</f>
        <v>0</v>
      </c>
      <c r="L25" s="160">
        <f t="shared" si="21"/>
        <v>0</v>
      </c>
      <c r="M25" s="160">
        <f>SUM(M24:M24)</f>
        <v>0</v>
      </c>
      <c r="N25" s="160">
        <f t="shared" ref="N25:O25" si="22">SUM(N24:N24)</f>
        <v>0</v>
      </c>
      <c r="O25" s="160">
        <f t="shared" si="22"/>
        <v>0</v>
      </c>
      <c r="P25" s="160">
        <f>SUM(P24:P24)</f>
        <v>0</v>
      </c>
      <c r="Q25" s="160">
        <f t="shared" ref="Q25:R25" si="23">SUM(Q24:Q24)</f>
        <v>0</v>
      </c>
      <c r="R25" s="160">
        <f t="shared" si="23"/>
        <v>0</v>
      </c>
      <c r="S25" s="160">
        <f>SUM(S24:S24)</f>
        <v>0</v>
      </c>
      <c r="T25" s="160">
        <f t="shared" ref="T25:U25" si="24">SUM(T24:T24)</f>
        <v>0</v>
      </c>
      <c r="U25" s="160">
        <f t="shared" si="24"/>
        <v>0</v>
      </c>
      <c r="V25" s="160">
        <f>SUM(G25,J25,M25,P25,S25)</f>
        <v>0</v>
      </c>
      <c r="W25" s="266">
        <f>SUM(,H25,K25,N25,Q25,T25)</f>
        <v>0</v>
      </c>
      <c r="X25" s="275">
        <f>SUM(I25,L25,O25,R25,U25)</f>
        <v>0</v>
      </c>
      <c r="Y25" s="140"/>
    </row>
    <row r="26" spans="1:25" s="22" customFormat="1" x14ac:dyDescent="0.35">
      <c r="A26" s="161"/>
      <c r="B26" s="162"/>
      <c r="C26" s="162"/>
      <c r="D26" s="163"/>
      <c r="E26" s="264"/>
      <c r="F26" s="273"/>
      <c r="G26" s="164"/>
      <c r="H26" s="267"/>
      <c r="I26" s="276"/>
      <c r="J26" s="164"/>
      <c r="K26" s="267"/>
      <c r="L26" s="276"/>
      <c r="M26" s="164"/>
      <c r="N26" s="267"/>
      <c r="O26" s="276"/>
      <c r="P26" s="164"/>
      <c r="Q26" s="267"/>
      <c r="R26" s="276"/>
      <c r="S26" s="164"/>
      <c r="T26" s="267"/>
      <c r="U26" s="276"/>
      <c r="V26" s="164"/>
      <c r="W26" s="267"/>
      <c r="X26" s="276"/>
      <c r="Y26" s="140"/>
    </row>
    <row r="27" spans="1:25" s="22" customFormat="1" x14ac:dyDescent="0.35">
      <c r="A27" s="488" t="s">
        <v>235</v>
      </c>
      <c r="B27" s="489"/>
      <c r="C27" s="489"/>
      <c r="D27" s="489"/>
      <c r="E27" s="489"/>
      <c r="F27" s="489"/>
      <c r="G27" s="489"/>
      <c r="H27" s="489"/>
      <c r="I27" s="489"/>
      <c r="J27" s="489"/>
      <c r="K27" s="489"/>
      <c r="L27" s="489"/>
      <c r="M27" s="489"/>
      <c r="N27" s="489"/>
      <c r="O27" s="489"/>
      <c r="P27" s="489"/>
      <c r="Q27" s="489"/>
      <c r="R27" s="489"/>
      <c r="S27" s="489"/>
      <c r="T27" s="489"/>
      <c r="U27" s="489"/>
      <c r="V27" s="489"/>
      <c r="W27" s="489"/>
      <c r="X27" s="490"/>
      <c r="Y27" s="140"/>
    </row>
    <row r="28" spans="1:25" s="22" customFormat="1" x14ac:dyDescent="0.35">
      <c r="A28" s="155">
        <v>10</v>
      </c>
      <c r="B28" s="479" t="s">
        <v>224</v>
      </c>
      <c r="C28" s="480"/>
      <c r="D28" s="480"/>
      <c r="E28" s="480"/>
      <c r="F28" s="481"/>
      <c r="G28" s="157">
        <f>'As-Filed Schedule 1'!E27</f>
        <v>108369</v>
      </c>
      <c r="H28" s="263">
        <f>SUMIFS(Adjustments!$G:$G,Adjustments!$H:$H,"1",Adjustments!$I:$I,$G$9,Adjustments!$J:$J,$A28)</f>
        <v>0</v>
      </c>
      <c r="I28" s="274">
        <f t="shared" ref="I28:I30" si="25">SUM(G28:H28)</f>
        <v>108369</v>
      </c>
      <c r="J28" s="157">
        <f>'As-Filed Schedule 1'!F27</f>
        <v>29467</v>
      </c>
      <c r="K28" s="263">
        <f>SUMIFS(Adjustments!$G:$G,Adjustments!$H:$H,"1",Adjustments!$I:$I,$J$9,Adjustments!$J:$J,$A28)</f>
        <v>0</v>
      </c>
      <c r="L28" s="274">
        <f t="shared" ref="L28:L30" si="26">SUM(J28:K28)</f>
        <v>29467</v>
      </c>
      <c r="M28" s="157">
        <f>'As-Filed Schedule 1'!G27</f>
        <v>315</v>
      </c>
      <c r="N28" s="263">
        <f>SUMIFS(Adjustments!$G:$G,Adjustments!$H:$H,"1",Adjustments!$I:$I,$M$9,Adjustments!$J:$J,$A28)</f>
        <v>0</v>
      </c>
      <c r="O28" s="274">
        <f t="shared" ref="O28:O30" si="27">SUM(M28:N28)</f>
        <v>315</v>
      </c>
      <c r="P28" s="157">
        <f>'As-Filed Schedule 1'!H27</f>
        <v>0</v>
      </c>
      <c r="Q28" s="263">
        <f>SUMIFS(Adjustments!$G:$G,Adjustments!$H:$H,"1",Adjustments!$I:$I,$P$9,Adjustments!$J:$J,$A28)</f>
        <v>0</v>
      </c>
      <c r="R28" s="274">
        <f t="shared" ref="R28:R30" si="28">SUM(P28:Q28)</f>
        <v>0</v>
      </c>
      <c r="S28" s="157">
        <f>'As-Filed Schedule 1'!I27</f>
        <v>0</v>
      </c>
      <c r="T28" s="263">
        <f>SUMIFS(Adjustments!$G:$G,Adjustments!$H:$H,"1",Adjustments!$I:$I,$S$9,Adjustments!$J:$J,$A28)</f>
        <v>0</v>
      </c>
      <c r="U28" s="274">
        <f t="shared" ref="U28:U30" si="29">SUM(S28:T28)</f>
        <v>0</v>
      </c>
      <c r="V28" s="160">
        <f t="shared" ref="V28:V30" si="30">SUM(G28,J28,M28,P28,S28)</f>
        <v>138151</v>
      </c>
      <c r="W28" s="266">
        <f t="shared" ref="W28:W30" si="31">SUM(,H28,K28,N28,Q28,T28)</f>
        <v>0</v>
      </c>
      <c r="X28" s="275">
        <f t="shared" ref="X28:X30" si="32">SUM(I28,L28,O28,R28,U28)</f>
        <v>138151</v>
      </c>
      <c r="Y28" s="140"/>
    </row>
    <row r="29" spans="1:25" s="22" customFormat="1" x14ac:dyDescent="0.35">
      <c r="A29" s="166">
        <v>11</v>
      </c>
      <c r="B29" s="479" t="s">
        <v>223</v>
      </c>
      <c r="C29" s="480"/>
      <c r="D29" s="480"/>
      <c r="E29" s="480"/>
      <c r="F29" s="481"/>
      <c r="G29" s="157">
        <f>'As-Filed Schedule 1'!E28</f>
        <v>1584874</v>
      </c>
      <c r="H29" s="263">
        <f>SUMIFS(Adjustments!$G:$G,Adjustments!$H:$H,"1",Adjustments!$I:$I,$G$9,Adjustments!$J:$J,$A29)</f>
        <v>0</v>
      </c>
      <c r="I29" s="274">
        <f t="shared" si="25"/>
        <v>1584874</v>
      </c>
      <c r="J29" s="157">
        <f>'As-Filed Schedule 1'!F28</f>
        <v>6006423</v>
      </c>
      <c r="K29" s="263">
        <f>SUMIFS(Adjustments!$G:$G,Adjustments!$H:$H,"1",Adjustments!$I:$I,$J$9,Adjustments!$J:$J,$A29)</f>
        <v>0</v>
      </c>
      <c r="L29" s="274">
        <f t="shared" si="26"/>
        <v>6006423</v>
      </c>
      <c r="M29" s="157">
        <f>'As-Filed Schedule 1'!G28</f>
        <v>467047</v>
      </c>
      <c r="N29" s="263">
        <f>SUMIFS(Adjustments!$G:$G,Adjustments!$H:$H,"1",Adjustments!$I:$I,$M$9,Adjustments!$J:$J,$A29)</f>
        <v>0</v>
      </c>
      <c r="O29" s="274">
        <f t="shared" si="27"/>
        <v>467047</v>
      </c>
      <c r="P29" s="157">
        <f>'As-Filed Schedule 1'!H28</f>
        <v>30917</v>
      </c>
      <c r="Q29" s="263">
        <f>SUMIFS(Adjustments!$G:$G,Adjustments!$H:$H,"1",Adjustments!$I:$I,$P$9,Adjustments!$J:$J,$A29)</f>
        <v>0</v>
      </c>
      <c r="R29" s="274">
        <f t="shared" si="28"/>
        <v>30917</v>
      </c>
      <c r="S29" s="157">
        <f>'As-Filed Schedule 1'!I28</f>
        <v>0</v>
      </c>
      <c r="T29" s="263">
        <f>SUMIFS(Adjustments!$G:$G,Adjustments!$H:$H,"1",Adjustments!$I:$I,$S$9,Adjustments!$J:$J,$A29)</f>
        <v>0</v>
      </c>
      <c r="U29" s="274">
        <f t="shared" si="29"/>
        <v>0</v>
      </c>
      <c r="V29" s="160">
        <f t="shared" si="30"/>
        <v>8089261</v>
      </c>
      <c r="W29" s="266">
        <f t="shared" si="31"/>
        <v>0</v>
      </c>
      <c r="X29" s="275">
        <f t="shared" si="32"/>
        <v>8089261</v>
      </c>
      <c r="Y29" s="140"/>
    </row>
    <row r="30" spans="1:25" s="22" customFormat="1" x14ac:dyDescent="0.35">
      <c r="A30" s="155">
        <v>12</v>
      </c>
      <c r="B30" s="479" t="s">
        <v>300</v>
      </c>
      <c r="C30" s="480"/>
      <c r="D30" s="480"/>
      <c r="E30" s="480"/>
      <c r="F30" s="481"/>
      <c r="G30" s="157">
        <f>'As-Filed Schedule 1'!E29</f>
        <v>206198</v>
      </c>
      <c r="H30" s="263">
        <f>SUMIFS(Adjustments!$G:$G,Adjustments!$H:$H,"1",Adjustments!$I:$I,$G$9,Adjustments!$J:$J,$A30)</f>
        <v>0</v>
      </c>
      <c r="I30" s="274">
        <f t="shared" si="25"/>
        <v>206198</v>
      </c>
      <c r="J30" s="157">
        <f>'As-Filed Schedule 1'!F29</f>
        <v>114168</v>
      </c>
      <c r="K30" s="263">
        <f>SUMIFS(Adjustments!$G:$G,Adjustments!$H:$H,"1",Adjustments!$I:$I,$J$9,Adjustments!$J:$J,$A30)</f>
        <v>0</v>
      </c>
      <c r="L30" s="274">
        <f t="shared" si="26"/>
        <v>114168</v>
      </c>
      <c r="M30" s="157">
        <f>'As-Filed Schedule 1'!G29</f>
        <v>4582</v>
      </c>
      <c r="N30" s="263">
        <f>SUMIFS(Adjustments!$G:$G,Adjustments!$H:$H,"1",Adjustments!$I:$I,$M$9,Adjustments!$J:$J,$A30)</f>
        <v>0</v>
      </c>
      <c r="O30" s="274">
        <f t="shared" si="27"/>
        <v>4582</v>
      </c>
      <c r="P30" s="157">
        <f>'As-Filed Schedule 1'!H29</f>
        <v>0</v>
      </c>
      <c r="Q30" s="263">
        <f>SUMIFS(Adjustments!$G:$G,Adjustments!$H:$H,"1",Adjustments!$I:$I,$P$9,Adjustments!$J:$J,$A30)</f>
        <v>0</v>
      </c>
      <c r="R30" s="274">
        <f t="shared" si="28"/>
        <v>0</v>
      </c>
      <c r="S30" s="157">
        <f>'As-Filed Schedule 1'!I29</f>
        <v>0</v>
      </c>
      <c r="T30" s="263">
        <f>SUMIFS(Adjustments!$G:$G,Adjustments!$H:$H,"1",Adjustments!$I:$I,$S$9,Adjustments!$J:$J,$A30)</f>
        <v>0</v>
      </c>
      <c r="U30" s="274">
        <f t="shared" si="29"/>
        <v>0</v>
      </c>
      <c r="V30" s="160">
        <f t="shared" si="30"/>
        <v>324948</v>
      </c>
      <c r="W30" s="266">
        <f t="shared" si="31"/>
        <v>0</v>
      </c>
      <c r="X30" s="275">
        <f t="shared" si="32"/>
        <v>324948</v>
      </c>
      <c r="Y30" s="140"/>
    </row>
    <row r="31" spans="1:25" s="22" customFormat="1" x14ac:dyDescent="0.35">
      <c r="A31" s="155">
        <v>13</v>
      </c>
      <c r="B31" s="485" t="s">
        <v>225</v>
      </c>
      <c r="C31" s="486"/>
      <c r="D31" s="486"/>
      <c r="E31" s="486"/>
      <c r="F31" s="487"/>
      <c r="G31" s="160">
        <f>SUM(G28:G30)</f>
        <v>1899441</v>
      </c>
      <c r="H31" s="160">
        <f t="shared" ref="H31:I31" si="33">SUM(H28:H30)</f>
        <v>0</v>
      </c>
      <c r="I31" s="160">
        <f t="shared" si="33"/>
        <v>1899441</v>
      </c>
      <c r="J31" s="160">
        <f>SUM(J28:J30)</f>
        <v>6150058</v>
      </c>
      <c r="K31" s="160">
        <f t="shared" ref="K31:L31" si="34">SUM(K28:K30)</f>
        <v>0</v>
      </c>
      <c r="L31" s="160">
        <f t="shared" si="34"/>
        <v>6150058</v>
      </c>
      <c r="M31" s="160">
        <f>SUM(M28:M30)</f>
        <v>471944</v>
      </c>
      <c r="N31" s="160">
        <f t="shared" ref="N31:T31" si="35">SUM(N28:N30)</f>
        <v>0</v>
      </c>
      <c r="O31" s="160">
        <f t="shared" si="35"/>
        <v>471944</v>
      </c>
      <c r="P31" s="160">
        <f t="shared" si="35"/>
        <v>30917</v>
      </c>
      <c r="Q31" s="160">
        <f t="shared" si="35"/>
        <v>0</v>
      </c>
      <c r="R31" s="160">
        <f t="shared" si="35"/>
        <v>30917</v>
      </c>
      <c r="S31" s="160">
        <f t="shared" si="35"/>
        <v>0</v>
      </c>
      <c r="T31" s="160">
        <f t="shared" si="35"/>
        <v>0</v>
      </c>
      <c r="U31" s="160">
        <f>SUM(U28:U30)</f>
        <v>0</v>
      </c>
      <c r="V31" s="160">
        <f>SUM(G31,J31,M31,P31,S31)</f>
        <v>8552360</v>
      </c>
      <c r="W31" s="266">
        <f>SUM(,H31,K31,N31,Q31,T31)</f>
        <v>0</v>
      </c>
      <c r="X31" s="275">
        <f>SUM(I31,L31,O31,R31,U31)</f>
        <v>8552360</v>
      </c>
      <c r="Y31" s="140"/>
    </row>
    <row r="32" spans="1:25" s="22" customFormat="1" x14ac:dyDescent="0.35">
      <c r="A32" s="161"/>
      <c r="B32" s="162"/>
      <c r="C32" s="162"/>
      <c r="D32" s="163"/>
      <c r="E32" s="264"/>
      <c r="F32" s="273"/>
      <c r="G32" s="164"/>
      <c r="H32" s="267"/>
      <c r="I32" s="276"/>
      <c r="J32" s="164"/>
      <c r="K32" s="267"/>
      <c r="L32" s="276"/>
      <c r="M32" s="164"/>
      <c r="N32" s="267"/>
      <c r="O32" s="276"/>
      <c r="P32" s="164"/>
      <c r="Q32" s="267"/>
      <c r="R32" s="276"/>
      <c r="S32" s="164"/>
      <c r="T32" s="267"/>
      <c r="U32" s="276"/>
      <c r="V32" s="164"/>
      <c r="W32" s="267"/>
      <c r="X32" s="276"/>
      <c r="Y32" s="140"/>
    </row>
    <row r="33" spans="1:25" s="22" customFormat="1" x14ac:dyDescent="0.35">
      <c r="A33" s="155">
        <v>14</v>
      </c>
      <c r="B33" s="485" t="s">
        <v>228</v>
      </c>
      <c r="C33" s="486"/>
      <c r="D33" s="486"/>
      <c r="E33" s="486"/>
      <c r="F33" s="487"/>
      <c r="G33" s="160">
        <f>G31+G25+G21+G16</f>
        <v>7406119.9999999991</v>
      </c>
      <c r="H33" s="160">
        <f t="shared" ref="H33:I33" si="36">H31+H25+H21+H16</f>
        <v>0</v>
      </c>
      <c r="I33" s="160">
        <f t="shared" si="36"/>
        <v>7406119.9999999991</v>
      </c>
      <c r="J33" s="160">
        <f>J31+J25+J21+J16</f>
        <v>29270930</v>
      </c>
      <c r="K33" s="160">
        <f>K31+K25+K21+K16</f>
        <v>0</v>
      </c>
      <c r="L33" s="160">
        <f t="shared" ref="L33" si="37">L31+L25+L21+L16</f>
        <v>29270930</v>
      </c>
      <c r="M33" s="160">
        <f>M31+M25+M21+M16</f>
        <v>2421601</v>
      </c>
      <c r="N33" s="160">
        <f t="shared" ref="N33:O33" si="38">N31+N25+N21+N16</f>
        <v>0</v>
      </c>
      <c r="O33" s="160">
        <f t="shared" si="38"/>
        <v>2421601</v>
      </c>
      <c r="P33" s="160">
        <f>P31+P25+P21+P16</f>
        <v>171844</v>
      </c>
      <c r="Q33" s="160">
        <f t="shared" ref="Q33:R33" si="39">Q31+Q25+Q21+Q16</f>
        <v>0</v>
      </c>
      <c r="R33" s="160">
        <f t="shared" si="39"/>
        <v>171844</v>
      </c>
      <c r="S33" s="160">
        <f>S31+S25+S21+S16</f>
        <v>0</v>
      </c>
      <c r="T33" s="160">
        <f>T31+T25+T21+T16</f>
        <v>0</v>
      </c>
      <c r="U33" s="160">
        <f t="shared" ref="U33" si="40">U31+U25+U21+U16</f>
        <v>0</v>
      </c>
      <c r="V33" s="160">
        <f>SUM(G33,J33,M33,P33,S33)</f>
        <v>39270495</v>
      </c>
      <c r="W33" s="266">
        <f>SUM(,H33,K33,N33,Q33,T33)</f>
        <v>0</v>
      </c>
      <c r="X33" s="275">
        <f>SUM(I33,L33,O33,R33,U33)</f>
        <v>39270495</v>
      </c>
      <c r="Y33" s="140"/>
    </row>
    <row r="34" spans="1:25" s="22" customFormat="1" x14ac:dyDescent="0.35">
      <c r="A34" s="161"/>
      <c r="B34" s="162"/>
      <c r="C34" s="162"/>
      <c r="D34" s="163"/>
      <c r="E34" s="264"/>
      <c r="F34" s="273"/>
      <c r="G34" s="164"/>
      <c r="H34" s="267"/>
      <c r="I34" s="276"/>
      <c r="J34" s="164"/>
      <c r="K34" s="267"/>
      <c r="L34" s="276"/>
      <c r="M34" s="164"/>
      <c r="N34" s="267"/>
      <c r="O34" s="276"/>
      <c r="P34" s="164"/>
      <c r="Q34" s="267"/>
      <c r="R34" s="276"/>
      <c r="S34" s="164"/>
      <c r="T34" s="267"/>
      <c r="U34" s="276"/>
      <c r="V34" s="164"/>
      <c r="W34" s="267"/>
      <c r="X34" s="276"/>
      <c r="Y34" s="140"/>
    </row>
    <row r="35" spans="1:25" s="22" customFormat="1" x14ac:dyDescent="0.35">
      <c r="A35" s="488" t="s">
        <v>234</v>
      </c>
      <c r="B35" s="489"/>
      <c r="C35" s="489"/>
      <c r="D35" s="489"/>
      <c r="E35" s="489"/>
      <c r="F35" s="489"/>
      <c r="G35" s="489"/>
      <c r="H35" s="489"/>
      <c r="I35" s="489"/>
      <c r="J35" s="489"/>
      <c r="K35" s="489"/>
      <c r="L35" s="489"/>
      <c r="M35" s="489"/>
      <c r="N35" s="489"/>
      <c r="O35" s="489"/>
      <c r="P35" s="489"/>
      <c r="Q35" s="489"/>
      <c r="R35" s="489"/>
      <c r="S35" s="489"/>
      <c r="T35" s="489"/>
      <c r="U35" s="489"/>
      <c r="V35" s="489"/>
      <c r="W35" s="489"/>
      <c r="X35" s="490"/>
      <c r="Y35" s="140"/>
    </row>
    <row r="36" spans="1:25" s="22" customFormat="1" x14ac:dyDescent="0.35">
      <c r="A36" s="155">
        <v>15</v>
      </c>
      <c r="B36" s="479" t="s">
        <v>292</v>
      </c>
      <c r="C36" s="480"/>
      <c r="D36" s="480"/>
      <c r="E36" s="480"/>
      <c r="F36" s="481"/>
      <c r="G36" s="157">
        <f>'As-Filed Schedule 1'!E35</f>
        <v>0</v>
      </c>
      <c r="H36" s="263">
        <f>SUMIFS(Adjustments!$G:$G,Adjustments!$H:$H,"1",Adjustments!$I:$I,$G$9,Adjustments!$J:$J,$A36)</f>
        <v>0</v>
      </c>
      <c r="I36" s="274">
        <f t="shared" ref="I36:I38" si="41">SUM(G36:H36)</f>
        <v>0</v>
      </c>
      <c r="J36" s="157">
        <f>'As-Filed Schedule 1'!F35</f>
        <v>83095</v>
      </c>
      <c r="K36" s="263">
        <f>SUMIFS(Adjustments!$G:$G,Adjustments!$H:$H,"1",Adjustments!$I:$I,$J$9,Adjustments!$J:$J,$A36)</f>
        <v>0</v>
      </c>
      <c r="L36" s="274">
        <f t="shared" ref="L36:L38" si="42">SUM(J36:K36)</f>
        <v>83095</v>
      </c>
      <c r="M36" s="157">
        <f>'As-Filed Schedule 1'!G35</f>
        <v>5941</v>
      </c>
      <c r="N36" s="263">
        <f>SUMIFS(Adjustments!$G:$G,Adjustments!$H:$H,"1",Adjustments!$I:$I,$M$9,Adjustments!$J:$J,$A36)</f>
        <v>0</v>
      </c>
      <c r="O36" s="274">
        <f t="shared" ref="O36:O38" si="43">SUM(M36:N36)</f>
        <v>5941</v>
      </c>
      <c r="P36" s="157">
        <f>'As-Filed Schedule 1'!H35</f>
        <v>0</v>
      </c>
      <c r="Q36" s="263">
        <f>SUMIFS(Adjustments!$G:$G,Adjustments!$H:$H,"1",Adjustments!$I:$I,$P$9,Adjustments!$J:$J,$A36)</f>
        <v>0</v>
      </c>
      <c r="R36" s="274">
        <f t="shared" ref="R36:R38" si="44">SUM(P36:Q36)</f>
        <v>0</v>
      </c>
      <c r="S36" s="157">
        <f>'As-Filed Schedule 1'!I35</f>
        <v>0</v>
      </c>
      <c r="T36" s="263">
        <f>SUMIFS(Adjustments!$G:$G,Adjustments!$H:$H,"1",Adjustments!$I:$I,$S$9,Adjustments!$J:$J,$A36)</f>
        <v>0</v>
      </c>
      <c r="U36" s="274">
        <f>SUM(S36:T36)</f>
        <v>0</v>
      </c>
      <c r="V36" s="160">
        <f t="shared" ref="V36:V39" si="45">SUM(G36,J36,M36,P36,S36)</f>
        <v>89036</v>
      </c>
      <c r="W36" s="266">
        <f t="shared" ref="W36:W39" si="46">SUM(,H36,K36,N36,Q36,T36)</f>
        <v>0</v>
      </c>
      <c r="X36" s="275">
        <f t="shared" ref="X36:X39" si="47">SUM(I36,L36,O36,R36,U36)</f>
        <v>89036</v>
      </c>
      <c r="Y36" s="140"/>
    </row>
    <row r="37" spans="1:25" s="22" customFormat="1" x14ac:dyDescent="0.35">
      <c r="A37" s="155">
        <v>16</v>
      </c>
      <c r="B37" s="479" t="s">
        <v>227</v>
      </c>
      <c r="C37" s="480"/>
      <c r="D37" s="480"/>
      <c r="E37" s="480"/>
      <c r="F37" s="481"/>
      <c r="G37" s="157">
        <f>'As-Filed Schedule 1'!E36</f>
        <v>182899</v>
      </c>
      <c r="H37" s="263">
        <f>SUMIFS(Adjustments!$G:$G,Adjustments!$H:$H,"1",Adjustments!$I:$I,$G$9,Adjustments!$J:$J,$A37)</f>
        <v>0</v>
      </c>
      <c r="I37" s="274">
        <f t="shared" si="41"/>
        <v>182899</v>
      </c>
      <c r="J37" s="157">
        <f>'As-Filed Schedule 1'!F36</f>
        <v>30197</v>
      </c>
      <c r="K37" s="263">
        <f>SUMIFS(Adjustments!$G:$G,Adjustments!$H:$H,"1",Adjustments!$I:$I,$J$9,Adjustments!$J:$J,$A37)</f>
        <v>0</v>
      </c>
      <c r="L37" s="274">
        <f t="shared" si="42"/>
        <v>30197</v>
      </c>
      <c r="M37" s="157">
        <f>'As-Filed Schedule 1'!G36</f>
        <v>11215</v>
      </c>
      <c r="N37" s="263">
        <f>SUMIFS(Adjustments!$G:$G,Adjustments!$H:$H,"1",Adjustments!$I:$I,$M$9,Adjustments!$J:$J,$A37)</f>
        <v>0</v>
      </c>
      <c r="O37" s="274">
        <f t="shared" si="43"/>
        <v>11215</v>
      </c>
      <c r="P37" s="157">
        <f>'As-Filed Schedule 1'!H36</f>
        <v>0</v>
      </c>
      <c r="Q37" s="263">
        <f>SUMIFS(Adjustments!$G:$G,Adjustments!$H:$H,"1",Adjustments!$I:$I,$P$9,Adjustments!$J:$J,$A37)</f>
        <v>0</v>
      </c>
      <c r="R37" s="274">
        <f t="shared" si="44"/>
        <v>0</v>
      </c>
      <c r="S37" s="157">
        <f>'As-Filed Schedule 1'!I36</f>
        <v>0</v>
      </c>
      <c r="T37" s="263">
        <f>SUMIFS(Adjustments!$G:$G,Adjustments!$H:$H,"1",Adjustments!$I:$I,$S$9,Adjustments!$J:$J,$A37)</f>
        <v>0</v>
      </c>
      <c r="U37" s="274">
        <f t="shared" ref="U37:U38" si="48">SUM(S37:T37)</f>
        <v>0</v>
      </c>
      <c r="V37" s="160">
        <f t="shared" si="45"/>
        <v>224311</v>
      </c>
      <c r="W37" s="266">
        <f t="shared" si="46"/>
        <v>0</v>
      </c>
      <c r="X37" s="275">
        <f t="shared" si="47"/>
        <v>224311</v>
      </c>
    </row>
    <row r="38" spans="1:25" s="22" customFormat="1" x14ac:dyDescent="0.35">
      <c r="A38" s="166">
        <v>17</v>
      </c>
      <c r="B38" s="479" t="s">
        <v>459</v>
      </c>
      <c r="C38" s="480"/>
      <c r="D38" s="480"/>
      <c r="E38" s="480"/>
      <c r="F38" s="481"/>
      <c r="G38" s="157">
        <f>'As-Filed Schedule 1'!E37</f>
        <v>0</v>
      </c>
      <c r="H38" s="263">
        <f>SUMIFS(Adjustments!$G:$G,Adjustments!$H:$H,"1",Adjustments!$I:$I,$G$9,Adjustments!$J:$J,$A38)</f>
        <v>0</v>
      </c>
      <c r="I38" s="274">
        <f t="shared" si="41"/>
        <v>0</v>
      </c>
      <c r="J38" s="157">
        <f>'As-Filed Schedule 1'!F37</f>
        <v>0</v>
      </c>
      <c r="K38" s="263">
        <f>SUMIFS(Adjustments!$G:$G,Adjustments!$H:$H,"1",Adjustments!$I:$I,$J$9,Adjustments!$J:$J,$A38)</f>
        <v>0</v>
      </c>
      <c r="L38" s="274">
        <f t="shared" si="42"/>
        <v>0</v>
      </c>
      <c r="M38" s="157">
        <f>'As-Filed Schedule 1'!G37</f>
        <v>0</v>
      </c>
      <c r="N38" s="263">
        <f>SUMIFS(Adjustments!$G:$G,Adjustments!$H:$H,"1",Adjustments!$I:$I,$M$9,Adjustments!$J:$J,$A38)</f>
        <v>0</v>
      </c>
      <c r="O38" s="274">
        <f t="shared" si="43"/>
        <v>0</v>
      </c>
      <c r="P38" s="157">
        <f>'As-Filed Schedule 1'!H37</f>
        <v>0</v>
      </c>
      <c r="Q38" s="263">
        <f>SUMIFS(Adjustments!$G:$G,Adjustments!$H:$H,"1",Adjustments!$I:$I,$P$9,Adjustments!$J:$J,$A38)</f>
        <v>0</v>
      </c>
      <c r="R38" s="274">
        <f t="shared" si="44"/>
        <v>0</v>
      </c>
      <c r="S38" s="157">
        <f>'As-Filed Schedule 1'!I37</f>
        <v>0</v>
      </c>
      <c r="T38" s="263">
        <f>SUMIFS(Adjustments!$G:$G,Adjustments!$H:$H,"1",Adjustments!$I:$I,$S$9,Adjustments!$J:$J,$A38)</f>
        <v>0</v>
      </c>
      <c r="U38" s="274">
        <f t="shared" si="48"/>
        <v>0</v>
      </c>
      <c r="V38" s="160">
        <f t="shared" si="45"/>
        <v>0</v>
      </c>
      <c r="W38" s="266">
        <f t="shared" si="46"/>
        <v>0</v>
      </c>
      <c r="X38" s="275">
        <f t="shared" si="47"/>
        <v>0</v>
      </c>
    </row>
    <row r="39" spans="1:25" s="22" customFormat="1" x14ac:dyDescent="0.35">
      <c r="A39" s="155">
        <v>18</v>
      </c>
      <c r="B39" s="485" t="s">
        <v>226</v>
      </c>
      <c r="C39" s="486"/>
      <c r="D39" s="486"/>
      <c r="E39" s="486"/>
      <c r="F39" s="487"/>
      <c r="G39" s="160">
        <f>SUM(G36:G38)</f>
        <v>182899</v>
      </c>
      <c r="H39" s="160">
        <f t="shared" ref="H39:I39" si="49">SUM(H36:H38)</f>
        <v>0</v>
      </c>
      <c r="I39" s="160">
        <f t="shared" si="49"/>
        <v>182899</v>
      </c>
      <c r="J39" s="160">
        <f>SUM(J36:J38)</f>
        <v>113292</v>
      </c>
      <c r="K39" s="160">
        <f t="shared" ref="K39:L39" si="50">SUM(K36:K38)</f>
        <v>0</v>
      </c>
      <c r="L39" s="160">
        <f t="shared" si="50"/>
        <v>113292</v>
      </c>
      <c r="M39" s="160">
        <f t="shared" ref="M39:U39" si="51">SUM(M36:M38)</f>
        <v>17156</v>
      </c>
      <c r="N39" s="160">
        <f t="shared" si="51"/>
        <v>0</v>
      </c>
      <c r="O39" s="160">
        <f t="shared" si="51"/>
        <v>17156</v>
      </c>
      <c r="P39" s="160">
        <f t="shared" si="51"/>
        <v>0</v>
      </c>
      <c r="Q39" s="160">
        <f t="shared" si="51"/>
        <v>0</v>
      </c>
      <c r="R39" s="160">
        <f t="shared" si="51"/>
        <v>0</v>
      </c>
      <c r="S39" s="160">
        <f t="shared" si="51"/>
        <v>0</v>
      </c>
      <c r="T39" s="160">
        <f t="shared" si="51"/>
        <v>0</v>
      </c>
      <c r="U39" s="160">
        <f t="shared" si="51"/>
        <v>0</v>
      </c>
      <c r="V39" s="160">
        <f t="shared" si="45"/>
        <v>313347</v>
      </c>
      <c r="W39" s="266">
        <f t="shared" si="46"/>
        <v>0</v>
      </c>
      <c r="X39" s="275">
        <f t="shared" si="47"/>
        <v>313347</v>
      </c>
      <c r="Y39" s="140"/>
    </row>
    <row r="40" spans="1:25" s="22" customFormat="1" x14ac:dyDescent="0.35">
      <c r="A40" s="161"/>
      <c r="B40" s="162"/>
      <c r="C40" s="162"/>
      <c r="D40" s="163"/>
      <c r="E40" s="264"/>
      <c r="F40" s="273"/>
      <c r="G40" s="164"/>
      <c r="H40" s="267"/>
      <c r="I40" s="276"/>
      <c r="J40" s="164"/>
      <c r="K40" s="267"/>
      <c r="L40" s="276"/>
      <c r="M40" s="164"/>
      <c r="N40" s="267"/>
      <c r="O40" s="276"/>
      <c r="P40" s="164"/>
      <c r="Q40" s="267"/>
      <c r="R40" s="276"/>
      <c r="S40" s="164"/>
      <c r="T40" s="267"/>
      <c r="U40" s="276"/>
      <c r="V40" s="164"/>
      <c r="W40" s="267"/>
      <c r="X40" s="276"/>
      <c r="Y40" s="140"/>
    </row>
    <row r="41" spans="1:25" s="22" customFormat="1" x14ac:dyDescent="0.35">
      <c r="A41" s="155">
        <v>19</v>
      </c>
      <c r="B41" s="485" t="s">
        <v>229</v>
      </c>
      <c r="C41" s="486"/>
      <c r="D41" s="486"/>
      <c r="E41" s="486"/>
      <c r="F41" s="487"/>
      <c r="G41" s="160">
        <f>G39+G33</f>
        <v>7589018.9999999991</v>
      </c>
      <c r="H41" s="160">
        <f>H39+H33</f>
        <v>0</v>
      </c>
      <c r="I41" s="160">
        <f>I39+I33</f>
        <v>7589018.9999999991</v>
      </c>
      <c r="J41" s="160">
        <f>J39+J33</f>
        <v>29384222</v>
      </c>
      <c r="K41" s="160">
        <f t="shared" ref="K41:L41" si="52">K39+K33</f>
        <v>0</v>
      </c>
      <c r="L41" s="160">
        <f t="shared" si="52"/>
        <v>29384222</v>
      </c>
      <c r="M41" s="160">
        <f>M39+M33</f>
        <v>2438757</v>
      </c>
      <c r="N41" s="160">
        <f t="shared" ref="N41" si="53">N39+N33</f>
        <v>0</v>
      </c>
      <c r="O41" s="160">
        <f>O39+O33</f>
        <v>2438757</v>
      </c>
      <c r="P41" s="160">
        <f>P39+P33</f>
        <v>171844</v>
      </c>
      <c r="Q41" s="160">
        <f t="shared" ref="Q41" si="54">Q39+Q33</f>
        <v>0</v>
      </c>
      <c r="R41" s="160">
        <f>R39+R33</f>
        <v>171844</v>
      </c>
      <c r="S41" s="160">
        <f>S39+S33</f>
        <v>0</v>
      </c>
      <c r="T41" s="160">
        <f t="shared" ref="T41:U41" si="55">T39+T33</f>
        <v>0</v>
      </c>
      <c r="U41" s="160">
        <f t="shared" si="55"/>
        <v>0</v>
      </c>
      <c r="V41" s="160">
        <f>SUM(G41,J41,M41,P41,S41)</f>
        <v>39583842</v>
      </c>
      <c r="W41" s="266">
        <f>SUM(,H41,K41,N41,Q41,T41)</f>
        <v>0</v>
      </c>
      <c r="X41" s="275">
        <f>SUM(I41,L41,O41,R41,U41)</f>
        <v>39583842</v>
      </c>
      <c r="Y41" s="140"/>
    </row>
    <row r="42" spans="1:25" s="22" customFormat="1" x14ac:dyDescent="0.35">
      <c r="A42" s="161"/>
      <c r="B42" s="162"/>
      <c r="C42" s="162"/>
      <c r="D42" s="163"/>
      <c r="E42" s="264"/>
      <c r="F42" s="273"/>
      <c r="G42" s="164"/>
      <c r="H42" s="267"/>
      <c r="I42" s="276"/>
      <c r="J42" s="164"/>
      <c r="K42" s="267"/>
      <c r="L42" s="276"/>
      <c r="M42" s="164"/>
      <c r="N42" s="267"/>
      <c r="O42" s="276"/>
      <c r="P42" s="164"/>
      <c r="Q42" s="267"/>
      <c r="R42" s="276"/>
      <c r="S42" s="164"/>
      <c r="T42" s="267"/>
      <c r="U42" s="276"/>
      <c r="V42" s="164"/>
      <c r="W42" s="267"/>
      <c r="X42" s="276"/>
      <c r="Y42" s="140"/>
    </row>
    <row r="43" spans="1:25" s="22" customFormat="1" x14ac:dyDescent="0.35">
      <c r="A43" s="488" t="s">
        <v>487</v>
      </c>
      <c r="B43" s="489"/>
      <c r="C43" s="489"/>
      <c r="D43" s="489"/>
      <c r="E43" s="489"/>
      <c r="F43" s="489"/>
      <c r="G43" s="489"/>
      <c r="H43" s="489"/>
      <c r="I43" s="489"/>
      <c r="J43" s="489"/>
      <c r="K43" s="489"/>
      <c r="L43" s="489"/>
      <c r="M43" s="489"/>
      <c r="N43" s="489"/>
      <c r="O43" s="489"/>
      <c r="P43" s="489"/>
      <c r="Q43" s="489"/>
      <c r="R43" s="489"/>
      <c r="S43" s="489"/>
      <c r="T43" s="489"/>
      <c r="U43" s="489"/>
      <c r="V43" s="489"/>
      <c r="W43" s="489"/>
      <c r="X43" s="490"/>
      <c r="Y43" s="140"/>
    </row>
    <row r="44" spans="1:25" s="22" customFormat="1" x14ac:dyDescent="0.35">
      <c r="A44" s="155">
        <v>20</v>
      </c>
      <c r="B44" s="479" t="s">
        <v>283</v>
      </c>
      <c r="C44" s="480"/>
      <c r="D44" s="480"/>
      <c r="E44" s="480"/>
      <c r="F44" s="481"/>
      <c r="G44" s="157">
        <f>'As-Filed Schedule 1'!E43</f>
        <v>0</v>
      </c>
      <c r="H44" s="263">
        <f>SUMIFS(Adjustments!$G:$G,Adjustments!$H:$H,"1",Adjustments!$I:$I,$G$9,Adjustments!$J:$J,$A44)</f>
        <v>0</v>
      </c>
      <c r="I44" s="274">
        <f>SUM(G44:H44)</f>
        <v>0</v>
      </c>
      <c r="J44" s="157">
        <f>'As-Filed Schedule 1'!F43</f>
        <v>29787</v>
      </c>
      <c r="K44" s="263">
        <f>SUMIFS(Adjustments!$G:$G,Adjustments!$H:$H,"1",Adjustments!$I:$I,$J$9,Adjustments!$J:$J,$A44)</f>
        <v>0</v>
      </c>
      <c r="L44" s="274">
        <f t="shared" ref="L44:L50" si="56">SUM(J44:K44)</f>
        <v>29787</v>
      </c>
      <c r="M44" s="157">
        <f>'As-Filed Schedule 1'!G43</f>
        <v>515</v>
      </c>
      <c r="N44" s="263">
        <f>SUMIFS(Adjustments!$G:$G,Adjustments!$H:$H,"1",Adjustments!$I:$I,$M$9,Adjustments!$J:$J,$A44)</f>
        <v>0</v>
      </c>
      <c r="O44" s="274">
        <f t="shared" ref="O44:O50" si="57">SUM(M44:N44)</f>
        <v>515</v>
      </c>
      <c r="P44" s="157">
        <f>'As-Filed Schedule 1'!H43</f>
        <v>0</v>
      </c>
      <c r="Q44" s="263">
        <f>SUMIFS(Adjustments!$G:$G,Adjustments!$H:$H,"1",Adjustments!$I:$I,$P$9,Adjustments!$J:$J,$A44)</f>
        <v>0</v>
      </c>
      <c r="R44" s="274">
        <f t="shared" ref="R44:R50" si="58">SUM(P44:Q44)</f>
        <v>0</v>
      </c>
      <c r="S44" s="157">
        <f>'As-Filed Schedule 1'!I43</f>
        <v>0</v>
      </c>
      <c r="T44" s="263">
        <f>SUMIFS(Adjustments!$G:$G,Adjustments!$H:$H,"1",Adjustments!$I:$I,$S$9,Adjustments!$J:$J,$A44)</f>
        <v>0</v>
      </c>
      <c r="U44" s="274">
        <f t="shared" ref="U44:U50" si="59">SUM(S44:T44)</f>
        <v>0</v>
      </c>
      <c r="V44" s="160">
        <f t="shared" ref="V44:V51" si="60">SUM(G44,J44,M44,P44,S44)</f>
        <v>30302</v>
      </c>
      <c r="W44" s="266">
        <f t="shared" ref="W44:W51" si="61">SUM(,H44,K44,N44,Q44,T44)</f>
        <v>0</v>
      </c>
      <c r="X44" s="275">
        <f t="shared" ref="X44:X51" si="62">SUM(I44,L44,O44,R44,U44)</f>
        <v>30302</v>
      </c>
      <c r="Y44" s="140"/>
    </row>
    <row r="45" spans="1:25" s="22" customFormat="1" x14ac:dyDescent="0.35">
      <c r="A45" s="155">
        <v>21</v>
      </c>
      <c r="B45" s="479" t="s">
        <v>230</v>
      </c>
      <c r="C45" s="480"/>
      <c r="D45" s="480"/>
      <c r="E45" s="480"/>
      <c r="F45" s="481"/>
      <c r="G45" s="157">
        <f>'As-Filed Schedule 1'!E44</f>
        <v>0</v>
      </c>
      <c r="H45" s="263">
        <f>SUMIFS(Adjustments!$G:$G,Adjustments!$H:$H,"1",Adjustments!$I:$I,$G$9,Adjustments!$J:$J,$A45)</f>
        <v>0</v>
      </c>
      <c r="I45" s="274">
        <f>SUM(G45:H45)</f>
        <v>0</v>
      </c>
      <c r="J45" s="157">
        <f>'As-Filed Schedule 1'!F44</f>
        <v>120043</v>
      </c>
      <c r="K45" s="263">
        <f>SUMIFS(Adjustments!$G:$G,Adjustments!$H:$H,"1",Adjustments!$I:$I,$J$9,Adjustments!$J:$J,$A45)</f>
        <v>0</v>
      </c>
      <c r="L45" s="274">
        <f t="shared" si="56"/>
        <v>120043</v>
      </c>
      <c r="M45" s="157">
        <f>'As-Filed Schedule 1'!G44</f>
        <v>15</v>
      </c>
      <c r="N45" s="263">
        <f>SUMIFS(Adjustments!$G:$G,Adjustments!$H:$H,"1",Adjustments!$I:$I,$M$9,Adjustments!$J:$J,$A45)</f>
        <v>0</v>
      </c>
      <c r="O45" s="274">
        <f t="shared" si="57"/>
        <v>15</v>
      </c>
      <c r="P45" s="157">
        <f>'As-Filed Schedule 1'!H44</f>
        <v>0</v>
      </c>
      <c r="Q45" s="263">
        <f>SUMIFS(Adjustments!$G:$G,Adjustments!$H:$H,"1",Adjustments!$I:$I,$P$9,Adjustments!$J:$J,$A45)</f>
        <v>0</v>
      </c>
      <c r="R45" s="274">
        <f t="shared" si="58"/>
        <v>0</v>
      </c>
      <c r="S45" s="157">
        <f>'As-Filed Schedule 1'!I44</f>
        <v>0</v>
      </c>
      <c r="T45" s="263">
        <f>SUMIFS(Adjustments!$G:$G,Adjustments!$H:$H,"1",Adjustments!$I:$I,$S$9,Adjustments!$J:$J,$A45)</f>
        <v>0</v>
      </c>
      <c r="U45" s="274">
        <f t="shared" si="59"/>
        <v>0</v>
      </c>
      <c r="V45" s="160">
        <f t="shared" si="60"/>
        <v>120058</v>
      </c>
      <c r="W45" s="266">
        <f t="shared" si="61"/>
        <v>0</v>
      </c>
      <c r="X45" s="275">
        <f t="shared" si="62"/>
        <v>120058</v>
      </c>
      <c r="Y45" s="140"/>
    </row>
    <row r="46" spans="1:25" s="22" customFormat="1" x14ac:dyDescent="0.35">
      <c r="A46" s="155">
        <v>22</v>
      </c>
      <c r="B46" s="479" t="s">
        <v>288</v>
      </c>
      <c r="C46" s="480"/>
      <c r="D46" s="480"/>
      <c r="E46" s="480"/>
      <c r="F46" s="481"/>
      <c r="G46" s="157">
        <f>'As-Filed Schedule 1'!E45</f>
        <v>0</v>
      </c>
      <c r="H46" s="263">
        <f>SUMIFS(Adjustments!$G:$G,Adjustments!$H:$H,"1",Adjustments!$I:$I,$G$9,Adjustments!$J:$J,$A46)</f>
        <v>0</v>
      </c>
      <c r="I46" s="274">
        <f t="shared" ref="I46" si="63">SUM(G46:H46)</f>
        <v>0</v>
      </c>
      <c r="J46" s="157">
        <f>'As-Filed Schedule 1'!F45</f>
        <v>157927.82</v>
      </c>
      <c r="K46" s="263">
        <f>SUMIFS(Adjustments!$G:$G,Adjustments!$H:$H,"1",Adjustments!$I:$I,$J$9,Adjustments!$J:$J,$A46)</f>
        <v>0</v>
      </c>
      <c r="L46" s="274">
        <f t="shared" si="56"/>
        <v>157927.82</v>
      </c>
      <c r="M46" s="157">
        <f>'As-Filed Schedule 1'!G45</f>
        <v>53797</v>
      </c>
      <c r="N46" s="263">
        <f>SUMIFS(Adjustments!$G:$G,Adjustments!$H:$H,"1",Adjustments!$I:$I,$M$9,Adjustments!$J:$J,$A46)</f>
        <v>0</v>
      </c>
      <c r="O46" s="274">
        <f t="shared" si="57"/>
        <v>53797</v>
      </c>
      <c r="P46" s="157">
        <f>'As-Filed Schedule 1'!H45</f>
        <v>0</v>
      </c>
      <c r="Q46" s="263">
        <f>SUMIFS(Adjustments!$G:$G,Adjustments!$H:$H,"1",Adjustments!$I:$I,$P$9,Adjustments!$J:$J,$A46)</f>
        <v>0</v>
      </c>
      <c r="R46" s="274">
        <f t="shared" si="58"/>
        <v>0</v>
      </c>
      <c r="S46" s="157">
        <f>'As-Filed Schedule 1'!I45</f>
        <v>0</v>
      </c>
      <c r="T46" s="263">
        <f>SUMIFS(Adjustments!$G:$G,Adjustments!$H:$H,"1",Adjustments!$I:$I,$S$9,Adjustments!$J:$J,$A46)</f>
        <v>0</v>
      </c>
      <c r="U46" s="274">
        <f t="shared" si="59"/>
        <v>0</v>
      </c>
      <c r="V46" s="160">
        <f t="shared" si="60"/>
        <v>211724.82</v>
      </c>
      <c r="W46" s="266">
        <f t="shared" si="61"/>
        <v>0</v>
      </c>
      <c r="X46" s="275">
        <f t="shared" si="62"/>
        <v>211724.82</v>
      </c>
      <c r="Y46" s="140"/>
    </row>
    <row r="47" spans="1:25" s="22" customFormat="1" x14ac:dyDescent="0.35">
      <c r="A47" s="155">
        <v>23</v>
      </c>
      <c r="B47" s="479" t="s">
        <v>284</v>
      </c>
      <c r="C47" s="480"/>
      <c r="D47" s="480"/>
      <c r="E47" s="480"/>
      <c r="F47" s="481"/>
      <c r="G47" s="157">
        <f>'As-Filed Schedule 1'!E46</f>
        <v>0</v>
      </c>
      <c r="H47" s="263">
        <f>SUMIFS(Adjustments!$G:$G,Adjustments!$H:$H,"1",Adjustments!$I:$I,$G$9,Adjustments!$J:$J,$A47)</f>
        <v>0</v>
      </c>
      <c r="I47" s="274">
        <f>SUM(G47:H47)</f>
        <v>0</v>
      </c>
      <c r="J47" s="157">
        <f>'As-Filed Schedule 1'!F46</f>
        <v>34060</v>
      </c>
      <c r="K47" s="263">
        <f>SUMIFS(Adjustments!$G:$G,Adjustments!$H:$H,"1",Adjustments!$I:$I,$J$9,Adjustments!$J:$J,$A47)</f>
        <v>0</v>
      </c>
      <c r="L47" s="274">
        <f t="shared" si="56"/>
        <v>34060</v>
      </c>
      <c r="M47" s="157">
        <f>'As-Filed Schedule 1'!G46</f>
        <v>4277</v>
      </c>
      <c r="N47" s="263">
        <f>SUMIFS(Adjustments!$G:$G,Adjustments!$H:$H,"1",Adjustments!$I:$I,$M$9,Adjustments!$J:$J,$A47)</f>
        <v>0</v>
      </c>
      <c r="O47" s="274">
        <f t="shared" si="57"/>
        <v>4277</v>
      </c>
      <c r="P47" s="157">
        <f>'As-Filed Schedule 1'!H46</f>
        <v>17</v>
      </c>
      <c r="Q47" s="263">
        <f>SUMIFS(Adjustments!$G:$G,Adjustments!$H:$H,"1",Adjustments!$I:$I,$P$9,Adjustments!$J:$J,$A47)</f>
        <v>0</v>
      </c>
      <c r="R47" s="274">
        <f t="shared" si="58"/>
        <v>17</v>
      </c>
      <c r="S47" s="157">
        <f>'As-Filed Schedule 1'!I46</f>
        <v>0</v>
      </c>
      <c r="T47" s="263">
        <f>SUMIFS(Adjustments!$G:$G,Adjustments!$H:$H,"1",Adjustments!$I:$I,$S$9,Adjustments!$J:$J,$A47)</f>
        <v>0</v>
      </c>
      <c r="U47" s="274">
        <f t="shared" si="59"/>
        <v>0</v>
      </c>
      <c r="V47" s="160">
        <f t="shared" si="60"/>
        <v>38354</v>
      </c>
      <c r="W47" s="266">
        <f t="shared" si="61"/>
        <v>0</v>
      </c>
      <c r="X47" s="275">
        <f t="shared" si="62"/>
        <v>38354</v>
      </c>
      <c r="Y47" s="140"/>
    </row>
    <row r="48" spans="1:25" s="22" customFormat="1" x14ac:dyDescent="0.35">
      <c r="A48" s="155">
        <v>24</v>
      </c>
      <c r="B48" s="479" t="s">
        <v>314</v>
      </c>
      <c r="C48" s="480"/>
      <c r="D48" s="480"/>
      <c r="E48" s="480"/>
      <c r="F48" s="481"/>
      <c r="G48" s="157">
        <f>'As-Filed Schedule 1'!E47</f>
        <v>0</v>
      </c>
      <c r="H48" s="263">
        <f>SUMIFS(Adjustments!$G:$G,Adjustments!$H:$H,"1",Adjustments!$I:$I,$G$9,Adjustments!$J:$J,$A48)</f>
        <v>0</v>
      </c>
      <c r="I48" s="274">
        <f>SUM(G48:H48)</f>
        <v>0</v>
      </c>
      <c r="J48" s="157">
        <f>'As-Filed Schedule 1'!F47</f>
        <v>0</v>
      </c>
      <c r="K48" s="263">
        <f>SUMIFS(Adjustments!$G:$G,Adjustments!$H:$H,"1",Adjustments!$I:$I,$J$9,Adjustments!$J:$J,$A48)</f>
        <v>0</v>
      </c>
      <c r="L48" s="274">
        <f t="shared" si="56"/>
        <v>0</v>
      </c>
      <c r="M48" s="157">
        <f>'As-Filed Schedule 1'!G47</f>
        <v>0</v>
      </c>
      <c r="N48" s="263">
        <f>SUMIFS(Adjustments!$G:$G,Adjustments!$H:$H,"1",Adjustments!$I:$I,$M$9,Adjustments!$J:$J,$A48)</f>
        <v>0</v>
      </c>
      <c r="O48" s="274">
        <f t="shared" si="57"/>
        <v>0</v>
      </c>
      <c r="P48" s="157">
        <f>'As-Filed Schedule 1'!H47</f>
        <v>139574</v>
      </c>
      <c r="Q48" s="263">
        <f>SUMIFS(Adjustments!$G:$G,Adjustments!$H:$H,"1",Adjustments!$I:$I,$P$9,Adjustments!$J:$J,$A48)</f>
        <v>0</v>
      </c>
      <c r="R48" s="274">
        <f t="shared" si="58"/>
        <v>139574</v>
      </c>
      <c r="S48" s="157">
        <f>'As-Filed Schedule 1'!I47</f>
        <v>0</v>
      </c>
      <c r="T48" s="263">
        <f>SUMIFS(Adjustments!$G:$G,Adjustments!$H:$H,"1",Adjustments!$I:$I,$S$9,Adjustments!$J:$J,$A48)</f>
        <v>0</v>
      </c>
      <c r="U48" s="274">
        <f t="shared" si="59"/>
        <v>0</v>
      </c>
      <c r="V48" s="160">
        <f t="shared" si="60"/>
        <v>139574</v>
      </c>
      <c r="W48" s="266">
        <f>SUM(,H48,K48,N48,Q48,T48)</f>
        <v>0</v>
      </c>
      <c r="X48" s="275">
        <f t="shared" si="62"/>
        <v>139574</v>
      </c>
      <c r="Y48" s="140"/>
    </row>
    <row r="49" spans="1:25" s="22" customFormat="1" x14ac:dyDescent="0.35">
      <c r="A49" s="155">
        <v>25</v>
      </c>
      <c r="B49" s="479" t="s">
        <v>775</v>
      </c>
      <c r="C49" s="480"/>
      <c r="D49" s="480"/>
      <c r="E49" s="480"/>
      <c r="F49" s="481"/>
      <c r="G49" s="157">
        <f>'As-Filed Schedule 1'!E48</f>
        <v>0</v>
      </c>
      <c r="H49" s="263">
        <f>SUMIFS(Adjustments!$G:$G,Adjustments!$H:$H,"1",Adjustments!$I:$I,$G$9,Adjustments!$J:$J,$A49)</f>
        <v>0</v>
      </c>
      <c r="I49" s="274">
        <f>SUM(G49:H49)</f>
        <v>0</v>
      </c>
      <c r="J49" s="157">
        <f>'As-Filed Schedule 1'!F48</f>
        <v>0</v>
      </c>
      <c r="K49" s="263">
        <f>SUMIFS(Adjustments!$G:$G,Adjustments!$H:$H,"1",Adjustments!$I:$I,$J$9,Adjustments!$J:$J,$A49)</f>
        <v>0</v>
      </c>
      <c r="L49" s="274">
        <f t="shared" ref="L49" si="64">SUM(J49:K49)</f>
        <v>0</v>
      </c>
      <c r="M49" s="157">
        <f>'As-Filed Schedule 1'!G48</f>
        <v>0</v>
      </c>
      <c r="N49" s="263">
        <f>SUMIFS(Adjustments!$G:$G,Adjustments!$H:$H,"1",Adjustments!$I:$I,$M$9,Adjustments!$J:$J,$A49)</f>
        <v>0</v>
      </c>
      <c r="O49" s="274">
        <f t="shared" ref="O49" si="65">SUM(M49:N49)</f>
        <v>0</v>
      </c>
      <c r="P49" s="157">
        <f>'As-Filed Schedule 1'!H48</f>
        <v>0</v>
      </c>
      <c r="Q49" s="263">
        <f>SUMIFS(Adjustments!$G:$G,Adjustments!$H:$H,"1",Adjustments!$I:$I,$P$9,Adjustments!$J:$J,$A49)</f>
        <v>0</v>
      </c>
      <c r="R49" s="274">
        <f t="shared" ref="R49" si="66">SUM(P49:Q49)</f>
        <v>0</v>
      </c>
      <c r="S49" s="157">
        <f>'As-Filed Schedule 1'!I48</f>
        <v>0</v>
      </c>
      <c r="T49" s="263">
        <f>SUMIFS(Adjustments!$G:$G,Adjustments!$H:$H,"1",Adjustments!$I:$I,$S$9,Adjustments!$J:$J,$A49)</f>
        <v>0</v>
      </c>
      <c r="U49" s="274">
        <f t="shared" ref="U49" si="67">SUM(S49:T49)</f>
        <v>0</v>
      </c>
      <c r="V49" s="160">
        <f t="shared" ref="V49" si="68">SUM(G49,J49,M49,P49,S49)</f>
        <v>0</v>
      </c>
      <c r="W49" s="266">
        <f>SUM(,H49,K49,N49,Q49,T49)</f>
        <v>0</v>
      </c>
      <c r="X49" s="275">
        <f t="shared" ref="X49" si="69">SUM(I49,L49,O49,R49,U49)</f>
        <v>0</v>
      </c>
      <c r="Y49" s="140"/>
    </row>
    <row r="50" spans="1:25" s="22" customFormat="1" x14ac:dyDescent="0.35">
      <c r="A50" s="155">
        <v>26</v>
      </c>
      <c r="B50" s="560" t="s">
        <v>452</v>
      </c>
      <c r="C50" s="561"/>
      <c r="D50" s="561"/>
      <c r="E50" s="561"/>
      <c r="F50" s="562"/>
      <c r="G50" s="157">
        <f>'As-Filed Schedule 1'!E49</f>
        <v>0</v>
      </c>
      <c r="H50" s="263">
        <f>SUMIFS(Adjustments!$G:$G,Adjustments!$H:$H,"1",Adjustments!$I:$I,$G$9,Adjustments!$J:$J,$A50)</f>
        <v>0</v>
      </c>
      <c r="I50" s="274">
        <f>SUM(G50:H50)</f>
        <v>0</v>
      </c>
      <c r="J50" s="157">
        <f>'As-Filed Schedule 1'!F49</f>
        <v>154334</v>
      </c>
      <c r="K50" s="263">
        <f>SUMIFS(Adjustments!$G:$G,Adjustments!$H:$H,"1",Adjustments!$I:$I,$J$9,Adjustments!$J:$J,$A50)</f>
        <v>0</v>
      </c>
      <c r="L50" s="274">
        <f t="shared" si="56"/>
        <v>154334</v>
      </c>
      <c r="M50" s="157">
        <f>'As-Filed Schedule 1'!G49</f>
        <v>48361</v>
      </c>
      <c r="N50" s="263">
        <f>SUMIFS(Adjustments!$G:$G,Adjustments!$H:$H,"1",Adjustments!$I:$I,$M$9,Adjustments!$J:$J,$A50)</f>
        <v>0</v>
      </c>
      <c r="O50" s="274">
        <f t="shared" si="57"/>
        <v>48361</v>
      </c>
      <c r="P50" s="157">
        <f>'As-Filed Schedule 1'!H49</f>
        <v>37296</v>
      </c>
      <c r="Q50" s="263">
        <f>SUMIFS(Adjustments!$G:$G,Adjustments!$H:$H,"1",Adjustments!$I:$I,$P$9,Adjustments!$J:$J,$A50)</f>
        <v>0</v>
      </c>
      <c r="R50" s="274">
        <f t="shared" si="58"/>
        <v>37296</v>
      </c>
      <c r="S50" s="157">
        <f>'As-Filed Schedule 1'!I49</f>
        <v>0</v>
      </c>
      <c r="T50" s="263">
        <f>SUMIFS(Adjustments!$G:$G,Adjustments!$H:$H,"1",Adjustments!$I:$I,$S$9,Adjustments!$J:$J,$A50)</f>
        <v>0</v>
      </c>
      <c r="U50" s="274">
        <f t="shared" si="59"/>
        <v>0</v>
      </c>
      <c r="V50" s="160">
        <f t="shared" si="60"/>
        <v>239991</v>
      </c>
      <c r="W50" s="266">
        <f t="shared" si="61"/>
        <v>0</v>
      </c>
      <c r="X50" s="275">
        <f t="shared" si="62"/>
        <v>239991</v>
      </c>
      <c r="Y50" s="140"/>
    </row>
    <row r="51" spans="1:25" s="22" customFormat="1" x14ac:dyDescent="0.35">
      <c r="A51" s="155">
        <v>27</v>
      </c>
      <c r="B51" s="485" t="s">
        <v>238</v>
      </c>
      <c r="C51" s="486"/>
      <c r="D51" s="486"/>
      <c r="E51" s="486"/>
      <c r="F51" s="487"/>
      <c r="G51" s="160">
        <f t="shared" ref="G51:U51" si="70">SUM(G44:G50)</f>
        <v>0</v>
      </c>
      <c r="H51" s="160">
        <f t="shared" si="70"/>
        <v>0</v>
      </c>
      <c r="I51" s="160">
        <f t="shared" si="70"/>
        <v>0</v>
      </c>
      <c r="J51" s="160">
        <f t="shared" si="70"/>
        <v>496151.82</v>
      </c>
      <c r="K51" s="160">
        <f t="shared" si="70"/>
        <v>0</v>
      </c>
      <c r="L51" s="160">
        <f t="shared" si="70"/>
        <v>496151.82</v>
      </c>
      <c r="M51" s="160">
        <f t="shared" si="70"/>
        <v>106965</v>
      </c>
      <c r="N51" s="160">
        <f t="shared" si="70"/>
        <v>0</v>
      </c>
      <c r="O51" s="160">
        <f t="shared" si="70"/>
        <v>106965</v>
      </c>
      <c r="P51" s="160">
        <f t="shared" si="70"/>
        <v>176887</v>
      </c>
      <c r="Q51" s="160">
        <f t="shared" si="70"/>
        <v>0</v>
      </c>
      <c r="R51" s="160">
        <f t="shared" si="70"/>
        <v>176887</v>
      </c>
      <c r="S51" s="160">
        <f t="shared" si="70"/>
        <v>0</v>
      </c>
      <c r="T51" s="160">
        <f t="shared" si="70"/>
        <v>0</v>
      </c>
      <c r="U51" s="160">
        <f t="shared" si="70"/>
        <v>0</v>
      </c>
      <c r="V51" s="160">
        <f t="shared" si="60"/>
        <v>780003.82000000007</v>
      </c>
      <c r="W51" s="266">
        <f t="shared" si="61"/>
        <v>0</v>
      </c>
      <c r="X51" s="275">
        <f t="shared" si="62"/>
        <v>780003.82000000007</v>
      </c>
      <c r="Y51" s="140"/>
    </row>
    <row r="52" spans="1:25" s="22" customFormat="1" x14ac:dyDescent="0.35">
      <c r="A52" s="161"/>
      <c r="B52" s="563"/>
      <c r="C52" s="563"/>
      <c r="D52" s="563"/>
      <c r="E52" s="563"/>
      <c r="F52" s="563"/>
      <c r="G52" s="563"/>
      <c r="H52" s="563"/>
      <c r="I52" s="563"/>
      <c r="J52" s="563"/>
      <c r="K52" s="563"/>
      <c r="L52" s="563"/>
      <c r="M52" s="563"/>
      <c r="N52" s="270"/>
      <c r="O52" s="280"/>
      <c r="P52" s="164"/>
      <c r="Q52" s="267"/>
      <c r="R52" s="276"/>
      <c r="S52" s="164"/>
      <c r="T52" s="267"/>
      <c r="U52" s="276"/>
      <c r="V52" s="164"/>
      <c r="W52" s="267"/>
      <c r="X52" s="276"/>
      <c r="Y52" s="140"/>
    </row>
    <row r="53" spans="1:25" s="22" customFormat="1" x14ac:dyDescent="0.35">
      <c r="A53" s="488" t="s">
        <v>233</v>
      </c>
      <c r="B53" s="489"/>
      <c r="C53" s="489"/>
      <c r="D53" s="489"/>
      <c r="E53" s="489"/>
      <c r="F53" s="489"/>
      <c r="G53" s="489"/>
      <c r="H53" s="489"/>
      <c r="I53" s="489"/>
      <c r="J53" s="489"/>
      <c r="K53" s="489"/>
      <c r="L53" s="489"/>
      <c r="M53" s="489"/>
      <c r="N53" s="489"/>
      <c r="O53" s="489"/>
      <c r="P53" s="489"/>
      <c r="Q53" s="489"/>
      <c r="R53" s="489"/>
      <c r="S53" s="489"/>
      <c r="T53" s="489"/>
      <c r="U53" s="489"/>
      <c r="V53" s="489"/>
      <c r="W53" s="489"/>
      <c r="X53" s="490"/>
      <c r="Y53" s="140"/>
    </row>
    <row r="54" spans="1:25" s="22" customFormat="1" x14ac:dyDescent="0.35">
      <c r="A54" s="155">
        <v>28</v>
      </c>
      <c r="B54" s="479" t="s">
        <v>282</v>
      </c>
      <c r="C54" s="480"/>
      <c r="D54" s="480"/>
      <c r="E54" s="480"/>
      <c r="F54" s="481"/>
      <c r="G54" s="157">
        <f>'As-Filed Schedule 1'!E53</f>
        <v>0</v>
      </c>
      <c r="H54" s="263">
        <f>SUMIFS(Adjustments!$G:$G,Adjustments!$H:$H,"1",Adjustments!$I:$I,$G$9,Adjustments!$J:$J,$A54)</f>
        <v>0</v>
      </c>
      <c r="I54" s="274">
        <f t="shared" ref="I54:I57" si="71">SUM(G54:H54)</f>
        <v>0</v>
      </c>
      <c r="J54" s="157">
        <f>'As-Filed Schedule 1'!F53</f>
        <v>0</v>
      </c>
      <c r="K54" s="263">
        <f>SUMIFS(Adjustments!$G:$G,Adjustments!$H:$H,"1",Adjustments!$I:$I,$J$9,Adjustments!$J:$J,$A54)</f>
        <v>0</v>
      </c>
      <c r="L54" s="274">
        <f t="shared" ref="L54:L57" si="72">SUM(J54:K54)</f>
        <v>0</v>
      </c>
      <c r="M54" s="157">
        <f>'As-Filed Schedule 1'!G53</f>
        <v>0</v>
      </c>
      <c r="N54" s="263">
        <f>SUMIFS(Adjustments!$G:$G,Adjustments!$H:$H,"1",Adjustments!$I:$I,$M$9,Adjustments!$J:$J,$A54)</f>
        <v>0</v>
      </c>
      <c r="O54" s="274">
        <f t="shared" ref="O54:O57" si="73">SUM(M54:N54)</f>
        <v>0</v>
      </c>
      <c r="P54" s="157">
        <f>'As-Filed Schedule 1'!H53</f>
        <v>0</v>
      </c>
      <c r="Q54" s="263">
        <f>SUMIFS(Adjustments!$G:$G,Adjustments!$H:$H,"1",Adjustments!$I:$I,$P$9,Adjustments!$J:$J,$A54)</f>
        <v>0</v>
      </c>
      <c r="R54" s="274">
        <f t="shared" ref="R54:R57" si="74">SUM(P54:Q54)</f>
        <v>0</v>
      </c>
      <c r="S54" s="157">
        <f>'As-Filed Schedule 1'!I53</f>
        <v>0</v>
      </c>
      <c r="T54" s="263">
        <f>SUMIFS(Adjustments!$G:$G,Adjustments!$H:$H,"1",Adjustments!$I:$I,$S$9,Adjustments!$J:$J,$A54)</f>
        <v>0</v>
      </c>
      <c r="U54" s="274">
        <f t="shared" ref="U54:U57" si="75">SUM(S54:T54)</f>
        <v>0</v>
      </c>
      <c r="V54" s="160">
        <f t="shared" ref="V54:V58" si="76">SUM(G54,J54,M54,P54,S54)</f>
        <v>0</v>
      </c>
      <c r="W54" s="266">
        <f t="shared" ref="W54:W58" si="77">SUM(,H54,K54,N54,Q54,T54)</f>
        <v>0</v>
      </c>
      <c r="X54" s="275">
        <f t="shared" ref="X54:X58" si="78">SUM(I54,L54,O54,R54,U54)</f>
        <v>0</v>
      </c>
      <c r="Y54" s="140"/>
    </row>
    <row r="55" spans="1:25" s="22" customFormat="1" x14ac:dyDescent="0.35">
      <c r="A55" s="155">
        <v>29</v>
      </c>
      <c r="B55" s="479" t="s">
        <v>294</v>
      </c>
      <c r="C55" s="480"/>
      <c r="D55" s="480"/>
      <c r="E55" s="480"/>
      <c r="F55" s="481"/>
      <c r="G55" s="157">
        <f>'As-Filed Schedule 1'!E54</f>
        <v>171937</v>
      </c>
      <c r="H55" s="263">
        <f>SUMIFS(Adjustments!$G:$G,Adjustments!$H:$H,"1",Adjustments!$I:$I,$G$9,Adjustments!$J:$J,$A55)</f>
        <v>0</v>
      </c>
      <c r="I55" s="274">
        <f t="shared" si="71"/>
        <v>171937</v>
      </c>
      <c r="J55" s="157">
        <f>'As-Filed Schedule 1'!F54</f>
        <v>756369</v>
      </c>
      <c r="K55" s="263">
        <f>SUMIFS(Adjustments!$G:$G,Adjustments!$H:$H,"1",Adjustments!$I:$I,$J$9,Adjustments!$J:$J,$A55)</f>
        <v>0</v>
      </c>
      <c r="L55" s="274">
        <f t="shared" si="72"/>
        <v>756369</v>
      </c>
      <c r="M55" s="157">
        <f>'As-Filed Schedule 1'!G54</f>
        <v>86270</v>
      </c>
      <c r="N55" s="263">
        <f>SUMIFS(Adjustments!$G:$G,Adjustments!$H:$H,"1",Adjustments!$I:$I,$M$9,Adjustments!$J:$J,$A55)</f>
        <v>0</v>
      </c>
      <c r="O55" s="274">
        <f t="shared" si="73"/>
        <v>86270</v>
      </c>
      <c r="P55" s="157">
        <f>'As-Filed Schedule 1'!H54</f>
        <v>4967</v>
      </c>
      <c r="Q55" s="263">
        <f>SUMIFS(Adjustments!$G:$G,Adjustments!$H:$H,"1",Adjustments!$I:$I,$P$9,Adjustments!$J:$J,$A55)</f>
        <v>0</v>
      </c>
      <c r="R55" s="274">
        <f t="shared" si="74"/>
        <v>4967</v>
      </c>
      <c r="S55" s="157">
        <f>'As-Filed Schedule 1'!I54</f>
        <v>0</v>
      </c>
      <c r="T55" s="263">
        <f>SUMIFS(Adjustments!$G:$G,Adjustments!$H:$H,"1",Adjustments!$I:$I,$S$9,Adjustments!$J:$J,$A55)</f>
        <v>0</v>
      </c>
      <c r="U55" s="274">
        <f t="shared" si="75"/>
        <v>0</v>
      </c>
      <c r="V55" s="160">
        <f t="shared" si="76"/>
        <v>1019543</v>
      </c>
      <c r="W55" s="266">
        <f t="shared" si="77"/>
        <v>0</v>
      </c>
      <c r="X55" s="275">
        <f t="shared" si="78"/>
        <v>1019543</v>
      </c>
      <c r="Y55" s="140"/>
    </row>
    <row r="56" spans="1:25" s="22" customFormat="1" x14ac:dyDescent="0.35">
      <c r="A56" s="155">
        <v>30</v>
      </c>
      <c r="B56" s="479" t="s">
        <v>295</v>
      </c>
      <c r="C56" s="480"/>
      <c r="D56" s="480"/>
      <c r="E56" s="480"/>
      <c r="F56" s="481"/>
      <c r="G56" s="157">
        <f>'As-Filed Schedule 1'!E55</f>
        <v>177638</v>
      </c>
      <c r="H56" s="263">
        <f>SUMIFS(Adjustments!$G:$G,Adjustments!$H:$H,"1",Adjustments!$I:$I,$G$9,Adjustments!$J:$J,$A56)</f>
        <v>0</v>
      </c>
      <c r="I56" s="274">
        <f t="shared" si="71"/>
        <v>177638</v>
      </c>
      <c r="J56" s="157">
        <f>'As-Filed Schedule 1'!F55</f>
        <v>196459</v>
      </c>
      <c r="K56" s="263">
        <f>SUMIFS(Adjustments!$G:$G,Adjustments!$H:$H,"1",Adjustments!$I:$I,$J$9,Adjustments!$J:$J,$A56)</f>
        <v>0</v>
      </c>
      <c r="L56" s="274">
        <f t="shared" si="72"/>
        <v>196459</v>
      </c>
      <c r="M56" s="157">
        <f>'As-Filed Schedule 1'!G55</f>
        <v>10241</v>
      </c>
      <c r="N56" s="263">
        <f>SUMIFS(Adjustments!$G:$G,Adjustments!$H:$H,"1",Adjustments!$I:$I,$M$9,Adjustments!$J:$J,$A56)</f>
        <v>0</v>
      </c>
      <c r="O56" s="274">
        <f t="shared" si="73"/>
        <v>10241</v>
      </c>
      <c r="P56" s="157">
        <f>'As-Filed Schedule 1'!H55</f>
        <v>587</v>
      </c>
      <c r="Q56" s="263">
        <f>SUMIFS(Adjustments!$G:$G,Adjustments!$H:$H,"1",Adjustments!$I:$I,$P$9,Adjustments!$J:$J,$A56)</f>
        <v>0</v>
      </c>
      <c r="R56" s="274">
        <f t="shared" si="74"/>
        <v>587</v>
      </c>
      <c r="S56" s="157">
        <f>'As-Filed Schedule 1'!I55</f>
        <v>0</v>
      </c>
      <c r="T56" s="263">
        <f>SUMIFS(Adjustments!$G:$G,Adjustments!$H:$H,"1",Adjustments!$I:$I,$S$9,Adjustments!$J:$J,$A56)</f>
        <v>0</v>
      </c>
      <c r="U56" s="274">
        <f t="shared" si="75"/>
        <v>0</v>
      </c>
      <c r="V56" s="160">
        <f t="shared" si="76"/>
        <v>384925</v>
      </c>
      <c r="W56" s="266">
        <f t="shared" si="77"/>
        <v>0</v>
      </c>
      <c r="X56" s="275">
        <f t="shared" si="78"/>
        <v>384925</v>
      </c>
      <c r="Y56" s="140"/>
    </row>
    <row r="57" spans="1:25" s="22" customFormat="1" x14ac:dyDescent="0.35">
      <c r="A57" s="155">
        <v>31</v>
      </c>
      <c r="B57" s="479" t="s">
        <v>296</v>
      </c>
      <c r="C57" s="480"/>
      <c r="D57" s="480"/>
      <c r="E57" s="480"/>
      <c r="F57" s="481"/>
      <c r="G57" s="157">
        <f>'As-Filed Schedule 1'!E56</f>
        <v>480962</v>
      </c>
      <c r="H57" s="263">
        <f>SUMIFS(Adjustments!$G:$G,Adjustments!$H:$H,"1",Adjustments!$I:$I,$G$9,Adjustments!$J:$J,$A57)</f>
        <v>0</v>
      </c>
      <c r="I57" s="274">
        <f t="shared" si="71"/>
        <v>480962</v>
      </c>
      <c r="J57" s="157">
        <f>'As-Filed Schedule 1'!F56</f>
        <v>866631</v>
      </c>
      <c r="K57" s="263">
        <f>SUMIFS(Adjustments!$G:$G,Adjustments!$H:$H,"1",Adjustments!$I:$I,$J$9,Adjustments!$J:$J,$A57)</f>
        <v>0</v>
      </c>
      <c r="L57" s="274">
        <f t="shared" si="72"/>
        <v>866631</v>
      </c>
      <c r="M57" s="157">
        <f>'As-Filed Schedule 1'!G56</f>
        <v>85343</v>
      </c>
      <c r="N57" s="263">
        <f>SUMIFS(Adjustments!$G:$G,Adjustments!$H:$H,"1",Adjustments!$I:$I,$M$9,Adjustments!$J:$J,$A57)</f>
        <v>0</v>
      </c>
      <c r="O57" s="274">
        <f t="shared" si="73"/>
        <v>85343</v>
      </c>
      <c r="P57" s="157">
        <f>'As-Filed Schedule 1'!H56</f>
        <v>4979</v>
      </c>
      <c r="Q57" s="263">
        <f>SUMIFS(Adjustments!$G:$G,Adjustments!$H:$H,"1",Adjustments!$I:$I,$P$9,Adjustments!$J:$J,$A57)</f>
        <v>0</v>
      </c>
      <c r="R57" s="274">
        <f t="shared" si="74"/>
        <v>4979</v>
      </c>
      <c r="S57" s="157">
        <f>'As-Filed Schedule 1'!I56</f>
        <v>0</v>
      </c>
      <c r="T57" s="263">
        <f>SUMIFS(Adjustments!$G:$G,Adjustments!$H:$H,"1",Adjustments!$I:$I,$S$9,Adjustments!$J:$J,$A57)</f>
        <v>0</v>
      </c>
      <c r="U57" s="274">
        <f t="shared" si="75"/>
        <v>0</v>
      </c>
      <c r="V57" s="160">
        <f t="shared" si="76"/>
        <v>1437915</v>
      </c>
      <c r="W57" s="266">
        <f t="shared" si="77"/>
        <v>0</v>
      </c>
      <c r="X57" s="275">
        <f t="shared" si="78"/>
        <v>1437915</v>
      </c>
      <c r="Y57" s="140"/>
    </row>
    <row r="58" spans="1:25" s="22" customFormat="1" x14ac:dyDescent="0.35">
      <c r="A58" s="155">
        <v>32</v>
      </c>
      <c r="B58" s="485" t="s">
        <v>231</v>
      </c>
      <c r="C58" s="486"/>
      <c r="D58" s="486"/>
      <c r="E58" s="486"/>
      <c r="F58" s="487"/>
      <c r="G58" s="160">
        <f>SUM(G54:G57)</f>
        <v>830537</v>
      </c>
      <c r="H58" s="160">
        <f t="shared" ref="H58:I58" si="79">SUM(H54:H57)</f>
        <v>0</v>
      </c>
      <c r="I58" s="160">
        <f t="shared" si="79"/>
        <v>830537</v>
      </c>
      <c r="J58" s="160">
        <f>SUM(J54:J57)</f>
        <v>1819459</v>
      </c>
      <c r="K58" s="160">
        <f t="shared" ref="K58:L58" si="80">SUM(K54:K57)</f>
        <v>0</v>
      </c>
      <c r="L58" s="160">
        <f t="shared" si="80"/>
        <v>1819459</v>
      </c>
      <c r="M58" s="160">
        <f>SUM(M54:M57)</f>
        <v>181854</v>
      </c>
      <c r="N58" s="160">
        <f t="shared" ref="N58:O58" si="81">SUM(N54:N57)</f>
        <v>0</v>
      </c>
      <c r="O58" s="160">
        <f t="shared" si="81"/>
        <v>181854</v>
      </c>
      <c r="P58" s="160">
        <f>SUM(P54:P57)</f>
        <v>10533</v>
      </c>
      <c r="Q58" s="160">
        <f t="shared" ref="Q58:R58" si="82">SUM(Q54:Q57)</f>
        <v>0</v>
      </c>
      <c r="R58" s="160">
        <f t="shared" si="82"/>
        <v>10533</v>
      </c>
      <c r="S58" s="160">
        <f>SUM(S54:S57)</f>
        <v>0</v>
      </c>
      <c r="T58" s="160">
        <f t="shared" ref="T58:U58" si="83">SUM(T54:T57)</f>
        <v>0</v>
      </c>
      <c r="U58" s="160">
        <f t="shared" si="83"/>
        <v>0</v>
      </c>
      <c r="V58" s="160">
        <f t="shared" si="76"/>
        <v>2842383</v>
      </c>
      <c r="W58" s="266">
        <f t="shared" si="77"/>
        <v>0</v>
      </c>
      <c r="X58" s="275">
        <f t="shared" si="78"/>
        <v>2842383</v>
      </c>
      <c r="Y58" s="140"/>
    </row>
    <row r="59" spans="1:25" s="22" customFormat="1" x14ac:dyDescent="0.35">
      <c r="A59" s="161"/>
      <c r="B59" s="162"/>
      <c r="C59" s="162"/>
      <c r="D59" s="163"/>
      <c r="E59" s="264"/>
      <c r="F59" s="273"/>
      <c r="G59" s="164"/>
      <c r="H59" s="267"/>
      <c r="I59" s="276"/>
      <c r="J59" s="164"/>
      <c r="K59" s="267"/>
      <c r="L59" s="276"/>
      <c r="M59" s="164"/>
      <c r="N59" s="267"/>
      <c r="O59" s="276"/>
      <c r="P59" s="164"/>
      <c r="Q59" s="267"/>
      <c r="R59" s="276"/>
      <c r="S59" s="164"/>
      <c r="T59" s="267"/>
      <c r="U59" s="276"/>
      <c r="V59" s="164"/>
      <c r="W59" s="267"/>
      <c r="X59" s="276"/>
      <c r="Y59" s="140"/>
    </row>
    <row r="60" spans="1:25" s="22" customFormat="1" x14ac:dyDescent="0.35">
      <c r="A60" s="488" t="s">
        <v>232</v>
      </c>
      <c r="B60" s="489"/>
      <c r="C60" s="489"/>
      <c r="D60" s="489"/>
      <c r="E60" s="489"/>
      <c r="F60" s="489"/>
      <c r="G60" s="489"/>
      <c r="H60" s="489"/>
      <c r="I60" s="489"/>
      <c r="J60" s="489"/>
      <c r="K60" s="489"/>
      <c r="L60" s="489"/>
      <c r="M60" s="489"/>
      <c r="N60" s="489"/>
      <c r="O60" s="489"/>
      <c r="P60" s="489"/>
      <c r="Q60" s="489"/>
      <c r="R60" s="489"/>
      <c r="S60" s="489"/>
      <c r="T60" s="489"/>
      <c r="U60" s="489"/>
      <c r="V60" s="489"/>
      <c r="W60" s="489"/>
      <c r="X60" s="490"/>
      <c r="Y60" s="140"/>
    </row>
    <row r="61" spans="1:25" s="22" customFormat="1" x14ac:dyDescent="0.35">
      <c r="A61" s="155">
        <v>33</v>
      </c>
      <c r="B61" s="560" t="s">
        <v>297</v>
      </c>
      <c r="C61" s="561"/>
      <c r="D61" s="561"/>
      <c r="E61" s="561"/>
      <c r="F61" s="562"/>
      <c r="G61" s="157">
        <f>'As-Filed Schedule 1'!E60</f>
        <v>865743.56706143974</v>
      </c>
      <c r="H61" s="263">
        <f>SUMIFS(Adjustments!$G:$G,Adjustments!$H:$H,"1",Adjustments!$I:$I,$G$9,Adjustments!$J:$J,$A61)</f>
        <v>0</v>
      </c>
      <c r="I61" s="274">
        <f t="shared" ref="I61:I67" si="84">SUM(G61:H61)</f>
        <v>865743.56706143974</v>
      </c>
      <c r="J61" s="157">
        <f>'As-Filed Schedule 1'!F60</f>
        <v>601429.43293856026</v>
      </c>
      <c r="K61" s="263">
        <f>SUMIFS(Adjustments!$G:$G,Adjustments!$H:$H,"1",Adjustments!$I:$I,$J$9,Adjustments!$J:$J,$A61)</f>
        <v>0</v>
      </c>
      <c r="L61" s="274">
        <f t="shared" ref="L61:L67" si="85">SUM(J61:K61)</f>
        <v>601429.43293856026</v>
      </c>
      <c r="M61" s="157">
        <f>'As-Filed Schedule 1'!G60</f>
        <v>2522</v>
      </c>
      <c r="N61" s="263">
        <f>SUMIFS(Adjustments!$G:$G,Adjustments!$H:$H,"1",Adjustments!$I:$I,$M$9,Adjustments!$J:$J,$A61)</f>
        <v>0</v>
      </c>
      <c r="O61" s="274">
        <f t="shared" ref="O61:O67" si="86">SUM(M61:N61)</f>
        <v>2522</v>
      </c>
      <c r="P61" s="157">
        <f>'As-Filed Schedule 1'!H60</f>
        <v>0</v>
      </c>
      <c r="Q61" s="263">
        <f>SUMIFS(Adjustments!$G:$G,Adjustments!$H:$H,"1",Adjustments!$I:$I,$P$9,Adjustments!$J:$J,$A61)</f>
        <v>0</v>
      </c>
      <c r="R61" s="274">
        <f t="shared" ref="R61:R67" si="87">SUM(P61:Q61)</f>
        <v>0</v>
      </c>
      <c r="S61" s="157">
        <f>'As-Filed Schedule 1'!I60</f>
        <v>0</v>
      </c>
      <c r="T61" s="263">
        <f>SUMIFS(Adjustments!$G:$G,Adjustments!$H:$H,"1",Adjustments!$I:$I,$S$9,Adjustments!$J:$J,$A61)</f>
        <v>0</v>
      </c>
      <c r="U61" s="274">
        <f t="shared" ref="U61:U67" si="88">SUM(S61:T61)</f>
        <v>0</v>
      </c>
      <c r="V61" s="160">
        <f t="shared" ref="V61:V68" si="89">SUM(G61,J61,M61,P61,S61)</f>
        <v>1469695</v>
      </c>
      <c r="W61" s="266">
        <f t="shared" ref="W61:W68" si="90">SUM(,H61,K61,N61,Q61,T61)</f>
        <v>0</v>
      </c>
      <c r="X61" s="275">
        <f t="shared" ref="X61:X68" si="91">SUM(I61,L61,O61,R61,U61)</f>
        <v>1469695</v>
      </c>
      <c r="Y61" s="140"/>
    </row>
    <row r="62" spans="1:25" s="22" customFormat="1" x14ac:dyDescent="0.35">
      <c r="A62" s="155">
        <v>34</v>
      </c>
      <c r="B62" s="560" t="s">
        <v>298</v>
      </c>
      <c r="C62" s="561"/>
      <c r="D62" s="561"/>
      <c r="E62" s="561"/>
      <c r="F62" s="562"/>
      <c r="G62" s="157">
        <f>'As-Filed Schedule 1'!E61</f>
        <v>101145.97474996763</v>
      </c>
      <c r="H62" s="263">
        <f>SUMIFS(Adjustments!$G:$G,Adjustments!$H:$H,"1",Adjustments!$I:$I,$G$9,Adjustments!$J:$J,$A62)</f>
        <v>0</v>
      </c>
      <c r="I62" s="274">
        <f t="shared" si="84"/>
        <v>101145.97474996763</v>
      </c>
      <c r="J62" s="157">
        <f>'As-Filed Schedule 1'!F61</f>
        <v>444093.54681835836</v>
      </c>
      <c r="K62" s="263">
        <f>SUMIFS(Adjustments!$G:$G,Adjustments!$H:$H,"1",Adjustments!$I:$I,$J$9,Adjustments!$J:$J,$A62)</f>
        <v>0</v>
      </c>
      <c r="L62" s="274">
        <f t="shared" si="85"/>
        <v>444093.54681835836</v>
      </c>
      <c r="M62" s="157">
        <f>'As-Filed Schedule 1'!G61</f>
        <v>35818.91348799198</v>
      </c>
      <c r="N62" s="263">
        <f>SUMIFS(Adjustments!$G:$G,Adjustments!$H:$H,"1",Adjustments!$I:$I,$M$9,Adjustments!$J:$J,$A62)</f>
        <v>0</v>
      </c>
      <c r="O62" s="274">
        <f t="shared" si="86"/>
        <v>35818.91348799198</v>
      </c>
      <c r="P62" s="157">
        <f>'As-Filed Schedule 1'!H61</f>
        <v>3143.5649436820304</v>
      </c>
      <c r="Q62" s="263">
        <f>SUMIFS(Adjustments!$G:$G,Adjustments!$H:$H,"1",Adjustments!$I:$I,$P$9,Adjustments!$J:$J,$A62)</f>
        <v>0</v>
      </c>
      <c r="R62" s="274">
        <f t="shared" si="87"/>
        <v>3143.5649436820304</v>
      </c>
      <c r="S62" s="157">
        <f>'As-Filed Schedule 1'!I61</f>
        <v>0</v>
      </c>
      <c r="T62" s="263">
        <f>SUMIFS(Adjustments!$G:$G,Adjustments!$H:$H,"1",Adjustments!$I:$I,$S$9,Adjustments!$J:$J,$A62)</f>
        <v>0</v>
      </c>
      <c r="U62" s="274">
        <f t="shared" si="88"/>
        <v>0</v>
      </c>
      <c r="V62" s="160">
        <f t="shared" si="89"/>
        <v>584202.00000000012</v>
      </c>
      <c r="W62" s="266">
        <f t="shared" si="90"/>
        <v>0</v>
      </c>
      <c r="X62" s="275">
        <f t="shared" si="91"/>
        <v>584202.00000000012</v>
      </c>
      <c r="Y62" s="140"/>
    </row>
    <row r="63" spans="1:25" s="22" customFormat="1" x14ac:dyDescent="0.35">
      <c r="A63" s="155">
        <v>35</v>
      </c>
      <c r="B63" s="560" t="s">
        <v>302</v>
      </c>
      <c r="C63" s="561"/>
      <c r="D63" s="561"/>
      <c r="E63" s="561"/>
      <c r="F63" s="562"/>
      <c r="G63" s="157">
        <f>'As-Filed Schedule 1'!E62</f>
        <v>0</v>
      </c>
      <c r="H63" s="263">
        <f>SUMIFS(Adjustments!$G:$G,Adjustments!$H:$H,"1",Adjustments!$I:$I,$G$9,Adjustments!$J:$J,$A63)</f>
        <v>0</v>
      </c>
      <c r="I63" s="274">
        <f t="shared" si="84"/>
        <v>0</v>
      </c>
      <c r="J63" s="157">
        <f>'As-Filed Schedule 1'!F62</f>
        <v>0</v>
      </c>
      <c r="K63" s="263">
        <f>SUMIFS(Adjustments!$G:$G,Adjustments!$H:$H,"1",Adjustments!$I:$I,$J$9,Adjustments!$J:$J,$A63)</f>
        <v>0</v>
      </c>
      <c r="L63" s="274">
        <f t="shared" si="85"/>
        <v>0</v>
      </c>
      <c r="M63" s="157">
        <f>'As-Filed Schedule 1'!G62</f>
        <v>0</v>
      </c>
      <c r="N63" s="263">
        <f>SUMIFS(Adjustments!$G:$G,Adjustments!$H:$H,"1",Adjustments!$I:$I,$M$9,Adjustments!$J:$J,$A63)</f>
        <v>0</v>
      </c>
      <c r="O63" s="274">
        <f t="shared" si="86"/>
        <v>0</v>
      </c>
      <c r="P63" s="157">
        <f>'As-Filed Schedule 1'!H62</f>
        <v>0</v>
      </c>
      <c r="Q63" s="263">
        <f>SUMIFS(Adjustments!$G:$G,Adjustments!$H:$H,"1",Adjustments!$I:$I,$P$9,Adjustments!$J:$J,$A63)</f>
        <v>0</v>
      </c>
      <c r="R63" s="274">
        <f t="shared" si="87"/>
        <v>0</v>
      </c>
      <c r="S63" s="157">
        <f>'As-Filed Schedule 1'!I62</f>
        <v>0</v>
      </c>
      <c r="T63" s="263">
        <f>SUMIFS(Adjustments!$G:$G,Adjustments!$H:$H,"1",Adjustments!$I:$I,$S$9,Adjustments!$J:$J,$A63)</f>
        <v>0</v>
      </c>
      <c r="U63" s="274">
        <f t="shared" si="88"/>
        <v>0</v>
      </c>
      <c r="V63" s="160">
        <f t="shared" si="89"/>
        <v>0</v>
      </c>
      <c r="W63" s="266">
        <f t="shared" si="90"/>
        <v>0</v>
      </c>
      <c r="X63" s="275">
        <f t="shared" si="91"/>
        <v>0</v>
      </c>
      <c r="Y63" s="140"/>
    </row>
    <row r="64" spans="1:25" s="22" customFormat="1" x14ac:dyDescent="0.35">
      <c r="A64" s="155">
        <v>36</v>
      </c>
      <c r="B64" s="560" t="s">
        <v>315</v>
      </c>
      <c r="C64" s="561"/>
      <c r="D64" s="561"/>
      <c r="E64" s="561"/>
      <c r="F64" s="562"/>
      <c r="G64" s="157">
        <f>'As-Filed Schedule 1'!E63</f>
        <v>314327</v>
      </c>
      <c r="H64" s="263">
        <f>SUMIFS(Adjustments!$G:$G,Adjustments!$H:$H,"1",Adjustments!$I:$I,$G$9,Adjustments!$J:$J,$A64)</f>
        <v>0</v>
      </c>
      <c r="I64" s="274">
        <f t="shared" si="84"/>
        <v>314327</v>
      </c>
      <c r="J64" s="157">
        <f>'As-Filed Schedule 1'!F63</f>
        <v>123975</v>
      </c>
      <c r="K64" s="263">
        <f>SUMIFS(Adjustments!$G:$G,Adjustments!$H:$H,"1",Adjustments!$I:$I,$J$9,Adjustments!$J:$J,$A64)</f>
        <v>0</v>
      </c>
      <c r="L64" s="274">
        <f t="shared" si="85"/>
        <v>123975</v>
      </c>
      <c r="M64" s="157">
        <f>'As-Filed Schedule 1'!G63</f>
        <v>22885</v>
      </c>
      <c r="N64" s="263">
        <f>SUMIFS(Adjustments!$G:$G,Adjustments!$H:$H,"1",Adjustments!$I:$I,$M$9,Adjustments!$J:$J,$A64)</f>
        <v>0</v>
      </c>
      <c r="O64" s="274">
        <f t="shared" si="86"/>
        <v>22885</v>
      </c>
      <c r="P64" s="157">
        <f>'As-Filed Schedule 1'!H63</f>
        <v>0</v>
      </c>
      <c r="Q64" s="263">
        <f>SUMIFS(Adjustments!$G:$G,Adjustments!$H:$H,"1",Adjustments!$I:$I,$P$9,Adjustments!$J:$J,$A64)</f>
        <v>0</v>
      </c>
      <c r="R64" s="274">
        <f t="shared" si="87"/>
        <v>0</v>
      </c>
      <c r="S64" s="157">
        <f>'As-Filed Schedule 1'!I63</f>
        <v>0</v>
      </c>
      <c r="T64" s="263">
        <f>SUMIFS(Adjustments!$G:$G,Adjustments!$H:$H,"1",Adjustments!$I:$I,$S$9,Adjustments!$J:$J,$A64)</f>
        <v>0</v>
      </c>
      <c r="U64" s="274">
        <f t="shared" si="88"/>
        <v>0</v>
      </c>
      <c r="V64" s="160">
        <f t="shared" si="89"/>
        <v>461187</v>
      </c>
      <c r="W64" s="266">
        <f t="shared" si="90"/>
        <v>0</v>
      </c>
      <c r="X64" s="275">
        <f t="shared" si="91"/>
        <v>461187</v>
      </c>
      <c r="Y64" s="140"/>
    </row>
    <row r="65" spans="1:25" s="22" customFormat="1" x14ac:dyDescent="0.35">
      <c r="A65" s="155">
        <v>37</v>
      </c>
      <c r="B65" s="560" t="s">
        <v>316</v>
      </c>
      <c r="C65" s="561"/>
      <c r="D65" s="561"/>
      <c r="E65" s="561"/>
      <c r="F65" s="562"/>
      <c r="G65" s="157">
        <f>'As-Filed Schedule 1'!E64</f>
        <v>274814</v>
      </c>
      <c r="H65" s="263">
        <f>SUMIFS(Adjustments!$G:$G,Adjustments!$H:$H,"1",Adjustments!$I:$I,$G$9,Adjustments!$J:$J,$A65)</f>
        <v>0</v>
      </c>
      <c r="I65" s="274">
        <f t="shared" si="84"/>
        <v>274814</v>
      </c>
      <c r="J65" s="157">
        <f>'As-Filed Schedule 1'!F64</f>
        <v>188486</v>
      </c>
      <c r="K65" s="263">
        <f>SUMIFS(Adjustments!$G:$G,Adjustments!$H:$H,"1",Adjustments!$I:$I,$J$9,Adjustments!$J:$J,$A65)</f>
        <v>0</v>
      </c>
      <c r="L65" s="274">
        <f t="shared" si="85"/>
        <v>188486</v>
      </c>
      <c r="M65" s="157">
        <f>'As-Filed Schedule 1'!G64</f>
        <v>25292</v>
      </c>
      <c r="N65" s="263">
        <f>SUMIFS(Adjustments!$G:$G,Adjustments!$H:$H,"1",Adjustments!$I:$I,$M$9,Adjustments!$J:$J,$A65)</f>
        <v>0</v>
      </c>
      <c r="O65" s="274">
        <f t="shared" si="86"/>
        <v>25292</v>
      </c>
      <c r="P65" s="157">
        <f>'As-Filed Schedule 1'!H64</f>
        <v>0</v>
      </c>
      <c r="Q65" s="263">
        <f>SUMIFS(Adjustments!$G:$G,Adjustments!$H:$H,"1",Adjustments!$I:$I,$P$9,Adjustments!$J:$J,$A65)</f>
        <v>0</v>
      </c>
      <c r="R65" s="274">
        <f t="shared" si="87"/>
        <v>0</v>
      </c>
      <c r="S65" s="157">
        <f>'As-Filed Schedule 1'!I64</f>
        <v>0</v>
      </c>
      <c r="T65" s="263">
        <f>SUMIFS(Adjustments!$G:$G,Adjustments!$H:$H,"1",Adjustments!$I:$I,$S$9,Adjustments!$J:$J,$A65)</f>
        <v>0</v>
      </c>
      <c r="U65" s="274">
        <f t="shared" si="88"/>
        <v>0</v>
      </c>
      <c r="V65" s="160">
        <f t="shared" si="89"/>
        <v>488592</v>
      </c>
      <c r="W65" s="266">
        <f t="shared" si="90"/>
        <v>0</v>
      </c>
      <c r="X65" s="275">
        <f t="shared" si="91"/>
        <v>488592</v>
      </c>
      <c r="Y65" s="140"/>
    </row>
    <row r="66" spans="1:25" s="22" customFormat="1" x14ac:dyDescent="0.35">
      <c r="A66" s="155">
        <v>38</v>
      </c>
      <c r="B66" s="560" t="s">
        <v>317</v>
      </c>
      <c r="C66" s="561"/>
      <c r="D66" s="561"/>
      <c r="E66" s="561"/>
      <c r="F66" s="562"/>
      <c r="G66" s="157">
        <f>'As-Filed Schedule 1'!E65</f>
        <v>658294</v>
      </c>
      <c r="H66" s="263">
        <f>SUMIFS(Adjustments!$G:$G,Adjustments!$H:$H,"1",Adjustments!$I:$I,$G$9,Adjustments!$J:$J,$A66)</f>
        <v>0</v>
      </c>
      <c r="I66" s="274">
        <f t="shared" si="84"/>
        <v>658294</v>
      </c>
      <c r="J66" s="157">
        <f>'As-Filed Schedule 1'!F65</f>
        <v>38350</v>
      </c>
      <c r="K66" s="263">
        <f>SUMIFS(Adjustments!$G:$G,Adjustments!$H:$H,"1",Adjustments!$I:$I,$J$9,Adjustments!$J:$J,$A66)</f>
        <v>0</v>
      </c>
      <c r="L66" s="274">
        <f t="shared" si="85"/>
        <v>38350</v>
      </c>
      <c r="M66" s="157">
        <f>'As-Filed Schedule 1'!G65</f>
        <v>0</v>
      </c>
      <c r="N66" s="263">
        <f>SUMIFS(Adjustments!$G:$G,Adjustments!$H:$H,"1",Adjustments!$I:$I,$M$9,Adjustments!$J:$J,$A66)</f>
        <v>0</v>
      </c>
      <c r="O66" s="274">
        <f t="shared" si="86"/>
        <v>0</v>
      </c>
      <c r="P66" s="157">
        <f>'As-Filed Schedule 1'!H65</f>
        <v>0</v>
      </c>
      <c r="Q66" s="263">
        <f>SUMIFS(Adjustments!$G:$G,Adjustments!$H:$H,"1",Adjustments!$I:$I,$P$9,Adjustments!$J:$J,$A66)</f>
        <v>0</v>
      </c>
      <c r="R66" s="274">
        <f t="shared" si="87"/>
        <v>0</v>
      </c>
      <c r="S66" s="157">
        <f>'As-Filed Schedule 1'!I65</f>
        <v>0</v>
      </c>
      <c r="T66" s="263">
        <f>SUMIFS(Adjustments!$G:$G,Adjustments!$H:$H,"1",Adjustments!$I:$I,$S$9,Adjustments!$J:$J,$A66)</f>
        <v>0</v>
      </c>
      <c r="U66" s="274">
        <f t="shared" si="88"/>
        <v>0</v>
      </c>
      <c r="V66" s="160">
        <f t="shared" si="89"/>
        <v>696644</v>
      </c>
      <c r="W66" s="266">
        <f t="shared" si="90"/>
        <v>0</v>
      </c>
      <c r="X66" s="275">
        <f t="shared" si="91"/>
        <v>696644</v>
      </c>
      <c r="Y66" s="140"/>
    </row>
    <row r="67" spans="1:25" s="22" customFormat="1" x14ac:dyDescent="0.35">
      <c r="A67" s="155">
        <v>39</v>
      </c>
      <c r="B67" s="560" t="s">
        <v>299</v>
      </c>
      <c r="C67" s="561"/>
      <c r="D67" s="561"/>
      <c r="E67" s="561"/>
      <c r="F67" s="562"/>
      <c r="G67" s="157">
        <f>'As-Filed Schedule 1'!E66</f>
        <v>71783</v>
      </c>
      <c r="H67" s="263">
        <f>SUMIFS(Adjustments!$G:$G,Adjustments!$H:$H,"1",Adjustments!$I:$I,$G$9,Adjustments!$J:$J,$A67)</f>
        <v>0</v>
      </c>
      <c r="I67" s="274">
        <f t="shared" si="84"/>
        <v>71783</v>
      </c>
      <c r="J67" s="157">
        <f>'As-Filed Schedule 1'!F66</f>
        <v>52768</v>
      </c>
      <c r="K67" s="263">
        <f>SUMIFS(Adjustments!$G:$G,Adjustments!$H:$H,"1",Adjustments!$I:$I,$J$9,Adjustments!$J:$J,$A67)</f>
        <v>0</v>
      </c>
      <c r="L67" s="274">
        <f t="shared" si="85"/>
        <v>52768</v>
      </c>
      <c r="M67" s="157">
        <f>'As-Filed Schedule 1'!G66</f>
        <v>5514</v>
      </c>
      <c r="N67" s="263">
        <f>SUMIFS(Adjustments!$G:$G,Adjustments!$H:$H,"1",Adjustments!$I:$I,$M$9,Adjustments!$J:$J,$A67)</f>
        <v>0</v>
      </c>
      <c r="O67" s="274">
        <f t="shared" si="86"/>
        <v>5514</v>
      </c>
      <c r="P67" s="157">
        <f>'As-Filed Schedule 1'!H66</f>
        <v>0</v>
      </c>
      <c r="Q67" s="263">
        <f>SUMIFS(Adjustments!$G:$G,Adjustments!$H:$H,"1",Adjustments!$I:$I,$P$9,Adjustments!$J:$J,$A67)</f>
        <v>0</v>
      </c>
      <c r="R67" s="274">
        <f t="shared" si="87"/>
        <v>0</v>
      </c>
      <c r="S67" s="157">
        <f>'As-Filed Schedule 1'!I66</f>
        <v>0</v>
      </c>
      <c r="T67" s="263">
        <f>SUMIFS(Adjustments!$G:$G,Adjustments!$H:$H,"1",Adjustments!$I:$I,$S$9,Adjustments!$J:$J,$A67)</f>
        <v>0</v>
      </c>
      <c r="U67" s="274">
        <f t="shared" si="88"/>
        <v>0</v>
      </c>
      <c r="V67" s="160">
        <f t="shared" si="89"/>
        <v>130065</v>
      </c>
      <c r="W67" s="266">
        <f t="shared" si="90"/>
        <v>0</v>
      </c>
      <c r="X67" s="275">
        <f t="shared" si="91"/>
        <v>130065</v>
      </c>
      <c r="Y67" s="140"/>
    </row>
    <row r="68" spans="1:25" s="22" customFormat="1" x14ac:dyDescent="0.35">
      <c r="A68" s="155">
        <v>40</v>
      </c>
      <c r="B68" s="557" t="s">
        <v>237</v>
      </c>
      <c r="C68" s="558"/>
      <c r="D68" s="558"/>
      <c r="E68" s="558"/>
      <c r="F68" s="559"/>
      <c r="G68" s="160">
        <f>SUM(G61:G67)</f>
        <v>2286107.5418114075</v>
      </c>
      <c r="H68" s="160">
        <f>SUM(H61:H67)</f>
        <v>0</v>
      </c>
      <c r="I68" s="160">
        <f>SUM(I61:I67)</f>
        <v>2286107.5418114075</v>
      </c>
      <c r="J68" s="160">
        <f>SUM(J61:J67)</f>
        <v>1449101.9797569187</v>
      </c>
      <c r="K68" s="160">
        <f t="shared" ref="K68:L68" si="92">SUM(K61:K67)</f>
        <v>0</v>
      </c>
      <c r="L68" s="160">
        <f t="shared" si="92"/>
        <v>1449101.9797569187</v>
      </c>
      <c r="M68" s="160">
        <f>SUM(M61:M67)</f>
        <v>92031.913487991987</v>
      </c>
      <c r="N68" s="160">
        <f t="shared" ref="N68:O68" si="93">SUM(N61:N67)</f>
        <v>0</v>
      </c>
      <c r="O68" s="160">
        <f t="shared" si="93"/>
        <v>92031.913487991987</v>
      </c>
      <c r="P68" s="160">
        <f>SUM(P61:P67)</f>
        <v>3143.5649436820304</v>
      </c>
      <c r="Q68" s="160">
        <f>SUM(Q61:Q67)</f>
        <v>0</v>
      </c>
      <c r="R68" s="160">
        <f>SUM(R61:R67)</f>
        <v>3143.5649436820304</v>
      </c>
      <c r="S68" s="160">
        <f>SUM(S61:S67)</f>
        <v>0</v>
      </c>
      <c r="T68" s="160">
        <f t="shared" ref="T68:U68" si="94">SUM(T61:T67)</f>
        <v>0</v>
      </c>
      <c r="U68" s="160">
        <f t="shared" si="94"/>
        <v>0</v>
      </c>
      <c r="V68" s="160">
        <f t="shared" si="89"/>
        <v>3830385</v>
      </c>
      <c r="W68" s="266">
        <f t="shared" si="90"/>
        <v>0</v>
      </c>
      <c r="X68" s="275">
        <f t="shared" si="91"/>
        <v>3830385</v>
      </c>
      <c r="Y68" s="140"/>
    </row>
    <row r="69" spans="1:25" s="22" customFormat="1" x14ac:dyDescent="0.35">
      <c r="A69" s="161"/>
      <c r="B69" s="162"/>
      <c r="C69" s="162"/>
      <c r="D69" s="163"/>
      <c r="E69" s="264"/>
      <c r="F69" s="273"/>
      <c r="G69" s="164"/>
      <c r="H69" s="267"/>
      <c r="I69" s="276"/>
      <c r="J69" s="164"/>
      <c r="K69" s="267"/>
      <c r="L69" s="276"/>
      <c r="M69" s="164"/>
      <c r="N69" s="267"/>
      <c r="O69" s="276"/>
      <c r="P69" s="164"/>
      <c r="Q69" s="267"/>
      <c r="R69" s="276"/>
      <c r="S69" s="164"/>
      <c r="T69" s="267"/>
      <c r="U69" s="276"/>
      <c r="V69" s="164"/>
      <c r="W69" s="267"/>
      <c r="X69" s="276"/>
      <c r="Y69" s="140"/>
    </row>
    <row r="70" spans="1:25" s="22" customFormat="1" x14ac:dyDescent="0.35">
      <c r="A70" s="488" t="s">
        <v>236</v>
      </c>
      <c r="B70" s="489"/>
      <c r="C70" s="489"/>
      <c r="D70" s="489"/>
      <c r="E70" s="489"/>
      <c r="F70" s="489"/>
      <c r="G70" s="489"/>
      <c r="H70" s="489"/>
      <c r="I70" s="489"/>
      <c r="J70" s="489"/>
      <c r="K70" s="489"/>
      <c r="L70" s="489"/>
      <c r="M70" s="489"/>
      <c r="N70" s="489"/>
      <c r="O70" s="489"/>
      <c r="P70" s="489"/>
      <c r="Q70" s="489"/>
      <c r="R70" s="489"/>
      <c r="S70" s="489"/>
      <c r="T70" s="489"/>
      <c r="U70" s="489"/>
      <c r="V70" s="489"/>
      <c r="W70" s="489"/>
      <c r="X70" s="490"/>
      <c r="Y70" s="140"/>
    </row>
    <row r="71" spans="1:25" s="22" customFormat="1" x14ac:dyDescent="0.35">
      <c r="A71" s="155">
        <v>41</v>
      </c>
      <c r="B71" s="479" t="s">
        <v>239</v>
      </c>
      <c r="C71" s="480"/>
      <c r="D71" s="480"/>
      <c r="E71" s="480"/>
      <c r="F71" s="481"/>
      <c r="G71" s="157">
        <f>'As-Filed Schedule 1'!E70</f>
        <v>47285</v>
      </c>
      <c r="H71" s="263">
        <f>SUMIFS(Adjustments!$G:$G,Adjustments!$H:$H,"1",Adjustments!$I:$I,$G$9,Adjustments!$J:$J,$A71)</f>
        <v>0</v>
      </c>
      <c r="I71" s="274">
        <f t="shared" ref="I71:I78" si="95">SUM(G71:H71)</f>
        <v>47285</v>
      </c>
      <c r="J71" s="157">
        <f>'As-Filed Schedule 1'!F70</f>
        <v>8385</v>
      </c>
      <c r="K71" s="263">
        <f>SUMIFS(Adjustments!$G:$G,Adjustments!$H:$H,"1",Adjustments!$I:$I,$J$9,Adjustments!$J:$J,$A71)</f>
        <v>0</v>
      </c>
      <c r="L71" s="274">
        <f t="shared" ref="L71:L78" si="96">SUM(J71:K71)</f>
        <v>8385</v>
      </c>
      <c r="M71" s="157">
        <f>'As-Filed Schedule 1'!G70</f>
        <v>2319</v>
      </c>
      <c r="N71" s="263">
        <f>SUMIFS(Adjustments!$G:$G,Adjustments!$H:$H,"1",Adjustments!$I:$I,$M$9,Adjustments!$J:$J,$A71)</f>
        <v>0</v>
      </c>
      <c r="O71" s="274">
        <f t="shared" ref="O71:O78" si="97">SUM(M71:N71)</f>
        <v>2319</v>
      </c>
      <c r="P71" s="157">
        <f>'As-Filed Schedule 1'!H70</f>
        <v>0</v>
      </c>
      <c r="Q71" s="263">
        <f>SUMIFS(Adjustments!$G:$G,Adjustments!$H:$H,"1",Adjustments!$I:$I,$P$9,Adjustments!$J:$J,$A71)</f>
        <v>0</v>
      </c>
      <c r="R71" s="274">
        <f t="shared" ref="R71:R78" si="98">SUM(P71:Q71)</f>
        <v>0</v>
      </c>
      <c r="S71" s="157">
        <f>'As-Filed Schedule 1'!I70</f>
        <v>0</v>
      </c>
      <c r="T71" s="263">
        <f>SUMIFS(Adjustments!$G:$G,Adjustments!$H:$H,"1",Adjustments!$I:$I,$S$9,Adjustments!$J:$J,$A71)</f>
        <v>0</v>
      </c>
      <c r="U71" s="274">
        <f t="shared" ref="U71:U78" si="99">SUM(S71:T71)</f>
        <v>0</v>
      </c>
      <c r="V71" s="160">
        <f t="shared" ref="V71:V79" si="100">SUM(G71,J71,M71,P71,S71)</f>
        <v>57989</v>
      </c>
      <c r="W71" s="266">
        <f t="shared" ref="W71:W79" si="101">SUM(,H71,K71,N71,Q71,T71)</f>
        <v>0</v>
      </c>
      <c r="X71" s="275">
        <f t="shared" ref="X71:X79" si="102">SUM(I71,L71,O71,R71,U71)</f>
        <v>57989</v>
      </c>
      <c r="Y71" s="140"/>
    </row>
    <row r="72" spans="1:25" s="22" customFormat="1" x14ac:dyDescent="0.35">
      <c r="A72" s="155">
        <v>42</v>
      </c>
      <c r="B72" s="479" t="s">
        <v>289</v>
      </c>
      <c r="C72" s="480"/>
      <c r="D72" s="480"/>
      <c r="E72" s="480"/>
      <c r="F72" s="481"/>
      <c r="G72" s="157">
        <f>'As-Filed Schedule 1'!E71</f>
        <v>232337</v>
      </c>
      <c r="H72" s="263">
        <f>SUMIFS(Adjustments!$G:$G,Adjustments!$H:$H,"1",Adjustments!$I:$I,$G$9,Adjustments!$J:$J,$A72)</f>
        <v>0</v>
      </c>
      <c r="I72" s="274">
        <f t="shared" si="95"/>
        <v>232337</v>
      </c>
      <c r="J72" s="157">
        <f>'As-Filed Schedule 1'!F71</f>
        <v>220547</v>
      </c>
      <c r="K72" s="263">
        <f>SUMIFS(Adjustments!$G:$G,Adjustments!$H:$H,"1",Adjustments!$I:$I,$J$9,Adjustments!$J:$J,$A72)</f>
        <v>0</v>
      </c>
      <c r="L72" s="274">
        <f t="shared" si="96"/>
        <v>220547</v>
      </c>
      <c r="M72" s="157">
        <f>'As-Filed Schedule 1'!G71</f>
        <v>21680</v>
      </c>
      <c r="N72" s="263">
        <f>SUMIFS(Adjustments!$G:$G,Adjustments!$H:$H,"1",Adjustments!$I:$I,$M$9,Adjustments!$J:$J,$A72)</f>
        <v>0</v>
      </c>
      <c r="O72" s="274">
        <f t="shared" si="97"/>
        <v>21680</v>
      </c>
      <c r="P72" s="157">
        <f>'As-Filed Schedule 1'!H71</f>
        <v>1228</v>
      </c>
      <c r="Q72" s="263">
        <f>SUMIFS(Adjustments!$G:$G,Adjustments!$H:$H,"1",Adjustments!$I:$I,$P$9,Adjustments!$J:$J,$A72)</f>
        <v>0</v>
      </c>
      <c r="R72" s="274">
        <f t="shared" si="98"/>
        <v>1228</v>
      </c>
      <c r="S72" s="157">
        <f>'As-Filed Schedule 1'!I71</f>
        <v>0</v>
      </c>
      <c r="T72" s="263">
        <f>SUMIFS(Adjustments!$G:$G,Adjustments!$H:$H,"1",Adjustments!$I:$I,$S$9,Adjustments!$J:$J,$A72)</f>
        <v>0</v>
      </c>
      <c r="U72" s="274">
        <f t="shared" si="99"/>
        <v>0</v>
      </c>
      <c r="V72" s="160">
        <f t="shared" si="100"/>
        <v>475792</v>
      </c>
      <c r="W72" s="266">
        <f t="shared" si="101"/>
        <v>0</v>
      </c>
      <c r="X72" s="275">
        <f t="shared" si="102"/>
        <v>475792</v>
      </c>
      <c r="Y72" s="140"/>
    </row>
    <row r="73" spans="1:25" s="22" customFormat="1" x14ac:dyDescent="0.35">
      <c r="A73" s="155">
        <v>43</v>
      </c>
      <c r="B73" s="479" t="s">
        <v>240</v>
      </c>
      <c r="C73" s="480"/>
      <c r="D73" s="480"/>
      <c r="E73" s="480"/>
      <c r="F73" s="481"/>
      <c r="G73" s="157">
        <f>'As-Filed Schedule 1'!E72</f>
        <v>40784</v>
      </c>
      <c r="H73" s="263">
        <f>SUMIFS(Adjustments!$G:$G,Adjustments!$H:$H,"1",Adjustments!$I:$I,$G$9,Adjustments!$J:$J,$A73)</f>
        <v>0</v>
      </c>
      <c r="I73" s="274">
        <f t="shared" si="95"/>
        <v>40784</v>
      </c>
      <c r="J73" s="157">
        <f>'As-Filed Schedule 1'!F72</f>
        <v>0</v>
      </c>
      <c r="K73" s="263">
        <f>SUMIFS(Adjustments!$G:$G,Adjustments!$H:$H,"1",Adjustments!$I:$I,$J$9,Adjustments!$J:$J,$A73)</f>
        <v>0</v>
      </c>
      <c r="L73" s="274">
        <f t="shared" si="96"/>
        <v>0</v>
      </c>
      <c r="M73" s="157">
        <f>'As-Filed Schedule 1'!G72</f>
        <v>0</v>
      </c>
      <c r="N73" s="263">
        <f>SUMIFS(Adjustments!$G:$G,Adjustments!$H:$H,"1",Adjustments!$I:$I,$M$9,Adjustments!$J:$J,$A73)</f>
        <v>0</v>
      </c>
      <c r="O73" s="274">
        <f t="shared" si="97"/>
        <v>0</v>
      </c>
      <c r="P73" s="157">
        <f>'As-Filed Schedule 1'!H72</f>
        <v>0</v>
      </c>
      <c r="Q73" s="263">
        <f>SUMIFS(Adjustments!$G:$G,Adjustments!$H:$H,"1",Adjustments!$I:$I,$P$9,Adjustments!$J:$J,$A73)</f>
        <v>0</v>
      </c>
      <c r="R73" s="274">
        <f t="shared" si="98"/>
        <v>0</v>
      </c>
      <c r="S73" s="157">
        <f>'As-Filed Schedule 1'!I72</f>
        <v>0</v>
      </c>
      <c r="T73" s="263">
        <f>SUMIFS(Adjustments!$G:$G,Adjustments!$H:$H,"1",Adjustments!$I:$I,$S$9,Adjustments!$J:$J,$A73)</f>
        <v>0</v>
      </c>
      <c r="U73" s="274">
        <f t="shared" si="99"/>
        <v>0</v>
      </c>
      <c r="V73" s="160">
        <f t="shared" si="100"/>
        <v>40784</v>
      </c>
      <c r="W73" s="266">
        <f t="shared" si="101"/>
        <v>0</v>
      </c>
      <c r="X73" s="275">
        <f t="shared" si="102"/>
        <v>40784</v>
      </c>
      <c r="Y73" s="140"/>
    </row>
    <row r="74" spans="1:25" s="22" customFormat="1" x14ac:dyDescent="0.35">
      <c r="A74" s="155">
        <v>44</v>
      </c>
      <c r="B74" s="479" t="s">
        <v>308</v>
      </c>
      <c r="C74" s="480"/>
      <c r="D74" s="480"/>
      <c r="E74" s="480"/>
      <c r="F74" s="481"/>
      <c r="G74" s="157">
        <f>'As-Filed Schedule 1'!E73</f>
        <v>192002</v>
      </c>
      <c r="H74" s="263">
        <f>SUMIFS(Adjustments!$G:$G,Adjustments!$H:$H,"1",Adjustments!$I:$I,$G$9,Adjustments!$J:$J,$A74)</f>
        <v>0</v>
      </c>
      <c r="I74" s="274">
        <f t="shared" si="95"/>
        <v>192002</v>
      </c>
      <c r="J74" s="157">
        <f>'As-Filed Schedule 1'!F73</f>
        <v>18499</v>
      </c>
      <c r="K74" s="263">
        <f>SUMIFS(Adjustments!$G:$G,Adjustments!$H:$H,"1",Adjustments!$I:$I,$J$9,Adjustments!$J:$J,$A74)</f>
        <v>0</v>
      </c>
      <c r="L74" s="274">
        <f t="shared" si="96"/>
        <v>18499</v>
      </c>
      <c r="M74" s="157">
        <f>'As-Filed Schedule 1'!G73</f>
        <v>2769</v>
      </c>
      <c r="N74" s="263">
        <f>SUMIFS(Adjustments!$G:$G,Adjustments!$H:$H,"1",Adjustments!$I:$I,$M$9,Adjustments!$J:$J,$A74)</f>
        <v>0</v>
      </c>
      <c r="O74" s="274">
        <f t="shared" si="97"/>
        <v>2769</v>
      </c>
      <c r="P74" s="157">
        <f>'As-Filed Schedule 1'!H73</f>
        <v>0</v>
      </c>
      <c r="Q74" s="263">
        <f>SUMIFS(Adjustments!$G:$G,Adjustments!$H:$H,"1",Adjustments!$I:$I,$P$9,Adjustments!$J:$J,$A74)</f>
        <v>0</v>
      </c>
      <c r="R74" s="274">
        <f t="shared" si="98"/>
        <v>0</v>
      </c>
      <c r="S74" s="157">
        <f>'As-Filed Schedule 1'!I73</f>
        <v>9261</v>
      </c>
      <c r="T74" s="263">
        <f>SUMIFS(Adjustments!$G:$G,Adjustments!$H:$H,"1",Adjustments!$I:$I,$S$9,Adjustments!$J:$J,$A74)</f>
        <v>0</v>
      </c>
      <c r="U74" s="274">
        <f t="shared" si="99"/>
        <v>9261</v>
      </c>
      <c r="V74" s="160">
        <f t="shared" si="100"/>
        <v>222531</v>
      </c>
      <c r="W74" s="266">
        <f t="shared" si="101"/>
        <v>0</v>
      </c>
      <c r="X74" s="275">
        <f t="shared" si="102"/>
        <v>222531</v>
      </c>
      <c r="Y74" s="140"/>
    </row>
    <row r="75" spans="1:25" s="22" customFormat="1" x14ac:dyDescent="0.35">
      <c r="A75" s="155">
        <v>45</v>
      </c>
      <c r="B75" s="479" t="s">
        <v>286</v>
      </c>
      <c r="C75" s="480"/>
      <c r="D75" s="480"/>
      <c r="E75" s="480"/>
      <c r="F75" s="481"/>
      <c r="G75" s="157">
        <f>'As-Filed Schedule 1'!E74</f>
        <v>0</v>
      </c>
      <c r="H75" s="263">
        <f>SUMIFS(Adjustments!$G:$G,Adjustments!$H:$H,"1",Adjustments!$I:$I,$G$9,Adjustments!$J:$J,$A75)</f>
        <v>0</v>
      </c>
      <c r="I75" s="274">
        <f t="shared" si="95"/>
        <v>0</v>
      </c>
      <c r="J75" s="157">
        <f>'As-Filed Schedule 1'!F74</f>
        <v>0</v>
      </c>
      <c r="K75" s="263">
        <f>SUMIFS(Adjustments!$G:$G,Adjustments!$H:$H,"1",Adjustments!$I:$I,$J$9,Adjustments!$J:$J,$A75)</f>
        <v>0</v>
      </c>
      <c r="L75" s="274">
        <f t="shared" si="96"/>
        <v>0</v>
      </c>
      <c r="M75" s="157">
        <f>'As-Filed Schedule 1'!G74</f>
        <v>0</v>
      </c>
      <c r="N75" s="263">
        <f>SUMIFS(Adjustments!$G:$G,Adjustments!$H:$H,"1",Adjustments!$I:$I,$M$9,Adjustments!$J:$J,$A75)</f>
        <v>0</v>
      </c>
      <c r="O75" s="274">
        <f t="shared" si="97"/>
        <v>0</v>
      </c>
      <c r="P75" s="157">
        <f>'As-Filed Schedule 1'!H74</f>
        <v>0</v>
      </c>
      <c r="Q75" s="263">
        <f>SUMIFS(Adjustments!$G:$G,Adjustments!$H:$H,"1",Adjustments!$I:$I,$P$9,Adjustments!$J:$J,$A75)</f>
        <v>0</v>
      </c>
      <c r="R75" s="274">
        <f t="shared" si="98"/>
        <v>0</v>
      </c>
      <c r="S75" s="157">
        <f>'As-Filed Schedule 1'!I74</f>
        <v>190737</v>
      </c>
      <c r="T75" s="263">
        <f>SUMIFS(Adjustments!$G:$G,Adjustments!$H:$H,"1",Adjustments!$I:$I,$S$9,Adjustments!$J:$J,$A75)</f>
        <v>0</v>
      </c>
      <c r="U75" s="274">
        <f t="shared" si="99"/>
        <v>190737</v>
      </c>
      <c r="V75" s="160">
        <f t="shared" si="100"/>
        <v>190737</v>
      </c>
      <c r="W75" s="266">
        <f t="shared" si="101"/>
        <v>0</v>
      </c>
      <c r="X75" s="275">
        <f t="shared" si="102"/>
        <v>190737</v>
      </c>
      <c r="Y75" s="140"/>
    </row>
    <row r="76" spans="1:25" s="22" customFormat="1" x14ac:dyDescent="0.35">
      <c r="A76" s="155">
        <v>46</v>
      </c>
      <c r="B76" s="479" t="s">
        <v>287</v>
      </c>
      <c r="C76" s="480"/>
      <c r="D76" s="480"/>
      <c r="E76" s="480"/>
      <c r="F76" s="481"/>
      <c r="G76" s="157">
        <f>'As-Filed Schedule 1'!E75</f>
        <v>43740</v>
      </c>
      <c r="H76" s="263">
        <f>SUMIFS(Adjustments!$G:$G,Adjustments!$H:$H,"1",Adjustments!$I:$I,$G$9,Adjustments!$J:$J,$A76)</f>
        <v>0</v>
      </c>
      <c r="I76" s="274">
        <f t="shared" si="95"/>
        <v>43740</v>
      </c>
      <c r="J76" s="157">
        <f>'As-Filed Schedule 1'!F75</f>
        <v>0</v>
      </c>
      <c r="K76" s="263">
        <f>SUMIFS(Adjustments!$G:$G,Adjustments!$H:$H,"1",Adjustments!$I:$I,$J$9,Adjustments!$J:$J,$A76)</f>
        <v>0</v>
      </c>
      <c r="L76" s="274">
        <f t="shared" si="96"/>
        <v>0</v>
      </c>
      <c r="M76" s="157">
        <f>'As-Filed Schedule 1'!G75</f>
        <v>0</v>
      </c>
      <c r="N76" s="263">
        <f>SUMIFS(Adjustments!$G:$G,Adjustments!$H:$H,"1",Adjustments!$I:$I,$M$9,Adjustments!$J:$J,$A76)</f>
        <v>0</v>
      </c>
      <c r="O76" s="274">
        <f t="shared" si="97"/>
        <v>0</v>
      </c>
      <c r="P76" s="157">
        <f>'As-Filed Schedule 1'!H75</f>
        <v>0</v>
      </c>
      <c r="Q76" s="263">
        <f>SUMIFS(Adjustments!$G:$G,Adjustments!$H:$H,"1",Adjustments!$I:$I,$P$9,Adjustments!$J:$J,$A76)</f>
        <v>0</v>
      </c>
      <c r="R76" s="274">
        <f t="shared" si="98"/>
        <v>0</v>
      </c>
      <c r="S76" s="157">
        <f>'As-Filed Schedule 1'!I75</f>
        <v>0</v>
      </c>
      <c r="T76" s="263">
        <f>SUMIFS(Adjustments!$G:$G,Adjustments!$H:$H,"1",Adjustments!$I:$I,$S$9,Adjustments!$J:$J,$A76)</f>
        <v>0</v>
      </c>
      <c r="U76" s="274">
        <f t="shared" si="99"/>
        <v>0</v>
      </c>
      <c r="V76" s="160">
        <f t="shared" si="100"/>
        <v>43740</v>
      </c>
      <c r="W76" s="266">
        <f t="shared" si="101"/>
        <v>0</v>
      </c>
      <c r="X76" s="275">
        <f t="shared" si="102"/>
        <v>43740</v>
      </c>
      <c r="Y76" s="140"/>
    </row>
    <row r="77" spans="1:25" s="22" customFormat="1" x14ac:dyDescent="0.35">
      <c r="A77" s="155">
        <v>47</v>
      </c>
      <c r="B77" s="479" t="s">
        <v>318</v>
      </c>
      <c r="C77" s="480"/>
      <c r="D77" s="480"/>
      <c r="E77" s="480"/>
      <c r="F77" s="481"/>
      <c r="G77" s="157">
        <f>'As-Filed Schedule 1'!E76</f>
        <v>130872</v>
      </c>
      <c r="H77" s="263">
        <f>SUMIFS(Adjustments!$G:$G,Adjustments!$H:$H,"1",Adjustments!$I:$I,$G$9,Adjustments!$J:$J,$A77)</f>
        <v>0</v>
      </c>
      <c r="I77" s="274">
        <f t="shared" si="95"/>
        <v>130872</v>
      </c>
      <c r="J77" s="157">
        <f>'As-Filed Schedule 1'!F76</f>
        <v>279081</v>
      </c>
      <c r="K77" s="263">
        <f>SUMIFS(Adjustments!$G:$G,Adjustments!$H:$H,"1",Adjustments!$I:$I,$J$9,Adjustments!$J:$J,$A77)</f>
        <v>0</v>
      </c>
      <c r="L77" s="274">
        <f t="shared" si="96"/>
        <v>279081</v>
      </c>
      <c r="M77" s="157">
        <f>'As-Filed Schedule 1'!G76</f>
        <v>0</v>
      </c>
      <c r="N77" s="263">
        <f>SUMIFS(Adjustments!$G:$G,Adjustments!$H:$H,"1",Adjustments!$I:$I,$M$9,Adjustments!$J:$J,$A77)</f>
        <v>0</v>
      </c>
      <c r="O77" s="274">
        <f t="shared" si="97"/>
        <v>0</v>
      </c>
      <c r="P77" s="157">
        <f>'As-Filed Schedule 1'!H76</f>
        <v>0</v>
      </c>
      <c r="Q77" s="263">
        <f>SUMIFS(Adjustments!$G:$G,Adjustments!$H:$H,"1",Adjustments!$I:$I,$P$9,Adjustments!$J:$J,$A77)</f>
        <v>0</v>
      </c>
      <c r="R77" s="274">
        <f t="shared" si="98"/>
        <v>0</v>
      </c>
      <c r="S77" s="157">
        <f>'As-Filed Schedule 1'!I76</f>
        <v>0</v>
      </c>
      <c r="T77" s="263">
        <f>SUMIFS(Adjustments!$G:$G,Adjustments!$H:$H,"1",Adjustments!$I:$I,$S$9,Adjustments!$J:$J,$A77)</f>
        <v>0</v>
      </c>
      <c r="U77" s="274">
        <f t="shared" si="99"/>
        <v>0</v>
      </c>
      <c r="V77" s="160">
        <f t="shared" si="100"/>
        <v>409953</v>
      </c>
      <c r="W77" s="266">
        <f t="shared" si="101"/>
        <v>0</v>
      </c>
      <c r="X77" s="275">
        <f t="shared" si="102"/>
        <v>409953</v>
      </c>
      <c r="Y77" s="140"/>
    </row>
    <row r="78" spans="1:25" s="22" customFormat="1" x14ac:dyDescent="0.35">
      <c r="A78" s="155">
        <v>48</v>
      </c>
      <c r="B78" s="479" t="s">
        <v>285</v>
      </c>
      <c r="C78" s="480"/>
      <c r="D78" s="480"/>
      <c r="E78" s="480"/>
      <c r="F78" s="481"/>
      <c r="G78" s="157">
        <f>'As-Filed Schedule 1'!E77</f>
        <v>243231</v>
      </c>
      <c r="H78" s="263">
        <f>SUMIFS(Adjustments!$G:$G,Adjustments!$H:$H,"1",Adjustments!$I:$I,$G$9,Adjustments!$J:$J,$A78)</f>
        <v>0</v>
      </c>
      <c r="I78" s="274">
        <f t="shared" si="95"/>
        <v>243231</v>
      </c>
      <c r="J78" s="157">
        <f>'As-Filed Schedule 1'!F77</f>
        <v>251299</v>
      </c>
      <c r="K78" s="263">
        <f>SUMIFS(Adjustments!$G:$G,Adjustments!$H:$H,"1",Adjustments!$I:$I,$J$9,Adjustments!$J:$J,$A78)</f>
        <v>0</v>
      </c>
      <c r="L78" s="274">
        <f t="shared" si="96"/>
        <v>251299</v>
      </c>
      <c r="M78" s="157">
        <f>'As-Filed Schedule 1'!G77</f>
        <v>17620</v>
      </c>
      <c r="N78" s="263">
        <f>SUMIFS(Adjustments!$G:$G,Adjustments!$H:$H,"1",Adjustments!$I:$I,$M$9,Adjustments!$J:$J,$A78)</f>
        <v>0</v>
      </c>
      <c r="O78" s="274">
        <f t="shared" si="97"/>
        <v>17620</v>
      </c>
      <c r="P78" s="157">
        <f>'As-Filed Schedule 1'!H77</f>
        <v>59</v>
      </c>
      <c r="Q78" s="263">
        <f>SUMIFS(Adjustments!$G:$G,Adjustments!$H:$H,"1",Adjustments!$I:$I,$P$9,Adjustments!$J:$J,$A78)</f>
        <v>0</v>
      </c>
      <c r="R78" s="274">
        <f t="shared" si="98"/>
        <v>59</v>
      </c>
      <c r="S78" s="157">
        <f>'As-Filed Schedule 1'!I77</f>
        <v>0</v>
      </c>
      <c r="T78" s="263">
        <f>SUMIFS(Adjustments!$G:$G,Adjustments!$H:$H,"1",Adjustments!$I:$I,$S$9,Adjustments!$J:$J,$A78)</f>
        <v>0</v>
      </c>
      <c r="U78" s="274">
        <f t="shared" si="99"/>
        <v>0</v>
      </c>
      <c r="V78" s="160">
        <f t="shared" si="100"/>
        <v>512209</v>
      </c>
      <c r="W78" s="266">
        <f t="shared" si="101"/>
        <v>0</v>
      </c>
      <c r="X78" s="275">
        <f t="shared" si="102"/>
        <v>512209</v>
      </c>
      <c r="Y78" s="140"/>
    </row>
    <row r="79" spans="1:25" s="22" customFormat="1" x14ac:dyDescent="0.35">
      <c r="A79" s="155">
        <v>49</v>
      </c>
      <c r="B79" s="485" t="s">
        <v>279</v>
      </c>
      <c r="C79" s="486"/>
      <c r="D79" s="486"/>
      <c r="E79" s="486"/>
      <c r="F79" s="487"/>
      <c r="G79" s="160">
        <f>SUM(G71:G78)</f>
        <v>930251</v>
      </c>
      <c r="H79" s="160">
        <f t="shared" ref="H79:I79" si="103">SUM(H71:H78)</f>
        <v>0</v>
      </c>
      <c r="I79" s="160">
        <f t="shared" si="103"/>
        <v>930251</v>
      </c>
      <c r="J79" s="160">
        <f t="shared" ref="J79:U79" si="104">SUM(J71:J78)</f>
        <v>777811</v>
      </c>
      <c r="K79" s="160">
        <f t="shared" si="104"/>
        <v>0</v>
      </c>
      <c r="L79" s="160">
        <f t="shared" si="104"/>
        <v>777811</v>
      </c>
      <c r="M79" s="160">
        <f t="shared" si="104"/>
        <v>44388</v>
      </c>
      <c r="N79" s="160">
        <f t="shared" si="104"/>
        <v>0</v>
      </c>
      <c r="O79" s="160">
        <f t="shared" si="104"/>
        <v>44388</v>
      </c>
      <c r="P79" s="160">
        <f t="shared" si="104"/>
        <v>1287</v>
      </c>
      <c r="Q79" s="160">
        <f>SUM(Q71:Q78)</f>
        <v>0</v>
      </c>
      <c r="R79" s="160">
        <f t="shared" si="104"/>
        <v>1287</v>
      </c>
      <c r="S79" s="160">
        <f t="shared" si="104"/>
        <v>199998</v>
      </c>
      <c r="T79" s="160">
        <f t="shared" si="104"/>
        <v>0</v>
      </c>
      <c r="U79" s="160">
        <f t="shared" si="104"/>
        <v>199998</v>
      </c>
      <c r="V79" s="160">
        <f t="shared" si="100"/>
        <v>1953735</v>
      </c>
      <c r="W79" s="266">
        <f t="shared" si="101"/>
        <v>0</v>
      </c>
      <c r="X79" s="275">
        <f t="shared" si="102"/>
        <v>1953735</v>
      </c>
      <c r="Y79" s="140"/>
    </row>
    <row r="80" spans="1:25" s="22" customFormat="1" x14ac:dyDescent="0.35">
      <c r="A80" s="161"/>
      <c r="B80" s="162"/>
      <c r="C80" s="162"/>
      <c r="D80" s="163"/>
      <c r="E80" s="264"/>
      <c r="F80" s="273"/>
      <c r="G80" s="164"/>
      <c r="H80" s="267"/>
      <c r="I80" s="276"/>
      <c r="J80" s="164"/>
      <c r="K80" s="267"/>
      <c r="L80" s="276"/>
      <c r="M80" s="164"/>
      <c r="N80" s="267"/>
      <c r="O80" s="276"/>
      <c r="P80" s="164"/>
      <c r="Q80" s="267"/>
      <c r="R80" s="276"/>
      <c r="S80" s="164"/>
      <c r="T80" s="267"/>
      <c r="U80" s="276"/>
      <c r="V80" s="164"/>
      <c r="W80" s="267"/>
      <c r="X80" s="276"/>
      <c r="Y80" s="140"/>
    </row>
    <row r="81" spans="1:25" s="22" customFormat="1" x14ac:dyDescent="0.35">
      <c r="A81" s="488" t="s">
        <v>303</v>
      </c>
      <c r="B81" s="489"/>
      <c r="C81" s="489"/>
      <c r="D81" s="489"/>
      <c r="E81" s="489"/>
      <c r="F81" s="489"/>
      <c r="G81" s="489"/>
      <c r="H81" s="489"/>
      <c r="I81" s="489"/>
      <c r="J81" s="489"/>
      <c r="K81" s="489"/>
      <c r="L81" s="489"/>
      <c r="M81" s="489"/>
      <c r="N81" s="489"/>
      <c r="O81" s="489"/>
      <c r="P81" s="489"/>
      <c r="Q81" s="489"/>
      <c r="R81" s="489"/>
      <c r="S81" s="489"/>
      <c r="T81" s="489"/>
      <c r="U81" s="489"/>
      <c r="V81" s="489"/>
      <c r="W81" s="489"/>
      <c r="X81" s="490"/>
      <c r="Y81" s="140"/>
    </row>
    <row r="82" spans="1:25" s="22" customFormat="1" x14ac:dyDescent="0.35">
      <c r="A82" s="155">
        <v>50</v>
      </c>
      <c r="B82" s="479" t="s">
        <v>304</v>
      </c>
      <c r="C82" s="480"/>
      <c r="D82" s="480"/>
      <c r="E82" s="480"/>
      <c r="F82" s="481"/>
      <c r="G82" s="98"/>
      <c r="H82" s="268"/>
      <c r="I82" s="278"/>
      <c r="J82" s="98"/>
      <c r="K82" s="268"/>
      <c r="L82" s="278"/>
      <c r="M82" s="98"/>
      <c r="N82" s="268"/>
      <c r="O82" s="278"/>
      <c r="P82" s="98"/>
      <c r="Q82" s="268"/>
      <c r="R82" s="278"/>
      <c r="S82" s="157">
        <f>'As-Filed Schedule 1'!I81</f>
        <v>0</v>
      </c>
      <c r="T82" s="263">
        <f>SUMIFS(Adjustments!$G:$G,Adjustments!$H:$H,"1",Adjustments!$I:$I,$S$9,Adjustments!$J:$J,$A82)</f>
        <v>0</v>
      </c>
      <c r="U82" s="274">
        <f>SUM(S82:T82)</f>
        <v>0</v>
      </c>
      <c r="V82" s="160">
        <f t="shared" ref="V82:X85" si="105">S82</f>
        <v>0</v>
      </c>
      <c r="W82" s="266">
        <f t="shared" si="105"/>
        <v>0</v>
      </c>
      <c r="X82" s="275">
        <f t="shared" si="105"/>
        <v>0</v>
      </c>
      <c r="Y82" s="140"/>
    </row>
    <row r="83" spans="1:25" s="22" customFormat="1" x14ac:dyDescent="0.35">
      <c r="A83" s="155">
        <v>51</v>
      </c>
      <c r="B83" s="479" t="s">
        <v>309</v>
      </c>
      <c r="C83" s="480"/>
      <c r="D83" s="480"/>
      <c r="E83" s="480"/>
      <c r="F83" s="481"/>
      <c r="G83" s="98"/>
      <c r="H83" s="268"/>
      <c r="I83" s="278"/>
      <c r="J83" s="98"/>
      <c r="K83" s="268"/>
      <c r="L83" s="278"/>
      <c r="M83" s="98"/>
      <c r="N83" s="268"/>
      <c r="O83" s="278"/>
      <c r="P83" s="98"/>
      <c r="Q83" s="268"/>
      <c r="R83" s="278"/>
      <c r="S83" s="157">
        <f>'As-Filed Schedule 1'!I82</f>
        <v>0</v>
      </c>
      <c r="T83" s="263">
        <f>SUMIFS(Adjustments!$G:$G,Adjustments!$H:$H,"1",Adjustments!$I:$I,$S$9,Adjustments!$J:$J,$A83)</f>
        <v>0</v>
      </c>
      <c r="U83" s="274">
        <f t="shared" ref="U83:U85" si="106">SUM(S83:T83)</f>
        <v>0</v>
      </c>
      <c r="V83" s="160">
        <f t="shared" si="105"/>
        <v>0</v>
      </c>
      <c r="W83" s="266">
        <f t="shared" si="105"/>
        <v>0</v>
      </c>
      <c r="X83" s="275">
        <f t="shared" si="105"/>
        <v>0</v>
      </c>
      <c r="Y83" s="140"/>
    </row>
    <row r="84" spans="1:25" s="22" customFormat="1" x14ac:dyDescent="0.35">
      <c r="A84" s="155">
        <v>52</v>
      </c>
      <c r="B84" s="479" t="s">
        <v>310</v>
      </c>
      <c r="C84" s="480"/>
      <c r="D84" s="480"/>
      <c r="E84" s="480"/>
      <c r="F84" s="481"/>
      <c r="G84" s="98"/>
      <c r="H84" s="268"/>
      <c r="I84" s="278"/>
      <c r="J84" s="98"/>
      <c r="K84" s="268"/>
      <c r="L84" s="278"/>
      <c r="M84" s="98"/>
      <c r="N84" s="268"/>
      <c r="O84" s="278"/>
      <c r="P84" s="98"/>
      <c r="Q84" s="268"/>
      <c r="R84" s="278"/>
      <c r="S84" s="157">
        <f>'As-Filed Schedule 1'!I83</f>
        <v>0</v>
      </c>
      <c r="T84" s="263">
        <f>SUMIFS(Adjustments!$G:$G,Adjustments!$H:$H,"1",Adjustments!$I:$I,$S$9,Adjustments!$J:$J,$A84)</f>
        <v>0</v>
      </c>
      <c r="U84" s="274">
        <f>SUM(S84:T84)</f>
        <v>0</v>
      </c>
      <c r="V84" s="160">
        <f t="shared" si="105"/>
        <v>0</v>
      </c>
      <c r="W84" s="266">
        <f t="shared" si="105"/>
        <v>0</v>
      </c>
      <c r="X84" s="275">
        <f t="shared" si="105"/>
        <v>0</v>
      </c>
      <c r="Y84" s="140"/>
    </row>
    <row r="85" spans="1:25" s="22" customFormat="1" x14ac:dyDescent="0.35">
      <c r="A85" s="155">
        <v>53</v>
      </c>
      <c r="B85" s="479" t="s">
        <v>305</v>
      </c>
      <c r="C85" s="480"/>
      <c r="D85" s="480"/>
      <c r="E85" s="480"/>
      <c r="F85" s="481"/>
      <c r="G85" s="98"/>
      <c r="H85" s="268"/>
      <c r="I85" s="278"/>
      <c r="J85" s="98"/>
      <c r="K85" s="268"/>
      <c r="L85" s="278"/>
      <c r="M85" s="98"/>
      <c r="N85" s="268"/>
      <c r="O85" s="278"/>
      <c r="P85" s="98"/>
      <c r="Q85" s="268"/>
      <c r="R85" s="278"/>
      <c r="S85" s="157">
        <f>'As-Filed Schedule 1'!I84</f>
        <v>0</v>
      </c>
      <c r="T85" s="263">
        <f>SUMIFS(Adjustments!$G:$G,Adjustments!$H:$H,"1",Adjustments!$I:$I,$S$9,Adjustments!$J:$J,$A85)</f>
        <v>0</v>
      </c>
      <c r="U85" s="274">
        <f t="shared" si="106"/>
        <v>0</v>
      </c>
      <c r="V85" s="160">
        <f t="shared" si="105"/>
        <v>0</v>
      </c>
      <c r="W85" s="266">
        <f t="shared" si="105"/>
        <v>0</v>
      </c>
      <c r="X85" s="275">
        <f t="shared" si="105"/>
        <v>0</v>
      </c>
      <c r="Y85" s="140"/>
    </row>
    <row r="86" spans="1:25" s="22" customFormat="1" x14ac:dyDescent="0.35">
      <c r="A86" s="155">
        <v>54</v>
      </c>
      <c r="B86" s="485" t="s">
        <v>306</v>
      </c>
      <c r="C86" s="486"/>
      <c r="D86" s="486"/>
      <c r="E86" s="486"/>
      <c r="F86" s="487"/>
      <c r="G86" s="160">
        <v>0</v>
      </c>
      <c r="H86" s="160">
        <v>0</v>
      </c>
      <c r="I86" s="160">
        <v>0</v>
      </c>
      <c r="J86" s="160">
        <v>0</v>
      </c>
      <c r="K86" s="160">
        <v>0</v>
      </c>
      <c r="L86" s="160">
        <v>0</v>
      </c>
      <c r="M86" s="160">
        <v>0</v>
      </c>
      <c r="N86" s="160">
        <v>0</v>
      </c>
      <c r="O86" s="160">
        <v>0</v>
      </c>
      <c r="P86" s="160">
        <v>0</v>
      </c>
      <c r="Q86" s="160">
        <v>0</v>
      </c>
      <c r="R86" s="160">
        <v>0</v>
      </c>
      <c r="S86" s="160">
        <f>SUM(S82:S85)</f>
        <v>0</v>
      </c>
      <c r="T86" s="160">
        <f t="shared" ref="T86:U86" si="107">SUM(T82:T85)</f>
        <v>0</v>
      </c>
      <c r="U86" s="160">
        <f t="shared" si="107"/>
        <v>0</v>
      </c>
      <c r="V86" s="160">
        <f>SUM(G86,J86,M86,P86,S86)</f>
        <v>0</v>
      </c>
      <c r="W86" s="266">
        <f>SUM(H86,K86,N86,Q86,T86)</f>
        <v>0</v>
      </c>
      <c r="X86" s="275">
        <f>SUM(I86,L86,O86,R86,U86)</f>
        <v>0</v>
      </c>
      <c r="Y86" s="140"/>
    </row>
    <row r="87" spans="1:25" s="22" customFormat="1" x14ac:dyDescent="0.35">
      <c r="A87" s="161"/>
      <c r="B87" s="162"/>
      <c r="C87" s="162"/>
      <c r="D87" s="163"/>
      <c r="E87" s="264"/>
      <c r="F87" s="273"/>
      <c r="G87" s="164"/>
      <c r="H87" s="267"/>
      <c r="I87" s="276"/>
      <c r="J87" s="164"/>
      <c r="K87" s="267"/>
      <c r="L87" s="276"/>
      <c r="M87" s="164"/>
      <c r="N87" s="267"/>
      <c r="O87" s="276"/>
      <c r="P87" s="164"/>
      <c r="Q87" s="267"/>
      <c r="R87" s="276"/>
      <c r="S87" s="164"/>
      <c r="T87" s="267"/>
      <c r="U87" s="276"/>
      <c r="V87" s="164"/>
      <c r="W87" s="267"/>
      <c r="X87" s="276"/>
      <c r="Y87" s="140"/>
    </row>
    <row r="88" spans="1:25" s="22" customFormat="1" x14ac:dyDescent="0.35">
      <c r="A88" s="488" t="s">
        <v>273</v>
      </c>
      <c r="B88" s="489"/>
      <c r="C88" s="489"/>
      <c r="D88" s="489"/>
      <c r="E88" s="489"/>
      <c r="F88" s="489"/>
      <c r="G88" s="489"/>
      <c r="H88" s="489"/>
      <c r="I88" s="489"/>
      <c r="J88" s="489"/>
      <c r="K88" s="489"/>
      <c r="L88" s="489"/>
      <c r="M88" s="489"/>
      <c r="N88" s="489"/>
      <c r="O88" s="489"/>
      <c r="P88" s="489"/>
      <c r="Q88" s="489"/>
      <c r="R88" s="489"/>
      <c r="S88" s="489"/>
      <c r="T88" s="489"/>
      <c r="U88" s="489"/>
      <c r="V88" s="489"/>
      <c r="W88" s="489"/>
      <c r="X88" s="490"/>
      <c r="Y88" s="140"/>
    </row>
    <row r="89" spans="1:25" s="22" customFormat="1" x14ac:dyDescent="0.35">
      <c r="A89" s="155">
        <v>55</v>
      </c>
      <c r="B89" s="479" t="s">
        <v>274</v>
      </c>
      <c r="C89" s="480"/>
      <c r="D89" s="480"/>
      <c r="E89" s="480"/>
      <c r="F89" s="481"/>
      <c r="G89" s="165">
        <f>-'As-Filed Schedule 1C'!F27</f>
        <v>-80417.85442629084</v>
      </c>
      <c r="H89" s="160"/>
      <c r="I89" s="277">
        <f>-'Adjusted Schedule 1C'!F28</f>
        <v>-80417.85442629084</v>
      </c>
      <c r="J89" s="165">
        <f>-'As-Filed Schedule 1C'!F28</f>
        <v>-42002.432938560261</v>
      </c>
      <c r="K89" s="160"/>
      <c r="L89" s="277">
        <f>-'Adjusted Schedule 1C'!F29</f>
        <v>-42002.432938560261</v>
      </c>
      <c r="M89" s="165">
        <f>-'As-Filed Schedule 1C'!F29</f>
        <v>0</v>
      </c>
      <c r="N89" s="160"/>
      <c r="O89" s="277">
        <f>-'Adjusted Schedule 1C'!F30</f>
        <v>0</v>
      </c>
      <c r="P89" s="165">
        <f>-'As-Filed Schedule 1C'!F30</f>
        <v>0</v>
      </c>
      <c r="Q89" s="160"/>
      <c r="R89" s="277">
        <f>-'Adjusted Schedule 1C'!F31</f>
        <v>0</v>
      </c>
      <c r="S89" s="165">
        <f>SUM(G89,J89,M89,P89)</f>
        <v>-122420.2873648511</v>
      </c>
      <c r="T89" s="160"/>
      <c r="U89" s="277">
        <f>SUM(I89,L89,O89,R89)</f>
        <v>-122420.2873648511</v>
      </c>
      <c r="V89" s="160">
        <f>SUM(G89,J89,M89,P89,S89)</f>
        <v>-244840.5747297022</v>
      </c>
      <c r="W89" s="266"/>
      <c r="X89" s="275">
        <f>SUM(I89,L89,O89,R89,U89)</f>
        <v>-244840.5747297022</v>
      </c>
      <c r="Y89" s="140"/>
    </row>
    <row r="90" spans="1:25" s="22" customFormat="1" x14ac:dyDescent="0.35">
      <c r="A90" s="155">
        <v>56</v>
      </c>
      <c r="B90" s="485" t="s">
        <v>270</v>
      </c>
      <c r="C90" s="486"/>
      <c r="D90" s="486"/>
      <c r="E90" s="486"/>
      <c r="F90" s="487"/>
      <c r="G90" s="160">
        <f>SUM(G89:G89)</f>
        <v>-80417.85442629084</v>
      </c>
      <c r="H90" s="160">
        <f t="shared" ref="H90:I90" si="108">SUM(H89:H89)</f>
        <v>0</v>
      </c>
      <c r="I90" s="160">
        <f t="shared" si="108"/>
        <v>-80417.85442629084</v>
      </c>
      <c r="J90" s="160">
        <f>SUM(J89:J89)</f>
        <v>-42002.432938560261</v>
      </c>
      <c r="K90" s="160">
        <f t="shared" ref="K90:L90" si="109">SUM(K89:K89)</f>
        <v>0</v>
      </c>
      <c r="L90" s="160">
        <f t="shared" si="109"/>
        <v>-42002.432938560261</v>
      </c>
      <c r="M90" s="160">
        <f>SUM(M89:M89)</f>
        <v>0</v>
      </c>
      <c r="N90" s="160">
        <f t="shared" ref="N90:O90" si="110">SUM(N89:N89)</f>
        <v>0</v>
      </c>
      <c r="O90" s="160">
        <f t="shared" si="110"/>
        <v>0</v>
      </c>
      <c r="P90" s="160">
        <f>SUM(P89:P89)</f>
        <v>0</v>
      </c>
      <c r="Q90" s="160">
        <f t="shared" ref="Q90" si="111">SUM(Q89:Q89)</f>
        <v>0</v>
      </c>
      <c r="R90" s="160">
        <f>SUM(R89:R89)</f>
        <v>0</v>
      </c>
      <c r="S90" s="160">
        <f>SUM(S89:S89)</f>
        <v>-122420.2873648511</v>
      </c>
      <c r="T90" s="160">
        <f>SUM(T89:T89)</f>
        <v>0</v>
      </c>
      <c r="U90" s="160">
        <f>SUM(U89:U89)</f>
        <v>-122420.2873648511</v>
      </c>
      <c r="V90" s="160">
        <f>SUM(G90,J90,M90,P90,S90)</f>
        <v>-244840.5747297022</v>
      </c>
      <c r="W90" s="266">
        <f>SUM(H90,K90,N90,Q90,T90)</f>
        <v>0</v>
      </c>
      <c r="X90" s="275">
        <f>SUM(I90,L90,O90,R90,U90)</f>
        <v>-244840.5747297022</v>
      </c>
      <c r="Y90" s="140"/>
    </row>
    <row r="91" spans="1:25" s="22" customFormat="1" x14ac:dyDescent="0.35">
      <c r="A91" s="161"/>
      <c r="B91" s="162"/>
      <c r="C91" s="162"/>
      <c r="D91" s="163"/>
      <c r="E91" s="264"/>
      <c r="F91" s="273"/>
      <c r="G91" s="164"/>
      <c r="H91" s="267"/>
      <c r="I91" s="276"/>
      <c r="J91" s="164"/>
      <c r="K91" s="267"/>
      <c r="L91" s="276"/>
      <c r="M91" s="164"/>
      <c r="N91" s="267"/>
      <c r="O91" s="276"/>
      <c r="P91" s="164"/>
      <c r="Q91" s="267"/>
      <c r="R91" s="276"/>
      <c r="S91" s="164"/>
      <c r="T91" s="267"/>
      <c r="U91" s="276"/>
      <c r="V91" s="164"/>
      <c r="W91" s="267"/>
      <c r="X91" s="276"/>
      <c r="Y91" s="140"/>
    </row>
    <row r="92" spans="1:25" s="22" customFormat="1" x14ac:dyDescent="0.35">
      <c r="A92" s="155">
        <v>57</v>
      </c>
      <c r="B92" s="485" t="s">
        <v>241</v>
      </c>
      <c r="C92" s="486"/>
      <c r="D92" s="486"/>
      <c r="E92" s="486"/>
      <c r="F92" s="487"/>
      <c r="G92" s="160">
        <f t="shared" ref="G92:U92" si="112">G79+G68+G58+G51+G41+G90+G86</f>
        <v>11555496.687385116</v>
      </c>
      <c r="H92" s="160">
        <f t="shared" si="112"/>
        <v>0</v>
      </c>
      <c r="I92" s="160">
        <f>I79+I68+I58+I51+I41+I90+I86</f>
        <v>11555496.687385116</v>
      </c>
      <c r="J92" s="160">
        <f>J79+J68+J58+J51+J41+J90+J86</f>
        <v>33884743.366818361</v>
      </c>
      <c r="K92" s="160">
        <f t="shared" si="112"/>
        <v>0</v>
      </c>
      <c r="L92" s="160">
        <f t="shared" si="112"/>
        <v>33884743.366818361</v>
      </c>
      <c r="M92" s="160">
        <f t="shared" si="112"/>
        <v>2863995.9134879922</v>
      </c>
      <c r="N92" s="160">
        <f t="shared" si="112"/>
        <v>0</v>
      </c>
      <c r="O92" s="160">
        <f t="shared" si="112"/>
        <v>2863995.9134879922</v>
      </c>
      <c r="P92" s="160">
        <f t="shared" si="112"/>
        <v>363694.56494368205</v>
      </c>
      <c r="Q92" s="160">
        <f t="shared" si="112"/>
        <v>0</v>
      </c>
      <c r="R92" s="160">
        <f t="shared" si="112"/>
        <v>363694.56494368205</v>
      </c>
      <c r="S92" s="160">
        <f t="shared" si="112"/>
        <v>77577.712635148899</v>
      </c>
      <c r="T92" s="160">
        <f t="shared" si="112"/>
        <v>0</v>
      </c>
      <c r="U92" s="160">
        <f t="shared" si="112"/>
        <v>77577.712635148899</v>
      </c>
      <c r="V92" s="160">
        <f>SUM(G92,J92,M92,P92,S92)</f>
        <v>48745508.245270304</v>
      </c>
      <c r="W92" s="266">
        <f>SUM(H92,K92,N92,Q92,T92)</f>
        <v>0</v>
      </c>
      <c r="X92" s="275">
        <f>SUM(I92,L92,O92,R92,U92)</f>
        <v>48745508.245270304</v>
      </c>
      <c r="Y92" s="140"/>
    </row>
    <row r="93" spans="1:25" s="22" customFormat="1" x14ac:dyDescent="0.35">
      <c r="A93" s="161"/>
      <c r="B93" s="162"/>
      <c r="C93" s="162"/>
      <c r="D93" s="163"/>
      <c r="E93" s="264"/>
      <c r="F93" s="273"/>
      <c r="G93" s="164"/>
      <c r="H93" s="267"/>
      <c r="I93" s="276"/>
      <c r="J93" s="164"/>
      <c r="K93" s="267"/>
      <c r="L93" s="276"/>
      <c r="M93" s="164"/>
      <c r="N93" s="267"/>
      <c r="O93" s="276"/>
      <c r="P93" s="164"/>
      <c r="Q93" s="267"/>
      <c r="R93" s="276"/>
      <c r="S93" s="164"/>
      <c r="T93" s="267"/>
      <c r="U93" s="276"/>
      <c r="V93" s="164"/>
      <c r="W93" s="267"/>
      <c r="X93" s="276"/>
      <c r="Y93" s="140"/>
    </row>
    <row r="94" spans="1:25" s="22" customFormat="1" x14ac:dyDescent="0.35">
      <c r="A94" s="155">
        <v>58</v>
      </c>
      <c r="B94" s="479" t="s">
        <v>2</v>
      </c>
      <c r="C94" s="480"/>
      <c r="D94" s="480"/>
      <c r="E94" s="480"/>
      <c r="F94" s="481"/>
      <c r="G94" s="158">
        <f>G92*-1</f>
        <v>-11555496.687385116</v>
      </c>
      <c r="H94" s="158">
        <f>H92*-1</f>
        <v>0</v>
      </c>
      <c r="I94" s="149">
        <f>I92*-1</f>
        <v>-11555496.687385116</v>
      </c>
      <c r="J94" s="157">
        <f>'As-Filed Schedule 1'!F93</f>
        <v>10687995.326595739</v>
      </c>
      <c r="K94" s="263">
        <f>SUMIFS(Adjustments!$G:$G,Adjustments!$H:$H,"1",Adjustments!$I:$I,$J$9,Adjustments!$J:$J,$A94)</f>
        <v>0</v>
      </c>
      <c r="L94" s="274">
        <f>SUM(J94:K94)</f>
        <v>10687995.326595739</v>
      </c>
      <c r="M94" s="157">
        <f>'As-Filed Schedule 1'!G93</f>
        <v>795370.62245206907</v>
      </c>
      <c r="N94" s="263">
        <f>SUMIFS(Adjustments!$G:$G,Adjustments!$H:$H,"1",Adjustments!$I:$I,$M$9,Adjustments!$J:$J,$A94)</f>
        <v>0</v>
      </c>
      <c r="O94" s="274">
        <f>SUM(M94:N94)</f>
        <v>795370.62245206907</v>
      </c>
      <c r="P94" s="157">
        <f>'As-Filed Schedule 1'!H93</f>
        <v>67936.851237308205</v>
      </c>
      <c r="Q94" s="263">
        <f>SUMIFS(Adjustments!$G:$G,Adjustments!$H:$H,"1",Adjustments!$I:$I,$P$9,Adjustments!$J:$J,$A94)</f>
        <v>0</v>
      </c>
      <c r="R94" s="274">
        <f>SUM(P94:Q94)</f>
        <v>67936.851237308205</v>
      </c>
      <c r="S94" s="157">
        <f>'As-Filed Schedule 1'!I93</f>
        <v>4193.8871000000008</v>
      </c>
      <c r="T94" s="263">
        <f>SUMIFS(Adjustments!$G:$G,Adjustments!$H:$H,"1",Adjustments!$I:$I,$S$9,Adjustments!$J:$J,$A94)</f>
        <v>0</v>
      </c>
      <c r="U94" s="274">
        <f t="shared" ref="U94" si="113">SUM(S94:T94)</f>
        <v>4193.8871000000008</v>
      </c>
      <c r="V94" s="160">
        <f>SUM(,G94,J94,M94,P94,S94)</f>
        <v>3.7289282772690058E-11</v>
      </c>
      <c r="W94" s="266">
        <f>SUM(H94,K94,N94,Q94,T94)</f>
        <v>0</v>
      </c>
      <c r="X94" s="275">
        <f>SUM(I94,L94,O94,R94,U94)</f>
        <v>3.7289282772690058E-11</v>
      </c>
      <c r="Y94" s="140"/>
    </row>
    <row r="95" spans="1:25" s="22" customFormat="1" x14ac:dyDescent="0.35">
      <c r="A95" s="161"/>
      <c r="B95" s="162"/>
      <c r="C95" s="162"/>
      <c r="D95" s="163"/>
      <c r="E95" s="264"/>
      <c r="F95" s="273"/>
      <c r="G95" s="164"/>
      <c r="H95" s="267"/>
      <c r="I95" s="276"/>
      <c r="J95" s="164"/>
      <c r="K95" s="267"/>
      <c r="L95" s="276"/>
      <c r="M95" s="164"/>
      <c r="N95" s="267"/>
      <c r="O95" s="276"/>
      <c r="P95" s="164"/>
      <c r="Q95" s="267"/>
      <c r="R95" s="276"/>
      <c r="S95" s="164"/>
      <c r="T95" s="267"/>
      <c r="U95" s="276"/>
      <c r="V95" s="164"/>
      <c r="W95" s="267"/>
      <c r="X95" s="276"/>
      <c r="Y95" s="140"/>
    </row>
    <row r="96" spans="1:25" s="63" customFormat="1" ht="15.5" x14ac:dyDescent="0.35">
      <c r="A96" s="155">
        <v>59</v>
      </c>
      <c r="B96" s="485" t="s">
        <v>242</v>
      </c>
      <c r="C96" s="486"/>
      <c r="D96" s="486"/>
      <c r="E96" s="486"/>
      <c r="F96" s="487"/>
      <c r="G96" s="160">
        <f>G94+G92</f>
        <v>0</v>
      </c>
      <c r="H96" s="160">
        <f t="shared" ref="H96:I96" si="114">H94+H92</f>
        <v>0</v>
      </c>
      <c r="I96" s="160">
        <f t="shared" si="114"/>
        <v>0</v>
      </c>
      <c r="J96" s="160">
        <f>J94+J92</f>
        <v>44572738.6934141</v>
      </c>
      <c r="K96" s="160">
        <f t="shared" ref="K96" si="115">K94+K92</f>
        <v>0</v>
      </c>
      <c r="L96" s="160">
        <f>L94+L92</f>
        <v>44572738.6934141</v>
      </c>
      <c r="M96" s="160">
        <f t="shared" ref="M96:R96" si="116">M94+M92</f>
        <v>3659366.5359400613</v>
      </c>
      <c r="N96" s="160">
        <f t="shared" si="116"/>
        <v>0</v>
      </c>
      <c r="O96" s="160">
        <f t="shared" si="116"/>
        <v>3659366.5359400613</v>
      </c>
      <c r="P96" s="160">
        <f t="shared" si="116"/>
        <v>431631.41618099029</v>
      </c>
      <c r="Q96" s="160">
        <f t="shared" si="116"/>
        <v>0</v>
      </c>
      <c r="R96" s="160">
        <f t="shared" si="116"/>
        <v>431631.41618099029</v>
      </c>
      <c r="S96" s="160">
        <f>S94+S92</f>
        <v>81771.599735148906</v>
      </c>
      <c r="T96" s="160">
        <f t="shared" ref="T96:U96" si="117">T94+T92</f>
        <v>0</v>
      </c>
      <c r="U96" s="160">
        <f t="shared" si="117"/>
        <v>81771.599735148906</v>
      </c>
      <c r="V96" s="160">
        <f>SUM(G96,J96,M96,P96,S96)</f>
        <v>48745508.245270297</v>
      </c>
      <c r="W96" s="266">
        <f>SUM(H96,K96,N96,Q96,T96)</f>
        <v>0</v>
      </c>
      <c r="X96" s="275">
        <f>SUM(I96,L96,O96,R96,U96)</f>
        <v>48745508.245270297</v>
      </c>
      <c r="Y96" s="141"/>
    </row>
    <row r="97" spans="1:25" s="22" customFormat="1" x14ac:dyDescent="0.35">
      <c r="A97" s="170"/>
      <c r="B97" s="170"/>
      <c r="C97" s="170"/>
      <c r="D97" s="170"/>
      <c r="E97" s="265"/>
      <c r="F97" s="140"/>
      <c r="G97" s="170"/>
      <c r="H97" s="265"/>
      <c r="I97" s="140"/>
      <c r="J97" s="170"/>
      <c r="K97" s="265"/>
      <c r="L97" s="140"/>
      <c r="M97" s="170"/>
      <c r="N97" s="265"/>
      <c r="O97" s="140"/>
      <c r="P97" s="170"/>
      <c r="Q97" s="265"/>
      <c r="R97" s="140"/>
      <c r="S97" s="170"/>
      <c r="T97" s="265"/>
      <c r="U97" s="140"/>
      <c r="V97" s="170"/>
      <c r="W97" s="265"/>
      <c r="X97" s="140"/>
      <c r="Y97" s="140"/>
    </row>
    <row r="98" spans="1:25" s="22" customFormat="1" x14ac:dyDescent="0.35">
      <c r="A98" s="155">
        <v>60</v>
      </c>
      <c r="B98" s="478" t="s">
        <v>4</v>
      </c>
      <c r="C98" s="478"/>
      <c r="D98" s="170"/>
      <c r="E98" s="265"/>
      <c r="F98" s="140"/>
      <c r="G98" s="170"/>
      <c r="H98" s="265"/>
      <c r="I98" s="140"/>
      <c r="J98" s="150">
        <f>'As-Filed Schedule 1'!F97</f>
        <v>15110</v>
      </c>
      <c r="K98" s="263">
        <f>SUMIFS(Adjustments!$G:$G,Adjustments!$H:$H,"1",Adjustments!$I:$I,$J$9,Adjustments!$J:$J,$A98)</f>
        <v>0</v>
      </c>
      <c r="L98" s="274">
        <f>SUM(J98:K98)</f>
        <v>15110</v>
      </c>
      <c r="M98" s="170"/>
      <c r="N98" s="265"/>
      <c r="O98" s="140"/>
      <c r="P98" s="170"/>
      <c r="Q98" s="265"/>
      <c r="R98" s="140"/>
      <c r="S98" s="170"/>
      <c r="T98" s="265"/>
      <c r="U98" s="140"/>
      <c r="V98" s="170"/>
      <c r="W98" s="265"/>
      <c r="X98" s="140"/>
      <c r="Y98" s="140"/>
    </row>
    <row r="99" spans="1:25" s="22" customFormat="1" x14ac:dyDescent="0.35">
      <c r="A99" s="155">
        <v>61</v>
      </c>
      <c r="B99" s="478" t="s">
        <v>5</v>
      </c>
      <c r="C99" s="478"/>
      <c r="D99" s="170"/>
      <c r="E99" s="265"/>
      <c r="F99" s="140"/>
      <c r="G99" s="170"/>
      <c r="H99" s="265"/>
      <c r="I99" s="140"/>
      <c r="J99" s="158">
        <f>IFERROR(J96/J98,"")</f>
        <v>2949.8834343755193</v>
      </c>
      <c r="K99" s="158" t="str">
        <f t="shared" ref="K99" si="118">IFERROR(K96/K98,"")</f>
        <v/>
      </c>
      <c r="L99" s="158">
        <f>IFERROR(L96/L98,"")</f>
        <v>2949.8834343755193</v>
      </c>
      <c r="M99" s="170"/>
      <c r="N99" s="265"/>
      <c r="O99" s="140"/>
      <c r="P99" s="170"/>
      <c r="Q99" s="265"/>
      <c r="R99" s="140"/>
      <c r="S99" s="170"/>
      <c r="T99" s="265"/>
      <c r="U99" s="140"/>
      <c r="V99" s="170"/>
      <c r="W99" s="265"/>
      <c r="X99" s="140"/>
      <c r="Y99" s="140"/>
    </row>
    <row r="100" spans="1:25" s="22" customFormat="1" x14ac:dyDescent="0.35">
      <c r="A100" s="171"/>
      <c r="B100" s="170"/>
      <c r="C100" s="170"/>
      <c r="D100" s="170"/>
      <c r="E100" s="265"/>
      <c r="F100" s="140"/>
      <c r="G100" s="170"/>
      <c r="H100" s="265"/>
      <c r="I100" s="140"/>
      <c r="J100" s="170"/>
      <c r="K100" s="265"/>
      <c r="L100" s="140"/>
      <c r="M100" s="170"/>
      <c r="N100" s="265"/>
      <c r="O100" s="140"/>
      <c r="P100" s="170"/>
      <c r="Q100" s="265"/>
      <c r="R100" s="140"/>
      <c r="S100" s="170"/>
      <c r="T100" s="265"/>
      <c r="U100" s="140"/>
      <c r="V100" s="170"/>
      <c r="W100" s="265"/>
      <c r="X100" s="140"/>
      <c r="Y100" s="140"/>
    </row>
    <row r="101" spans="1:25" s="22" customFormat="1" x14ac:dyDescent="0.35">
      <c r="A101" s="155">
        <v>62</v>
      </c>
      <c r="B101" s="478" t="s">
        <v>307</v>
      </c>
      <c r="C101" s="478"/>
      <c r="D101" s="170"/>
      <c r="E101" s="265"/>
      <c r="F101" s="140"/>
      <c r="G101" s="170"/>
      <c r="H101" s="265"/>
      <c r="I101" s="140"/>
      <c r="J101" s="170"/>
      <c r="K101" s="265"/>
      <c r="L101" s="140"/>
      <c r="M101" s="170"/>
      <c r="N101" s="265"/>
      <c r="O101" s="140"/>
      <c r="P101" s="170"/>
      <c r="Q101" s="265"/>
      <c r="R101" s="140"/>
      <c r="S101" s="170"/>
      <c r="T101" s="265"/>
      <c r="U101" s="140"/>
      <c r="V101" s="157">
        <f>'As-Filed Schedule 1'!J100</f>
        <v>48990348.819999985</v>
      </c>
      <c r="W101"/>
      <c r="X101" s="274">
        <f>SUM(V101:W101)</f>
        <v>48990348.819999985</v>
      </c>
      <c r="Y101" s="140"/>
    </row>
    <row r="102" spans="1:25" s="22" customFormat="1" x14ac:dyDescent="0.35">
      <c r="A102" s="155">
        <v>63</v>
      </c>
      <c r="B102" s="478" t="s">
        <v>10</v>
      </c>
      <c r="C102" s="478"/>
      <c r="D102" s="170"/>
      <c r="E102" s="265"/>
      <c r="F102" s="140"/>
      <c r="G102" s="170"/>
      <c r="H102" s="265"/>
      <c r="I102" s="140"/>
      <c r="J102" s="170"/>
      <c r="K102" s="265"/>
      <c r="L102" s="140"/>
      <c r="M102" s="170"/>
      <c r="N102" s="265"/>
      <c r="O102" s="140"/>
      <c r="P102" s="170"/>
      <c r="Q102" s="265"/>
      <c r="R102" s="140"/>
      <c r="S102" s="170"/>
      <c r="T102" s="265"/>
      <c r="U102" s="140"/>
      <c r="V102" s="158">
        <f>ROUND(V96-V101,0)</f>
        <v>-244841</v>
      </c>
      <c r="W102"/>
      <c r="X102" s="279">
        <f>ROUND(X96-X101,0)</f>
        <v>-244841</v>
      </c>
      <c r="Y102" s="140"/>
    </row>
    <row r="103" spans="1:25" x14ac:dyDescent="0.35">
      <c r="A103" s="100"/>
      <c r="B103" s="100"/>
      <c r="C103" s="100"/>
      <c r="D103" s="100"/>
      <c r="G103" s="100"/>
      <c r="J103" s="100"/>
      <c r="M103" s="100"/>
      <c r="P103" s="100"/>
      <c r="S103" s="100"/>
      <c r="V103" s="100"/>
    </row>
    <row r="104" spans="1:25" x14ac:dyDescent="0.35">
      <c r="A104" s="155">
        <v>64</v>
      </c>
      <c r="B104" s="478" t="s">
        <v>202</v>
      </c>
      <c r="C104" s="478"/>
      <c r="D104" s="100"/>
      <c r="G104" s="172">
        <f>IFERROR(G92/SUM(J92,M92,P92,S92),"")</f>
        <v>0.31071506039731439</v>
      </c>
      <c r="H104" s="172" t="str">
        <f>IFERROR(H92/SUM(K92,N92,Q92,T92),"")</f>
        <v/>
      </c>
      <c r="I104" s="172">
        <f>IFERROR(I92/SUM(L92,O92,R92,U92),"")</f>
        <v>0.31071506039731439</v>
      </c>
      <c r="J104" s="100"/>
      <c r="M104" s="100"/>
      <c r="P104" s="100"/>
      <c r="S104" s="100"/>
      <c r="V104" s="100"/>
    </row>
  </sheetData>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77">
    <mergeCell ref="B10:C10"/>
    <mergeCell ref="B13:C13"/>
    <mergeCell ref="B14:C14"/>
    <mergeCell ref="B15:C15"/>
    <mergeCell ref="B16:C16"/>
    <mergeCell ref="B25:F25"/>
    <mergeCell ref="B28:F28"/>
    <mergeCell ref="B29:F29"/>
    <mergeCell ref="B30:F30"/>
    <mergeCell ref="B19:C19"/>
    <mergeCell ref="B20:C20"/>
    <mergeCell ref="B21:C21"/>
    <mergeCell ref="B24:F24"/>
    <mergeCell ref="B66:F66"/>
    <mergeCell ref="B67:F67"/>
    <mergeCell ref="B61:F61"/>
    <mergeCell ref="B62:F62"/>
    <mergeCell ref="B63:F63"/>
    <mergeCell ref="B64:F64"/>
    <mergeCell ref="B92:F92"/>
    <mergeCell ref="B89:F89"/>
    <mergeCell ref="B90:F90"/>
    <mergeCell ref="A81:X81"/>
    <mergeCell ref="B78:F78"/>
    <mergeCell ref="B79:F79"/>
    <mergeCell ref="B82:F82"/>
    <mergeCell ref="B84:F84"/>
    <mergeCell ref="B85:F85"/>
    <mergeCell ref="B86:F86"/>
    <mergeCell ref="B104:C104"/>
    <mergeCell ref="A12:X12"/>
    <mergeCell ref="A18:X18"/>
    <mergeCell ref="A23:X23"/>
    <mergeCell ref="A27:X27"/>
    <mergeCell ref="A35:X35"/>
    <mergeCell ref="A43:X43"/>
    <mergeCell ref="A53:X53"/>
    <mergeCell ref="A60:X60"/>
    <mergeCell ref="B98:C98"/>
    <mergeCell ref="B99:C99"/>
    <mergeCell ref="B101:C101"/>
    <mergeCell ref="B102:C102"/>
    <mergeCell ref="B96:F96"/>
    <mergeCell ref="B94:F94"/>
    <mergeCell ref="A88:X88"/>
    <mergeCell ref="B52:M52"/>
    <mergeCell ref="B50:F50"/>
    <mergeCell ref="B51:F51"/>
    <mergeCell ref="B39:F39"/>
    <mergeCell ref="B33:F33"/>
    <mergeCell ref="B48:F48"/>
    <mergeCell ref="B41:F41"/>
    <mergeCell ref="B36:F36"/>
    <mergeCell ref="B37:F37"/>
    <mergeCell ref="B38:F38"/>
    <mergeCell ref="B49:F49"/>
    <mergeCell ref="B31:F31"/>
    <mergeCell ref="B44:F44"/>
    <mergeCell ref="B45:F45"/>
    <mergeCell ref="B46:F46"/>
    <mergeCell ref="B47:F47"/>
    <mergeCell ref="B54:F54"/>
    <mergeCell ref="B55:F55"/>
    <mergeCell ref="B56:F56"/>
    <mergeCell ref="B57:F57"/>
    <mergeCell ref="B83:F83"/>
    <mergeCell ref="B68:F68"/>
    <mergeCell ref="B71:F71"/>
    <mergeCell ref="B72:F72"/>
    <mergeCell ref="B73:F73"/>
    <mergeCell ref="B74:F74"/>
    <mergeCell ref="B75:F75"/>
    <mergeCell ref="B76:F76"/>
    <mergeCell ref="B77:F77"/>
    <mergeCell ref="A70:X70"/>
    <mergeCell ref="B58:F58"/>
    <mergeCell ref="B65:F65"/>
  </mergeCells>
  <pageMargins left="0.7" right="0.7" top="0.75" bottom="0.75" header="0.3" footer="0.3"/>
  <pageSetup orientation="portrait" horizontalDpi="1200" verticalDpi="1200"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6"/>
  <dimension ref="A1:AA95"/>
  <sheetViews>
    <sheetView workbookViewId="0"/>
  </sheetViews>
  <sheetFormatPr defaultColWidth="9.1796875" defaultRowHeight="14.5" x14ac:dyDescent="0.35"/>
  <cols>
    <col min="1" max="1" width="6.81640625" customWidth="1"/>
    <col min="2" max="2" width="16" customWidth="1"/>
    <col min="3" max="3" width="29.1796875" customWidth="1"/>
    <col min="4" max="6" width="19" customWidth="1"/>
    <col min="7" max="11" width="21.1796875" customWidth="1"/>
    <col min="12" max="12" width="28.453125" customWidth="1"/>
    <col min="13" max="13" width="32.54296875" customWidth="1"/>
    <col min="14" max="14" width="37.453125" customWidth="1"/>
  </cols>
  <sheetData>
    <row r="1" spans="1:14" ht="26" x14ac:dyDescent="0.6">
      <c r="A1" s="3" t="s">
        <v>774</v>
      </c>
    </row>
    <row r="2" spans="1:14" ht="21" x14ac:dyDescent="0.5">
      <c r="A2" s="2" t="s">
        <v>772</v>
      </c>
    </row>
    <row r="3" spans="1:14" ht="25" customHeight="1" x14ac:dyDescent="0.5">
      <c r="A3" s="494" t="s">
        <v>597</v>
      </c>
      <c r="B3" s="494"/>
      <c r="C3" s="494"/>
      <c r="D3" s="494"/>
      <c r="E3" s="494"/>
      <c r="F3" s="494"/>
      <c r="G3" s="494"/>
      <c r="H3" s="494"/>
      <c r="I3" s="494"/>
      <c r="J3" s="494"/>
      <c r="K3" s="494"/>
      <c r="L3" s="494"/>
    </row>
    <row r="4" spans="1:14" x14ac:dyDescent="0.35">
      <c r="J4" s="61"/>
      <c r="L4" s="130"/>
      <c r="M4" s="130"/>
      <c r="N4" s="130"/>
    </row>
    <row r="5" spans="1:14" x14ac:dyDescent="0.35">
      <c r="A5" s="1" t="s">
        <v>773</v>
      </c>
      <c r="C5" s="421" t="str">
        <f>Results!$C$6</f>
        <v>Health Solutions</v>
      </c>
      <c r="J5" s="48"/>
      <c r="L5" s="40"/>
      <c r="M5" s="40"/>
      <c r="N5" s="40"/>
    </row>
    <row r="6" spans="1:14" x14ac:dyDescent="0.35">
      <c r="A6" s="1" t="s">
        <v>0</v>
      </c>
      <c r="C6" s="35">
        <f>Results!$C$7</f>
        <v>45473</v>
      </c>
      <c r="D6" s="35"/>
      <c r="E6" s="35"/>
      <c r="F6" s="35"/>
      <c r="G6" s="35"/>
      <c r="H6" s="35"/>
      <c r="I6" s="35"/>
      <c r="J6" s="60"/>
      <c r="L6" s="40"/>
      <c r="M6" s="40"/>
      <c r="N6" s="40"/>
    </row>
    <row r="7" spans="1:14" x14ac:dyDescent="0.35">
      <c r="D7" s="78" t="s">
        <v>594</v>
      </c>
      <c r="E7" s="309" t="s">
        <v>593</v>
      </c>
      <c r="J7" s="48"/>
      <c r="L7" s="40"/>
      <c r="M7" s="40"/>
      <c r="N7" s="40"/>
    </row>
    <row r="8" spans="1:14" x14ac:dyDescent="0.35">
      <c r="A8" s="1" t="s">
        <v>264</v>
      </c>
      <c r="D8" s="117">
        <f>'As-Filed Schedule 1A'!D8</f>
        <v>332850</v>
      </c>
      <c r="E8" s="310">
        <v>332850</v>
      </c>
      <c r="F8" s="78"/>
      <c r="G8" s="48"/>
      <c r="H8" s="48"/>
      <c r="I8" s="48"/>
      <c r="J8" s="48"/>
      <c r="L8" s="40"/>
      <c r="M8" s="40"/>
      <c r="N8" s="40"/>
    </row>
    <row r="9" spans="1:14" ht="6.75" customHeight="1" x14ac:dyDescent="0.35">
      <c r="J9" s="48"/>
      <c r="L9" s="40"/>
      <c r="M9" s="40"/>
      <c r="N9" s="40"/>
    </row>
    <row r="10" spans="1:14" x14ac:dyDescent="0.35">
      <c r="A10" s="1" t="s">
        <v>265</v>
      </c>
      <c r="D10" s="77" t="s">
        <v>266</v>
      </c>
      <c r="E10" s="78"/>
      <c r="F10" s="78"/>
      <c r="J10" s="48"/>
      <c r="L10" s="40"/>
      <c r="M10" s="40"/>
      <c r="N10" s="40"/>
    </row>
    <row r="11" spans="1:14" x14ac:dyDescent="0.35">
      <c r="A11" s="1"/>
      <c r="D11" s="78"/>
      <c r="E11" s="78"/>
      <c r="F11" s="78"/>
      <c r="J11" s="48"/>
      <c r="L11" s="131"/>
    </row>
    <row r="12" spans="1:14" x14ac:dyDescent="0.35">
      <c r="A12" s="1" t="s">
        <v>267</v>
      </c>
      <c r="D12" s="48"/>
      <c r="E12" s="48"/>
      <c r="F12" s="48"/>
      <c r="L12" s="131"/>
    </row>
    <row r="13" spans="1:14" ht="15" customHeight="1" x14ac:dyDescent="0.35">
      <c r="A13" s="495" t="s">
        <v>488</v>
      </c>
      <c r="B13" s="495"/>
      <c r="C13" s="495"/>
      <c r="D13" s="495"/>
      <c r="E13" s="495"/>
      <c r="F13" s="495"/>
      <c r="G13" s="495"/>
      <c r="H13" s="495"/>
      <c r="I13" s="495"/>
      <c r="J13" s="495"/>
      <c r="K13" s="495"/>
      <c r="L13" s="62"/>
    </row>
    <row r="14" spans="1:14" ht="15" customHeight="1" x14ac:dyDescent="0.35">
      <c r="A14" s="495"/>
      <c r="B14" s="495"/>
      <c r="C14" s="495"/>
      <c r="D14" s="495"/>
      <c r="E14" s="495"/>
      <c r="F14" s="495"/>
      <c r="G14" s="495"/>
      <c r="H14" s="495"/>
      <c r="I14" s="495"/>
      <c r="J14" s="495"/>
      <c r="K14" s="495"/>
      <c r="L14" s="62"/>
    </row>
    <row r="15" spans="1:14" ht="15" customHeight="1" x14ac:dyDescent="0.35">
      <c r="A15" s="495"/>
      <c r="B15" s="495"/>
      <c r="C15" s="495"/>
      <c r="D15" s="495"/>
      <c r="E15" s="495"/>
      <c r="F15" s="495"/>
      <c r="G15" s="495"/>
      <c r="H15" s="495"/>
      <c r="I15" s="495"/>
      <c r="J15" s="495"/>
      <c r="K15" s="495"/>
      <c r="L15" s="62"/>
    </row>
    <row r="16" spans="1:14" x14ac:dyDescent="0.35">
      <c r="A16" s="495"/>
      <c r="B16" s="495"/>
      <c r="C16" s="495"/>
      <c r="D16" s="495"/>
      <c r="E16" s="495"/>
      <c r="F16" s="495"/>
      <c r="G16" s="495"/>
      <c r="H16" s="495"/>
      <c r="I16" s="495"/>
      <c r="J16" s="495"/>
      <c r="K16" s="495"/>
    </row>
    <row r="17" spans="1:27" x14ac:dyDescent="0.35">
      <c r="A17" s="174"/>
      <c r="B17" s="174"/>
      <c r="C17" s="174"/>
      <c r="D17" s="174"/>
      <c r="E17" s="174"/>
      <c r="F17" s="174"/>
      <c r="G17" s="174"/>
      <c r="H17" s="174"/>
      <c r="I17" s="174"/>
      <c r="J17" s="174"/>
      <c r="K17" s="127"/>
    </row>
    <row r="18" spans="1:27" x14ac:dyDescent="0.35">
      <c r="A18" s="174"/>
      <c r="B18" s="496">
        <v>1</v>
      </c>
      <c r="C18" s="497"/>
      <c r="D18" s="175">
        <v>2</v>
      </c>
      <c r="E18" s="175">
        <v>3</v>
      </c>
      <c r="F18" s="175">
        <v>4</v>
      </c>
      <c r="G18" s="175">
        <v>5</v>
      </c>
      <c r="H18" s="256" t="s">
        <v>566</v>
      </c>
      <c r="I18" s="257" t="s">
        <v>567</v>
      </c>
      <c r="J18" s="175">
        <v>6</v>
      </c>
      <c r="K18" s="257" t="s">
        <v>571</v>
      </c>
    </row>
    <row r="19" spans="1:27" s="4" customFormat="1" ht="58" x14ac:dyDescent="0.35">
      <c r="A19" s="176"/>
      <c r="B19" s="498" t="s">
        <v>599</v>
      </c>
      <c r="C19" s="498"/>
      <c r="D19" s="151" t="s">
        <v>600</v>
      </c>
      <c r="E19" s="151" t="s">
        <v>603</v>
      </c>
      <c r="F19" s="151" t="s">
        <v>604</v>
      </c>
      <c r="G19" s="151" t="s">
        <v>489</v>
      </c>
      <c r="H19" s="258" t="s">
        <v>601</v>
      </c>
      <c r="I19" s="259" t="s">
        <v>602</v>
      </c>
      <c r="J19" s="151" t="s">
        <v>490</v>
      </c>
      <c r="K19" s="259" t="s">
        <v>595</v>
      </c>
    </row>
    <row r="20" spans="1:27" x14ac:dyDescent="0.35">
      <c r="A20" s="177">
        <v>1</v>
      </c>
      <c r="B20" s="493" t="str">
        <f>IF('As-Filed Schedule 1A'!B20:C20=0,"",'As-Filed Schedule 1A'!B20:C20)</f>
        <v>N/A</v>
      </c>
      <c r="C20" s="493"/>
      <c r="D20" s="178" t="str">
        <f>IF('As-Filed Schedule 1A'!D20=0,"",'As-Filed Schedule 1A'!D20)</f>
        <v/>
      </c>
      <c r="E20" s="179" t="str">
        <f>IF('As-Filed Schedule 1A'!E20=0,"",'As-Filed Schedule 1A'!E20)</f>
        <v/>
      </c>
      <c r="F20" s="179" t="str">
        <f>IF('As-Filed Schedule 1A'!F20=0,"",'As-Filed Schedule 1A'!F20)</f>
        <v/>
      </c>
      <c r="G20" s="180">
        <f>'As-Filed Schedule 1A'!G20</f>
        <v>0</v>
      </c>
      <c r="H20" s="314">
        <f>SUMIFS(Adjustments!$G:$G,Adjustments!$H:$H,"1A",Adjustments!$I:$I,'Schedule 1A Adjustments'!$G$18,Adjustments!$J:$J,'Schedule 1A Adjustments'!A20)</f>
        <v>0</v>
      </c>
      <c r="I20" s="310">
        <f>SUM(G20:H20)</f>
        <v>0</v>
      </c>
      <c r="J20" s="181">
        <f>IF(G20-$D$8&gt;0,G20-$D$8,0)</f>
        <v>0</v>
      </c>
      <c r="K20" s="181">
        <f>IF(I20-$E$8&gt;0,I20-$E$8,0)</f>
        <v>0</v>
      </c>
    </row>
    <row r="21" spans="1:27" x14ac:dyDescent="0.35">
      <c r="A21" s="177">
        <f>A20+1</f>
        <v>2</v>
      </c>
      <c r="B21" s="493" t="str">
        <f>IF('As-Filed Schedule 1A'!B21:C21=0,"",'As-Filed Schedule 1A'!B21:C21)</f>
        <v/>
      </c>
      <c r="C21" s="493"/>
      <c r="D21" s="178" t="str">
        <f>IF('As-Filed Schedule 1A'!D21=0,"",'As-Filed Schedule 1A'!D21)</f>
        <v/>
      </c>
      <c r="E21" s="179" t="str">
        <f>IF('As-Filed Schedule 1A'!E21=0,"",'As-Filed Schedule 1A'!E21)</f>
        <v/>
      </c>
      <c r="F21" s="179" t="str">
        <f>IF('As-Filed Schedule 1A'!F21=0,"",'As-Filed Schedule 1A'!F21)</f>
        <v/>
      </c>
      <c r="G21" s="180">
        <f>'As-Filed Schedule 1A'!G21</f>
        <v>0</v>
      </c>
      <c r="H21" s="314">
        <f>SUMIFS(Adjustments!$G:$G,Adjustments!$H:$H,"1A",Adjustments!$I:$I,'Schedule 1A Adjustments'!$G$18,Adjustments!$J:$J,'Schedule 1A Adjustments'!A21)</f>
        <v>0</v>
      </c>
      <c r="I21" s="310">
        <f t="shared" ref="I21:I24" si="0">SUM(G21:H21)</f>
        <v>0</v>
      </c>
      <c r="J21" s="181">
        <f>IF(G21-$D$8&gt;0,G21-$D$8,0)</f>
        <v>0</v>
      </c>
      <c r="K21" s="181">
        <f>IF(I21-$E$8&gt;0,I21-$E$8,0)</f>
        <v>0</v>
      </c>
    </row>
    <row r="22" spans="1:27" x14ac:dyDescent="0.35">
      <c r="A22" s="177">
        <f t="shared" ref="A22:A30" si="1">A21+1</f>
        <v>3</v>
      </c>
      <c r="B22" s="493" t="str">
        <f>IF('As-Filed Schedule 1A'!B22:C22=0,"",'As-Filed Schedule 1A'!B22:C22)</f>
        <v/>
      </c>
      <c r="C22" s="493"/>
      <c r="D22" s="178" t="str">
        <f>IF('As-Filed Schedule 1A'!D22=0,"",'As-Filed Schedule 1A'!D22)</f>
        <v/>
      </c>
      <c r="E22" s="179" t="str">
        <f>IF('As-Filed Schedule 1A'!E22=0,"",'As-Filed Schedule 1A'!E22)</f>
        <v/>
      </c>
      <c r="F22" s="179" t="str">
        <f>IF('As-Filed Schedule 1A'!F22=0,"",'As-Filed Schedule 1A'!F22)</f>
        <v/>
      </c>
      <c r="G22" s="180">
        <f>'As-Filed Schedule 1A'!G22</f>
        <v>0</v>
      </c>
      <c r="H22" s="314">
        <f>SUMIFS(Adjustments!$G:$G,Adjustments!$H:$H,"1A",Adjustments!$I:$I,'Schedule 1A Adjustments'!$G$18,Adjustments!$J:$J,'Schedule 1A Adjustments'!A22)</f>
        <v>0</v>
      </c>
      <c r="I22" s="310">
        <f t="shared" si="0"/>
        <v>0</v>
      </c>
      <c r="J22" s="181">
        <f>IF(G22-$D$8&gt;0,G22-$D$8,0)</f>
        <v>0</v>
      </c>
      <c r="K22" s="181">
        <f>IF(I22-$E$8&gt;0,I22-$E$8,0)</f>
        <v>0</v>
      </c>
    </row>
    <row r="23" spans="1:27" x14ac:dyDescent="0.35">
      <c r="A23" s="177">
        <f t="shared" si="1"/>
        <v>4</v>
      </c>
      <c r="B23" s="493" t="str">
        <f>IF('As-Filed Schedule 1A'!B23:C23=0,"",'As-Filed Schedule 1A'!B23:C23)</f>
        <v/>
      </c>
      <c r="C23" s="493"/>
      <c r="D23" s="178" t="str">
        <f>IF('As-Filed Schedule 1A'!D23=0,"",'As-Filed Schedule 1A'!D23)</f>
        <v/>
      </c>
      <c r="E23" s="179" t="str">
        <f>IF('As-Filed Schedule 1A'!E23=0,"",'As-Filed Schedule 1A'!E23)</f>
        <v/>
      </c>
      <c r="F23" s="179" t="str">
        <f>IF('As-Filed Schedule 1A'!F23=0,"",'As-Filed Schedule 1A'!F23)</f>
        <v/>
      </c>
      <c r="G23" s="180">
        <f>'As-Filed Schedule 1A'!G23</f>
        <v>0</v>
      </c>
      <c r="H23" s="314">
        <f>SUMIFS(Adjustments!$G:$G,Adjustments!$H:$H,"1A",Adjustments!$I:$I,'Schedule 1A Adjustments'!$G$18,Adjustments!$J:$J,'Schedule 1A Adjustments'!A23)</f>
        <v>0</v>
      </c>
      <c r="I23" s="310">
        <f t="shared" si="0"/>
        <v>0</v>
      </c>
      <c r="J23" s="181">
        <f>IF(G23-$D$8&gt;0,G23-$D$8,0)</f>
        <v>0</v>
      </c>
      <c r="K23" s="181">
        <f>IF(I23-$E$8&gt;0,I23-$E$8,0)</f>
        <v>0</v>
      </c>
    </row>
    <row r="24" spans="1:27" x14ac:dyDescent="0.35">
      <c r="A24" s="177">
        <f t="shared" si="1"/>
        <v>5</v>
      </c>
      <c r="B24" s="493" t="str">
        <f>IF('As-Filed Schedule 1A'!B24:C24=0,"",'As-Filed Schedule 1A'!B24:C24)</f>
        <v/>
      </c>
      <c r="C24" s="493"/>
      <c r="D24" s="178" t="str">
        <f>IF('As-Filed Schedule 1A'!D24=0,"",'As-Filed Schedule 1A'!D24)</f>
        <v/>
      </c>
      <c r="E24" s="179" t="str">
        <f>IF('As-Filed Schedule 1A'!E24=0,"",'As-Filed Schedule 1A'!E24)</f>
        <v/>
      </c>
      <c r="F24" s="179" t="str">
        <f>IF('As-Filed Schedule 1A'!F24=0,"",'As-Filed Schedule 1A'!F24)</f>
        <v/>
      </c>
      <c r="G24" s="180">
        <f>'As-Filed Schedule 1A'!G24</f>
        <v>0</v>
      </c>
      <c r="H24" s="314">
        <f>SUMIFS(Adjustments!$G:$G,Adjustments!$H:$H,"1A",Adjustments!$I:$I,'Schedule 1A Adjustments'!$G$18,Adjustments!$J:$J,'Schedule 1A Adjustments'!A24)</f>
        <v>0</v>
      </c>
      <c r="I24" s="310">
        <f t="shared" si="0"/>
        <v>0</v>
      </c>
      <c r="J24" s="181">
        <f>IF(G24-$D$8&gt;0,G24-$D$8,0)</f>
        <v>0</v>
      </c>
      <c r="K24" s="181">
        <f>IF(I24-$E$8&gt;0,I24-$E$8,0)</f>
        <v>0</v>
      </c>
    </row>
    <row r="25" spans="1:27" x14ac:dyDescent="0.35">
      <c r="A25" s="182">
        <f t="shared" si="1"/>
        <v>6</v>
      </c>
      <c r="B25" s="313" t="s">
        <v>598</v>
      </c>
      <c r="C25" s="100"/>
      <c r="D25" s="100"/>
      <c r="E25" s="100"/>
      <c r="F25" s="100"/>
      <c r="G25" s="100"/>
      <c r="H25" s="100"/>
      <c r="I25" s="100"/>
      <c r="J25" s="183">
        <f>SUM(J20:J24)</f>
        <v>0</v>
      </c>
      <c r="K25" s="183">
        <f>SUM(K20:K24)</f>
        <v>0</v>
      </c>
    </row>
    <row r="26" spans="1:27" x14ac:dyDescent="0.35">
      <c r="A26" s="100"/>
      <c r="B26" s="100"/>
      <c r="C26" s="100"/>
      <c r="D26" s="100"/>
      <c r="E26" s="100"/>
      <c r="F26" s="100"/>
      <c r="G26" s="100"/>
      <c r="H26" s="100"/>
      <c r="I26" s="100"/>
      <c r="J26" s="100"/>
      <c r="K26" s="100"/>
    </row>
    <row r="27" spans="1:27" x14ac:dyDescent="0.35">
      <c r="A27" s="182">
        <v>7</v>
      </c>
      <c r="B27" s="100"/>
      <c r="C27" s="100"/>
      <c r="D27" s="100"/>
      <c r="E27" s="100"/>
      <c r="F27" s="100"/>
      <c r="I27" s="184" t="s">
        <v>184</v>
      </c>
      <c r="J27" s="185">
        <f>SUMIF($D$20:$D$24,2,$J$20:$J$24)</f>
        <v>0</v>
      </c>
      <c r="K27" s="185">
        <f>SUMIF($D$20:$D$24,2,$K$20:$K$24)</f>
        <v>0</v>
      </c>
    </row>
    <row r="28" spans="1:27" x14ac:dyDescent="0.35">
      <c r="A28" s="182">
        <v>8</v>
      </c>
      <c r="B28" s="100"/>
      <c r="C28" s="100"/>
      <c r="D28" s="100"/>
      <c r="E28" s="100"/>
      <c r="F28" s="100"/>
      <c r="I28" s="184" t="s">
        <v>182</v>
      </c>
      <c r="J28" s="185">
        <f>SUMIF($D$20:$D$24,3,$J$20:$J$24)</f>
        <v>0</v>
      </c>
      <c r="K28" s="185">
        <f>SUMIF($D$20:$D$24,3,$K$20:$K$24)</f>
        <v>0</v>
      </c>
    </row>
    <row r="29" spans="1:27" x14ac:dyDescent="0.35">
      <c r="A29" s="182">
        <v>9</v>
      </c>
      <c r="B29" s="100"/>
      <c r="C29" s="100"/>
      <c r="D29" s="100"/>
      <c r="E29" s="100"/>
      <c r="F29" s="100"/>
      <c r="I29" s="184" t="s">
        <v>183</v>
      </c>
      <c r="J29" s="185">
        <f>SUMIF($D$20:$D$24,4,$J$20:$J$24)</f>
        <v>0</v>
      </c>
      <c r="K29" s="185">
        <f>SUMIF($D$20:$D$24,4,$K$20:$K$24)</f>
        <v>0</v>
      </c>
    </row>
    <row r="30" spans="1:27" x14ac:dyDescent="0.35">
      <c r="A30" s="182">
        <f t="shared" si="1"/>
        <v>10</v>
      </c>
      <c r="B30" s="100"/>
      <c r="C30" s="100"/>
      <c r="D30" s="100"/>
      <c r="E30" s="100"/>
      <c r="F30" s="100"/>
      <c r="I30" s="184" t="s">
        <v>185</v>
      </c>
      <c r="J30" s="185">
        <f>SUMIF($D$20:$D$24,5,$J$20:$J$24)</f>
        <v>0</v>
      </c>
      <c r="K30" s="185">
        <f>SUMIF($D$20:$D$24,5,$K$20:$K$24)</f>
        <v>0</v>
      </c>
    </row>
    <row r="31" spans="1:27" x14ac:dyDescent="0.35">
      <c r="A31" s="100"/>
      <c r="B31" s="100"/>
      <c r="C31" s="100"/>
      <c r="D31" s="100"/>
      <c r="E31" s="100"/>
      <c r="F31" s="100"/>
      <c r="G31" s="100"/>
      <c r="H31" s="100"/>
      <c r="I31" s="100"/>
      <c r="J31" s="186" t="str">
        <f>IF(SUM(J27:J30)&lt;&gt;J25,"error","")</f>
        <v/>
      </c>
    </row>
    <row r="32" spans="1:27" ht="15.65" customHeight="1" x14ac:dyDescent="0.35">
      <c r="A32" s="100"/>
      <c r="B32" s="187"/>
      <c r="C32" s="187"/>
      <c r="D32" s="187"/>
      <c r="E32" s="187"/>
      <c r="F32" s="187"/>
      <c r="G32" s="187"/>
      <c r="H32" s="187"/>
      <c r="I32" s="187"/>
      <c r="J32" s="188" t="s">
        <v>269</v>
      </c>
      <c r="K32" s="80"/>
      <c r="L32" s="80"/>
      <c r="M32" s="64"/>
      <c r="W32" s="65"/>
      <c r="X32" s="65"/>
      <c r="Y32" s="65"/>
      <c r="Z32" s="65"/>
      <c r="AA32" s="65"/>
    </row>
    <row r="33" spans="1:10" x14ac:dyDescent="0.35">
      <c r="A33" s="100"/>
      <c r="B33" s="100"/>
      <c r="C33" s="100"/>
      <c r="D33" s="100"/>
      <c r="E33" s="100"/>
      <c r="F33" s="100"/>
      <c r="G33" s="100"/>
      <c r="H33" s="100"/>
      <c r="I33" s="100"/>
      <c r="J33" s="100"/>
    </row>
    <row r="34" spans="1:10" x14ac:dyDescent="0.35">
      <c r="A34" s="100"/>
      <c r="B34" s="100"/>
      <c r="C34" s="100"/>
      <c r="D34" s="100"/>
      <c r="E34" s="100"/>
      <c r="F34" s="100"/>
      <c r="G34" s="100"/>
      <c r="H34" s="100"/>
      <c r="I34" s="100"/>
      <c r="J34" s="100"/>
    </row>
    <row r="35" spans="1:10" x14ac:dyDescent="0.35">
      <c r="A35" s="100"/>
      <c r="B35" s="100"/>
      <c r="C35" s="100"/>
      <c r="D35" s="100"/>
      <c r="E35" s="100"/>
      <c r="F35" s="100"/>
      <c r="G35" s="100"/>
      <c r="H35" s="100"/>
      <c r="I35" s="100"/>
      <c r="J35" s="100"/>
    </row>
    <row r="36" spans="1:10" x14ac:dyDescent="0.35">
      <c r="A36" s="100"/>
      <c r="B36" s="100"/>
      <c r="C36" s="100"/>
      <c r="D36" s="100"/>
      <c r="E36" s="100"/>
      <c r="F36" s="100"/>
      <c r="G36" s="100"/>
      <c r="H36" s="100"/>
      <c r="I36" s="100"/>
      <c r="J36" s="100"/>
    </row>
    <row r="37" spans="1:10" x14ac:dyDescent="0.35">
      <c r="A37" s="100"/>
      <c r="B37" s="100"/>
      <c r="C37" s="100"/>
      <c r="D37" s="100"/>
      <c r="E37" s="100"/>
      <c r="F37" s="100"/>
      <c r="G37" s="100"/>
      <c r="H37" s="100"/>
      <c r="I37" s="100"/>
      <c r="J37" s="100"/>
    </row>
    <row r="38" spans="1:10" x14ac:dyDescent="0.35">
      <c r="A38" s="100"/>
      <c r="B38" s="100"/>
      <c r="C38" s="100"/>
      <c r="D38" s="100"/>
      <c r="E38" s="100"/>
      <c r="F38" s="100"/>
      <c r="G38" s="100"/>
      <c r="H38" s="100"/>
      <c r="I38" s="100"/>
      <c r="J38" s="100"/>
    </row>
    <row r="39" spans="1:10" x14ac:dyDescent="0.35">
      <c r="A39" s="100"/>
      <c r="B39" s="100"/>
      <c r="C39" s="100"/>
      <c r="D39" s="100"/>
      <c r="E39" s="100"/>
      <c r="F39" s="100"/>
      <c r="G39" s="100"/>
      <c r="H39" s="100"/>
      <c r="I39" s="100"/>
      <c r="J39" s="100"/>
    </row>
    <row r="40" spans="1:10" x14ac:dyDescent="0.35">
      <c r="A40" s="100"/>
      <c r="B40" s="100"/>
      <c r="C40" s="100"/>
      <c r="D40" s="100"/>
      <c r="E40" s="100"/>
      <c r="F40" s="100"/>
      <c r="G40" s="100"/>
      <c r="H40" s="100"/>
      <c r="I40" s="100"/>
      <c r="J40" s="100"/>
    </row>
    <row r="41" spans="1:10" x14ac:dyDescent="0.35">
      <c r="A41" s="100"/>
      <c r="B41" s="100"/>
      <c r="C41" s="100"/>
      <c r="D41" s="100"/>
      <c r="E41" s="100"/>
      <c r="F41" s="100"/>
      <c r="G41" s="100"/>
      <c r="H41" s="100"/>
      <c r="I41" s="100"/>
      <c r="J41" s="100"/>
    </row>
    <row r="42" spans="1:10" x14ac:dyDescent="0.35">
      <c r="A42" s="100"/>
      <c r="B42" s="100"/>
      <c r="C42" s="100"/>
      <c r="D42" s="100"/>
      <c r="E42" s="100"/>
      <c r="F42" s="100"/>
      <c r="G42" s="100"/>
      <c r="H42" s="100"/>
      <c r="I42" s="100"/>
      <c r="J42" s="100"/>
    </row>
    <row r="43" spans="1:10" x14ac:dyDescent="0.35">
      <c r="A43" s="100"/>
      <c r="B43" s="100"/>
      <c r="C43" s="100"/>
      <c r="D43" s="100"/>
      <c r="E43" s="100"/>
      <c r="F43" s="100"/>
      <c r="G43" s="100"/>
      <c r="H43" s="100"/>
      <c r="I43" s="100"/>
      <c r="J43" s="100"/>
    </row>
    <row r="44" spans="1:10" x14ac:dyDescent="0.35">
      <c r="A44" s="100"/>
      <c r="B44" s="100"/>
      <c r="C44" s="100"/>
      <c r="D44" s="100"/>
      <c r="E44" s="100"/>
      <c r="F44" s="100"/>
      <c r="G44" s="100"/>
      <c r="H44" s="100"/>
      <c r="I44" s="100"/>
      <c r="J44" s="100"/>
    </row>
    <row r="45" spans="1:10" x14ac:dyDescent="0.35">
      <c r="A45" s="100"/>
      <c r="B45" s="100"/>
      <c r="C45" s="100"/>
      <c r="D45" s="100"/>
      <c r="E45" s="100"/>
      <c r="F45" s="100"/>
      <c r="G45" s="100"/>
      <c r="H45" s="100"/>
      <c r="I45" s="100"/>
      <c r="J45" s="100"/>
    </row>
    <row r="46" spans="1:10" x14ac:dyDescent="0.35">
      <c r="A46" s="100"/>
      <c r="B46" s="100"/>
      <c r="C46" s="100"/>
      <c r="D46" s="100"/>
      <c r="E46" s="100"/>
      <c r="F46" s="100"/>
      <c r="G46" s="100"/>
      <c r="H46" s="100"/>
      <c r="I46" s="100"/>
      <c r="J46" s="100"/>
    </row>
    <row r="47" spans="1:10" x14ac:dyDescent="0.35">
      <c r="A47" s="100"/>
      <c r="B47" s="100"/>
      <c r="C47" s="100"/>
      <c r="D47" s="100"/>
      <c r="E47" s="100"/>
      <c r="F47" s="100"/>
      <c r="G47" s="100"/>
      <c r="H47" s="100"/>
      <c r="I47" s="100"/>
      <c r="J47" s="100"/>
    </row>
    <row r="48" spans="1:10" x14ac:dyDescent="0.35">
      <c r="A48" s="100"/>
      <c r="B48" s="100"/>
      <c r="C48" s="100"/>
      <c r="D48" s="100"/>
      <c r="E48" s="100"/>
      <c r="F48" s="100"/>
      <c r="G48" s="100"/>
      <c r="H48" s="100"/>
      <c r="I48" s="100"/>
      <c r="J48" s="100"/>
    </row>
    <row r="49" spans="1:10" x14ac:dyDescent="0.35">
      <c r="A49" s="100"/>
      <c r="B49" s="100"/>
      <c r="C49" s="100"/>
      <c r="D49" s="100"/>
      <c r="E49" s="100"/>
      <c r="F49" s="100"/>
      <c r="G49" s="100"/>
      <c r="H49" s="100"/>
      <c r="I49" s="100"/>
      <c r="J49" s="100"/>
    </row>
    <row r="50" spans="1:10" x14ac:dyDescent="0.35">
      <c r="A50" s="100"/>
      <c r="B50" s="100"/>
      <c r="C50" s="100"/>
      <c r="D50" s="100"/>
      <c r="E50" s="100"/>
      <c r="F50" s="100"/>
      <c r="G50" s="100"/>
      <c r="H50" s="100"/>
      <c r="I50" s="100"/>
      <c r="J50" s="100"/>
    </row>
    <row r="51" spans="1:10" x14ac:dyDescent="0.35">
      <c r="A51" s="100"/>
      <c r="B51" s="100"/>
      <c r="C51" s="100"/>
      <c r="D51" s="100"/>
      <c r="E51" s="100"/>
      <c r="F51" s="100"/>
      <c r="G51" s="100"/>
      <c r="H51" s="100"/>
      <c r="I51" s="100"/>
      <c r="J51" s="100"/>
    </row>
    <row r="52" spans="1:10" x14ac:dyDescent="0.35">
      <c r="A52" s="100"/>
      <c r="B52" s="100"/>
      <c r="C52" s="100"/>
      <c r="D52" s="100"/>
      <c r="E52" s="100"/>
      <c r="F52" s="100"/>
      <c r="G52" s="100"/>
      <c r="H52" s="100"/>
      <c r="I52" s="100"/>
      <c r="J52" s="100"/>
    </row>
    <row r="53" spans="1:10" x14ac:dyDescent="0.35">
      <c r="A53" s="100"/>
      <c r="B53" s="100"/>
      <c r="C53" s="100"/>
      <c r="D53" s="100"/>
      <c r="E53" s="100"/>
      <c r="F53" s="100"/>
      <c r="G53" s="100"/>
      <c r="H53" s="100"/>
      <c r="I53" s="100"/>
      <c r="J53" s="100"/>
    </row>
    <row r="54" spans="1:10" x14ac:dyDescent="0.35">
      <c r="A54" s="100"/>
      <c r="B54" s="100"/>
      <c r="C54" s="100"/>
      <c r="D54" s="100"/>
      <c r="E54" s="100"/>
      <c r="F54" s="100"/>
      <c r="G54" s="100"/>
      <c r="H54" s="100"/>
      <c r="I54" s="100"/>
      <c r="J54" s="100"/>
    </row>
    <row r="55" spans="1:10" x14ac:dyDescent="0.35">
      <c r="A55" s="100"/>
      <c r="B55" s="100"/>
      <c r="C55" s="100"/>
      <c r="D55" s="100"/>
      <c r="E55" s="100"/>
      <c r="F55" s="100"/>
      <c r="G55" s="100"/>
      <c r="H55" s="100"/>
      <c r="I55" s="100"/>
      <c r="J55" s="100"/>
    </row>
    <row r="56" spans="1:10" x14ac:dyDescent="0.35">
      <c r="A56" s="100"/>
      <c r="B56" s="100"/>
      <c r="C56" s="100"/>
      <c r="D56" s="100"/>
      <c r="E56" s="100"/>
      <c r="F56" s="100"/>
      <c r="G56" s="100"/>
      <c r="H56" s="100"/>
      <c r="I56" s="100"/>
      <c r="J56" s="100"/>
    </row>
    <row r="57" spans="1:10" x14ac:dyDescent="0.35">
      <c r="A57" s="100"/>
      <c r="B57" s="100"/>
      <c r="C57" s="100"/>
      <c r="D57" s="100"/>
      <c r="E57" s="100"/>
      <c r="F57" s="100"/>
      <c r="G57" s="100"/>
      <c r="H57" s="100"/>
      <c r="I57" s="100"/>
      <c r="J57" s="100"/>
    </row>
    <row r="58" spans="1:10" x14ac:dyDescent="0.35">
      <c r="A58" s="100"/>
      <c r="B58" s="100"/>
      <c r="C58" s="100"/>
      <c r="D58" s="100"/>
      <c r="E58" s="100"/>
      <c r="F58" s="100"/>
      <c r="G58" s="100"/>
      <c r="H58" s="100"/>
      <c r="I58" s="100"/>
      <c r="J58" s="100"/>
    </row>
    <row r="59" spans="1:10" x14ac:dyDescent="0.35">
      <c r="A59" s="100"/>
      <c r="B59" s="100"/>
      <c r="C59" s="100"/>
      <c r="D59" s="100"/>
      <c r="E59" s="100"/>
      <c r="F59" s="100"/>
      <c r="G59" s="100"/>
      <c r="H59" s="100"/>
      <c r="I59" s="100"/>
      <c r="J59" s="100"/>
    </row>
    <row r="60" spans="1:10" x14ac:dyDescent="0.35">
      <c r="A60" s="100"/>
      <c r="B60" s="100"/>
      <c r="C60" s="100"/>
      <c r="D60" s="100"/>
      <c r="E60" s="100"/>
      <c r="F60" s="100"/>
      <c r="G60" s="100"/>
      <c r="H60" s="100"/>
      <c r="I60" s="100"/>
      <c r="J60" s="100"/>
    </row>
    <row r="61" spans="1:10" x14ac:dyDescent="0.35">
      <c r="A61" s="100"/>
      <c r="B61" s="100"/>
      <c r="C61" s="100"/>
      <c r="D61" s="100"/>
      <c r="E61" s="100"/>
      <c r="F61" s="100"/>
      <c r="G61" s="100"/>
      <c r="H61" s="100"/>
      <c r="I61" s="100"/>
      <c r="J61" s="100"/>
    </row>
    <row r="62" spans="1:10" x14ac:dyDescent="0.35">
      <c r="A62" s="100"/>
      <c r="B62" s="100"/>
      <c r="C62" s="100"/>
      <c r="D62" s="100"/>
      <c r="E62" s="100"/>
      <c r="F62" s="100"/>
      <c r="G62" s="100"/>
      <c r="H62" s="100"/>
      <c r="I62" s="100"/>
      <c r="J62" s="100"/>
    </row>
    <row r="63" spans="1:10" x14ac:dyDescent="0.35">
      <c r="A63" s="100"/>
      <c r="B63" s="100"/>
      <c r="C63" s="100"/>
      <c r="D63" s="100"/>
      <c r="E63" s="100"/>
      <c r="F63" s="100"/>
      <c r="G63" s="100"/>
      <c r="H63" s="100"/>
      <c r="I63" s="100"/>
      <c r="J63" s="100"/>
    </row>
    <row r="64" spans="1:10" x14ac:dyDescent="0.35">
      <c r="A64" s="100"/>
      <c r="B64" s="100"/>
      <c r="C64" s="100"/>
      <c r="D64" s="100"/>
      <c r="E64" s="100"/>
      <c r="F64" s="100"/>
      <c r="G64" s="100"/>
      <c r="H64" s="100"/>
      <c r="I64" s="100"/>
      <c r="J64" s="100"/>
    </row>
    <row r="65" spans="1:10" x14ac:dyDescent="0.35">
      <c r="A65" s="100"/>
      <c r="B65" s="100"/>
      <c r="C65" s="100"/>
      <c r="D65" s="100"/>
      <c r="E65" s="100"/>
      <c r="F65" s="100"/>
      <c r="G65" s="100"/>
      <c r="H65" s="100"/>
      <c r="I65" s="100"/>
      <c r="J65" s="100"/>
    </row>
    <row r="66" spans="1:10" x14ac:dyDescent="0.35">
      <c r="A66" s="100"/>
      <c r="B66" s="100"/>
      <c r="C66" s="100"/>
      <c r="D66" s="100"/>
      <c r="E66" s="100"/>
      <c r="F66" s="100"/>
      <c r="G66" s="100"/>
      <c r="H66" s="100"/>
      <c r="I66" s="100"/>
      <c r="J66" s="100"/>
    </row>
    <row r="67" spans="1:10" x14ac:dyDescent="0.35">
      <c r="A67" s="100"/>
      <c r="B67" s="100"/>
      <c r="C67" s="100"/>
      <c r="D67" s="100"/>
      <c r="E67" s="100"/>
      <c r="F67" s="100"/>
      <c r="G67" s="100"/>
      <c r="H67" s="100"/>
      <c r="I67" s="100"/>
      <c r="J67" s="100"/>
    </row>
    <row r="92" spans="4:4" hidden="1" x14ac:dyDescent="0.35">
      <c r="D92">
        <v>2</v>
      </c>
    </row>
    <row r="93" spans="4:4" hidden="1" x14ac:dyDescent="0.35">
      <c r="D93">
        <v>3</v>
      </c>
    </row>
    <row r="94" spans="4:4" hidden="1" x14ac:dyDescent="0.35">
      <c r="D94">
        <v>4</v>
      </c>
    </row>
    <row r="95" spans="4:4" hidden="1" x14ac:dyDescent="0.35">
      <c r="D95">
        <v>5</v>
      </c>
    </row>
  </sheetData>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9">
    <mergeCell ref="B22:C22"/>
    <mergeCell ref="B23:C23"/>
    <mergeCell ref="B24:C24"/>
    <mergeCell ref="A13:K16"/>
    <mergeCell ref="A3:L3"/>
    <mergeCell ref="B18:C18"/>
    <mergeCell ref="B19:C19"/>
    <mergeCell ref="B20:C20"/>
    <mergeCell ref="B21:C21"/>
  </mergeCells>
  <pageMargins left="0.7" right="0.7" top="0.75" bottom="0.75" header="0.3" footer="0.3"/>
  <pageSetup orientation="portrait" horizontalDpi="1200" verticalDpi="1200"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7"/>
  <dimension ref="A1:AC99"/>
  <sheetViews>
    <sheetView workbookViewId="0"/>
  </sheetViews>
  <sheetFormatPr defaultColWidth="9.1796875" defaultRowHeight="14.5" x14ac:dyDescent="0.35"/>
  <cols>
    <col min="1" max="1" width="6.54296875" customWidth="1"/>
    <col min="2" max="2" width="18.453125" customWidth="1"/>
    <col min="3" max="3" width="13" customWidth="1"/>
    <col min="4" max="12" width="20.26953125" customWidth="1"/>
    <col min="13" max="13" width="20.81640625" style="69" customWidth="1"/>
    <col min="14" max="14" width="36.7265625" customWidth="1"/>
    <col min="16" max="16" width="43.81640625" customWidth="1"/>
    <col min="17" max="18" width="32.7265625" customWidth="1"/>
  </cols>
  <sheetData>
    <row r="1" spans="1:29" ht="26" x14ac:dyDescent="0.6">
      <c r="A1" s="3" t="s">
        <v>774</v>
      </c>
      <c r="B1" s="3"/>
      <c r="C1" s="3"/>
    </row>
    <row r="2" spans="1:29" ht="21" x14ac:dyDescent="0.5">
      <c r="A2" s="2" t="s">
        <v>772</v>
      </c>
      <c r="B2" s="2"/>
      <c r="C2" s="2"/>
    </row>
    <row r="3" spans="1:29" ht="25" customHeight="1" x14ac:dyDescent="0.5">
      <c r="A3" s="5" t="s">
        <v>757</v>
      </c>
    </row>
    <row r="5" spans="1:29" x14ac:dyDescent="0.35">
      <c r="A5" s="1" t="s">
        <v>773</v>
      </c>
      <c r="C5" s="421" t="str">
        <f>Results!$C$6</f>
        <v>Health Solutions</v>
      </c>
      <c r="D5" s="241"/>
      <c r="E5" s="241"/>
      <c r="F5" s="241"/>
    </row>
    <row r="6" spans="1:29" x14ac:dyDescent="0.35">
      <c r="A6" s="1" t="s">
        <v>0</v>
      </c>
      <c r="C6" s="35">
        <f>Results!$C$7</f>
        <v>45473</v>
      </c>
      <c r="D6" s="35"/>
      <c r="E6" s="35"/>
      <c r="F6" s="35"/>
      <c r="G6" s="56"/>
      <c r="H6" s="56"/>
      <c r="I6" s="56"/>
      <c r="L6" s="40"/>
      <c r="P6" s="130"/>
      <c r="Q6" s="130"/>
      <c r="R6" s="130"/>
    </row>
    <row r="7" spans="1:29" x14ac:dyDescent="0.35">
      <c r="L7" s="40"/>
      <c r="P7" s="40"/>
      <c r="Q7" s="40"/>
      <c r="R7" s="40"/>
    </row>
    <row r="8" spans="1:29" x14ac:dyDescent="0.35">
      <c r="A8" s="1" t="s">
        <v>272</v>
      </c>
      <c r="L8" s="40"/>
      <c r="P8" s="40"/>
      <c r="Q8" s="40"/>
      <c r="R8" s="40"/>
    </row>
    <row r="9" spans="1:29" ht="15" customHeight="1" x14ac:dyDescent="0.35">
      <c r="A9" s="502" t="s">
        <v>922</v>
      </c>
      <c r="B9" s="502"/>
      <c r="C9" s="502"/>
      <c r="D9" s="502"/>
      <c r="E9" s="502"/>
      <c r="F9" s="502"/>
      <c r="G9" s="502"/>
      <c r="H9" s="502"/>
      <c r="I9" s="502"/>
      <c r="J9" s="502"/>
      <c r="K9" s="502"/>
      <c r="L9" s="502"/>
      <c r="M9" s="502"/>
      <c r="N9" s="502"/>
      <c r="O9" s="64"/>
      <c r="P9" s="40"/>
      <c r="Q9" s="40"/>
      <c r="R9" s="40"/>
      <c r="Y9" s="65"/>
      <c r="Z9" s="65"/>
      <c r="AA9" s="65"/>
      <c r="AB9" s="65"/>
      <c r="AC9" s="65"/>
    </row>
    <row r="10" spans="1:29" ht="15" customHeight="1" x14ac:dyDescent="0.35">
      <c r="A10" s="502"/>
      <c r="B10" s="502"/>
      <c r="C10" s="502"/>
      <c r="D10" s="502"/>
      <c r="E10" s="502"/>
      <c r="F10" s="502"/>
      <c r="G10" s="502"/>
      <c r="H10" s="502"/>
      <c r="I10" s="502"/>
      <c r="J10" s="502"/>
      <c r="K10" s="502"/>
      <c r="L10" s="502"/>
      <c r="M10" s="502"/>
      <c r="N10" s="502"/>
      <c r="O10" s="64"/>
      <c r="P10" s="40"/>
      <c r="Q10" s="40"/>
      <c r="R10" s="40"/>
      <c r="Y10" s="65"/>
      <c r="Z10" s="65"/>
      <c r="AA10" s="65"/>
      <c r="AB10" s="65"/>
      <c r="AC10" s="65"/>
    </row>
    <row r="11" spans="1:29" x14ac:dyDescent="0.35">
      <c r="A11" s="502"/>
      <c r="B11" s="502"/>
      <c r="C11" s="502"/>
      <c r="D11" s="502"/>
      <c r="E11" s="502"/>
      <c r="F11" s="502"/>
      <c r="G11" s="502"/>
      <c r="H11" s="502"/>
      <c r="I11" s="502"/>
      <c r="J11" s="502"/>
      <c r="K11" s="502"/>
      <c r="L11" s="502"/>
      <c r="M11" s="502"/>
      <c r="N11" s="502"/>
      <c r="O11" s="64"/>
      <c r="Y11" s="65"/>
      <c r="Z11" s="65"/>
      <c r="AA11" s="65"/>
      <c r="AB11" s="65"/>
      <c r="AC11" s="65"/>
    </row>
    <row r="12" spans="1:29" x14ac:dyDescent="0.35">
      <c r="A12" s="189"/>
      <c r="B12" s="189"/>
      <c r="C12" s="189"/>
      <c r="D12" s="189"/>
      <c r="E12" s="189"/>
      <c r="F12" s="189"/>
      <c r="G12" s="189"/>
      <c r="H12" s="189"/>
      <c r="I12" s="189"/>
      <c r="J12" s="189"/>
      <c r="K12" s="189"/>
      <c r="L12" s="189"/>
      <c r="M12" s="189"/>
      <c r="N12" s="189"/>
      <c r="O12" s="64"/>
      <c r="Y12" s="65"/>
      <c r="Z12" s="65"/>
      <c r="AA12" s="65"/>
      <c r="AB12" s="65"/>
      <c r="AC12" s="65"/>
    </row>
    <row r="13" spans="1:29" ht="15" customHeight="1" x14ac:dyDescent="0.35">
      <c r="A13" s="190"/>
      <c r="B13" s="503">
        <v>1</v>
      </c>
      <c r="C13" s="503"/>
      <c r="D13" s="175">
        <v>2</v>
      </c>
      <c r="E13" s="256" t="s">
        <v>556</v>
      </c>
      <c r="F13" s="257" t="s">
        <v>557</v>
      </c>
      <c r="G13" s="175">
        <v>3</v>
      </c>
      <c r="H13" s="256" t="s">
        <v>560</v>
      </c>
      <c r="I13" s="257" t="s">
        <v>561</v>
      </c>
      <c r="J13" s="175">
        <v>4</v>
      </c>
      <c r="K13" s="257" t="s">
        <v>565</v>
      </c>
      <c r="L13" s="175">
        <v>5</v>
      </c>
      <c r="M13" s="175">
        <v>6</v>
      </c>
      <c r="N13" s="175">
        <v>7</v>
      </c>
      <c r="O13" s="64"/>
      <c r="Y13" s="65"/>
      <c r="Z13" s="65"/>
      <c r="AA13" s="65"/>
      <c r="AB13" s="65"/>
      <c r="AC13" s="65"/>
    </row>
    <row r="14" spans="1:29" s="4" customFormat="1" ht="72.5" x14ac:dyDescent="0.35">
      <c r="A14" s="191"/>
      <c r="B14" s="498" t="s">
        <v>606</v>
      </c>
      <c r="C14" s="504"/>
      <c r="D14" s="151" t="s">
        <v>781</v>
      </c>
      <c r="E14" s="258" t="s">
        <v>782</v>
      </c>
      <c r="F14" s="259" t="s">
        <v>783</v>
      </c>
      <c r="G14" s="192" t="s">
        <v>263</v>
      </c>
      <c r="H14" s="308" t="s">
        <v>605</v>
      </c>
      <c r="I14" s="316" t="s">
        <v>592</v>
      </c>
      <c r="J14" s="151" t="s">
        <v>785</v>
      </c>
      <c r="K14" s="259" t="s">
        <v>786</v>
      </c>
      <c r="L14" s="193" t="s">
        <v>600</v>
      </c>
      <c r="M14" s="192" t="s">
        <v>607</v>
      </c>
      <c r="N14" s="151" t="s">
        <v>608</v>
      </c>
      <c r="O14" s="66"/>
      <c r="Y14" s="67"/>
      <c r="Z14" s="67"/>
      <c r="AA14" s="67"/>
      <c r="AB14" s="67"/>
      <c r="AC14" s="67"/>
    </row>
    <row r="15" spans="1:29" s="4" customFormat="1" ht="15" customHeight="1" x14ac:dyDescent="0.35">
      <c r="A15" s="182">
        <v>1</v>
      </c>
      <c r="B15" s="493" t="str">
        <f>IF('As-Filed Schedule 1C'!B15:C15=0,"",'As-Filed Schedule 1C'!B15:C15)</f>
        <v>Intercompany rents</v>
      </c>
      <c r="C15" s="493"/>
      <c r="D15" s="180">
        <f>'As-Filed Schedule 1C'!D15</f>
        <v>892104</v>
      </c>
      <c r="E15" s="314">
        <f>SUMIFS(Adjustments!$G:$G,Adjustments!$H:$H,"1C",Adjustments!$I:$I,'Schedule 1C Adjustments'!$D$13,Adjustments!$J:$J,'Schedule 1C Adjustments'!A15)</f>
        <v>0</v>
      </c>
      <c r="F15" s="310">
        <f>SUM(D15:E15)</f>
        <v>892104</v>
      </c>
      <c r="G15" s="180">
        <f>'As-Filed Schedule 1C'!E15</f>
        <v>811686.14557370916</v>
      </c>
      <c r="H15" s="314">
        <f>SUMIFS(Adjustments!$G:$G,Adjustments!$H:$H,"1C",Adjustments!$I:$I,'Schedule 1C Adjustments'!$G$13,Adjustments!$J:$J,'Schedule 1C Adjustments'!A15)</f>
        <v>0</v>
      </c>
      <c r="I15" s="310">
        <f>SUM(G15:H15)</f>
        <v>811686.14557370916</v>
      </c>
      <c r="J15" s="194">
        <f>IF(D15-G15&lt;0,0,D15-G15)</f>
        <v>80417.85442629084</v>
      </c>
      <c r="K15" s="194">
        <f>IF(F15-I15&lt;0,0,F15-I15)</f>
        <v>80417.85442629084</v>
      </c>
      <c r="L15" s="195">
        <f>IF('As-Filed Schedule 1C'!G15=0,"",'As-Filed Schedule 1C'!G15)</f>
        <v>2</v>
      </c>
      <c r="M15" s="178" t="str">
        <f>IF('As-Filed Schedule 1C'!H15=0,"",'As-Filed Schedule 1C'!H15)</f>
        <v>5322 - Montebello building</v>
      </c>
      <c r="N15" s="196" t="str">
        <f>IF('As-Filed Schedule 1C'!I15=0,"",'As-Filed Schedule 1C'!I15)</f>
        <v>Spanish Peaks Asset Management LLC</v>
      </c>
      <c r="O15" s="66"/>
      <c r="Y15" s="67"/>
      <c r="Z15" s="67"/>
      <c r="AA15" s="67"/>
      <c r="AB15" s="67"/>
      <c r="AC15" s="67"/>
    </row>
    <row r="16" spans="1:29" s="4" customFormat="1" ht="15" customHeight="1" x14ac:dyDescent="0.35">
      <c r="A16" s="182">
        <f>A15+1</f>
        <v>2</v>
      </c>
      <c r="B16" s="493" t="str">
        <f>IF('As-Filed Schedule 1C'!B16:C16=0,"",'As-Filed Schedule 1C'!B16:C16)</f>
        <v>Intercompany rents</v>
      </c>
      <c r="C16" s="493"/>
      <c r="D16" s="180">
        <f>'As-Filed Schedule 1C'!D16</f>
        <v>465948</v>
      </c>
      <c r="E16" s="314">
        <f>SUMIFS(Adjustments!$G:$G,Adjustments!$H:$H,"1C",Adjustments!$I:$I,'Schedule 1C Adjustments'!$D$13,Adjustments!$J:$J,'Schedule 1C Adjustments'!A16)</f>
        <v>0</v>
      </c>
      <c r="F16" s="310">
        <f t="shared" ref="F16:F24" si="0">SUM(D16:E16)</f>
        <v>465948</v>
      </c>
      <c r="G16" s="180">
        <f>'As-Filed Schedule 1C'!E16</f>
        <v>423945.56706143974</v>
      </c>
      <c r="H16" s="314">
        <f>SUMIFS(Adjustments!$G:$G,Adjustments!$H:$H,"1C",Adjustments!$I:$I,'Schedule 1C Adjustments'!$G$13,Adjustments!$J:$J,'Schedule 1C Adjustments'!A16)</f>
        <v>0</v>
      </c>
      <c r="I16" s="310">
        <f t="shared" ref="I16:I24" si="1">SUM(G16:H16)</f>
        <v>423945.56706143974</v>
      </c>
      <c r="J16" s="194">
        <f t="shared" ref="J16:J24" si="2">IF(D16-G16&lt;0,0,D16-G16)</f>
        <v>42002.432938560261</v>
      </c>
      <c r="K16" s="194">
        <f t="shared" ref="K16:K24" si="3">IF(F16-I16&lt;0,0,F16-I16)</f>
        <v>42002.432938560261</v>
      </c>
      <c r="L16" s="195">
        <f>IF('As-Filed Schedule 1C'!G16=0,"",'As-Filed Schedule 1C'!G16)</f>
        <v>3</v>
      </c>
      <c r="M16" s="178" t="str">
        <f>IF('As-Filed Schedule 1C'!H16=0,"",'As-Filed Schedule 1C'!H16)</f>
        <v>5322 - Family Center Counseling, Family Center IOP, Learning Center, Medical Center</v>
      </c>
      <c r="N16" s="196" t="str">
        <f>IF('As-Filed Schedule 1C'!I16=0,"",'As-Filed Schedule 1C'!I16)</f>
        <v>Spanish Peaks Asset Management LLC</v>
      </c>
      <c r="O16" s="142"/>
      <c r="Y16" s="67"/>
      <c r="Z16" s="67"/>
      <c r="AA16" s="67"/>
      <c r="AB16" s="67"/>
      <c r="AC16" s="67"/>
    </row>
    <row r="17" spans="1:29" s="4" customFormat="1" ht="15" customHeight="1" x14ac:dyDescent="0.35">
      <c r="A17" s="182">
        <f t="shared" ref="A17:A30" si="4">A16+1</f>
        <v>3</v>
      </c>
      <c r="B17" s="493" t="str">
        <f>IF('As-Filed Schedule 1C'!B17:C17=0,"",'As-Filed Schedule 1C'!B17:C17)</f>
        <v/>
      </c>
      <c r="C17" s="493"/>
      <c r="D17" s="180">
        <f>'As-Filed Schedule 1C'!D17</f>
        <v>0</v>
      </c>
      <c r="E17" s="314">
        <f>SUMIFS(Adjustments!$G:$G,Adjustments!$H:$H,"1C",Adjustments!$I:$I,'Schedule 1C Adjustments'!$D$13,Adjustments!$J:$J,'Schedule 1C Adjustments'!A17)</f>
        <v>0</v>
      </c>
      <c r="F17" s="310">
        <f t="shared" si="0"/>
        <v>0</v>
      </c>
      <c r="G17" s="180">
        <f>'As-Filed Schedule 1C'!E17</f>
        <v>0</v>
      </c>
      <c r="H17" s="314">
        <f>SUMIFS(Adjustments!$G:$G,Adjustments!$H:$H,"1C",Adjustments!$I:$I,'Schedule 1C Adjustments'!$G$13,Adjustments!$J:$J,'Schedule 1C Adjustments'!A17)</f>
        <v>0</v>
      </c>
      <c r="I17" s="310">
        <f t="shared" si="1"/>
        <v>0</v>
      </c>
      <c r="J17" s="194">
        <f t="shared" si="2"/>
        <v>0</v>
      </c>
      <c r="K17" s="194">
        <f t="shared" si="3"/>
        <v>0</v>
      </c>
      <c r="L17" s="195" t="str">
        <f>IF('As-Filed Schedule 1C'!G17=0,"",'As-Filed Schedule 1C'!G17)</f>
        <v/>
      </c>
      <c r="M17" s="178" t="str">
        <f>IF('As-Filed Schedule 1C'!H17=0,"",'As-Filed Schedule 1C'!H17)</f>
        <v/>
      </c>
      <c r="N17" s="196" t="str">
        <f>IF('As-Filed Schedule 1C'!I17=0,"",'As-Filed Schedule 1C'!I17)</f>
        <v/>
      </c>
      <c r="O17" s="66"/>
      <c r="Y17" s="67"/>
      <c r="Z17" s="67"/>
      <c r="AA17" s="67"/>
      <c r="AB17" s="67"/>
      <c r="AC17" s="67"/>
    </row>
    <row r="18" spans="1:29" s="4" customFormat="1" ht="15" customHeight="1" x14ac:dyDescent="0.35">
      <c r="A18" s="182">
        <f t="shared" si="4"/>
        <v>4</v>
      </c>
      <c r="B18" s="493" t="str">
        <f>IF('As-Filed Schedule 1C'!B18:C18=0,"",'As-Filed Schedule 1C'!B18:C18)</f>
        <v/>
      </c>
      <c r="C18" s="493"/>
      <c r="D18" s="180">
        <f>'As-Filed Schedule 1C'!D18</f>
        <v>0</v>
      </c>
      <c r="E18" s="314">
        <f>SUMIFS(Adjustments!$G:$G,Adjustments!$H:$H,"1C",Adjustments!$I:$I,'Schedule 1C Adjustments'!$D$13,Adjustments!$J:$J,'Schedule 1C Adjustments'!A18)</f>
        <v>0</v>
      </c>
      <c r="F18" s="310">
        <f t="shared" si="0"/>
        <v>0</v>
      </c>
      <c r="G18" s="180">
        <f>'As-Filed Schedule 1C'!E18</f>
        <v>0</v>
      </c>
      <c r="H18" s="314">
        <f>SUMIFS(Adjustments!$G:$G,Adjustments!$H:$H,"1C",Adjustments!$I:$I,'Schedule 1C Adjustments'!$G$13,Adjustments!$J:$J,'Schedule 1C Adjustments'!A18)</f>
        <v>0</v>
      </c>
      <c r="I18" s="310">
        <f t="shared" si="1"/>
        <v>0</v>
      </c>
      <c r="J18" s="194">
        <f t="shared" si="2"/>
        <v>0</v>
      </c>
      <c r="K18" s="194">
        <f t="shared" si="3"/>
        <v>0</v>
      </c>
      <c r="L18" s="195" t="str">
        <f>IF('As-Filed Schedule 1C'!G18=0,"",'As-Filed Schedule 1C'!G18)</f>
        <v/>
      </c>
      <c r="M18" s="178" t="str">
        <f>IF('As-Filed Schedule 1C'!H18=0,"",'As-Filed Schedule 1C'!H18)</f>
        <v/>
      </c>
      <c r="N18" s="196" t="str">
        <f>IF('As-Filed Schedule 1C'!I18=0,"",'As-Filed Schedule 1C'!I18)</f>
        <v/>
      </c>
      <c r="O18" s="66"/>
      <c r="Y18" s="67"/>
      <c r="Z18" s="67"/>
      <c r="AA18" s="67"/>
      <c r="AB18" s="67"/>
      <c r="AC18" s="67"/>
    </row>
    <row r="19" spans="1:29" s="4" customFormat="1" ht="15" customHeight="1" x14ac:dyDescent="0.35">
      <c r="A19" s="182">
        <f t="shared" si="4"/>
        <v>5</v>
      </c>
      <c r="B19" s="493" t="str">
        <f>IF('As-Filed Schedule 1C'!B19:C19=0,"",'As-Filed Schedule 1C'!B19:C19)</f>
        <v/>
      </c>
      <c r="C19" s="493"/>
      <c r="D19" s="180">
        <f>'As-Filed Schedule 1C'!D19</f>
        <v>0</v>
      </c>
      <c r="E19" s="314">
        <f>SUMIFS(Adjustments!$G:$G,Adjustments!$H:$H,"1C",Adjustments!$I:$I,'Schedule 1C Adjustments'!$D$13,Adjustments!$J:$J,'Schedule 1C Adjustments'!A19)</f>
        <v>0</v>
      </c>
      <c r="F19" s="310">
        <f t="shared" si="0"/>
        <v>0</v>
      </c>
      <c r="G19" s="180">
        <f>'As-Filed Schedule 1C'!E19</f>
        <v>0</v>
      </c>
      <c r="H19" s="314">
        <f>SUMIFS(Adjustments!$G:$G,Adjustments!$H:$H,"1C",Adjustments!$I:$I,'Schedule 1C Adjustments'!$G$13,Adjustments!$J:$J,'Schedule 1C Adjustments'!A19)</f>
        <v>0</v>
      </c>
      <c r="I19" s="310">
        <f t="shared" si="1"/>
        <v>0</v>
      </c>
      <c r="J19" s="194">
        <f t="shared" si="2"/>
        <v>0</v>
      </c>
      <c r="K19" s="194">
        <f t="shared" si="3"/>
        <v>0</v>
      </c>
      <c r="L19" s="195" t="str">
        <f>IF('As-Filed Schedule 1C'!G19=0,"",'As-Filed Schedule 1C'!G19)</f>
        <v/>
      </c>
      <c r="M19" s="178" t="str">
        <f>IF('As-Filed Schedule 1C'!H19=0,"",'As-Filed Schedule 1C'!H19)</f>
        <v/>
      </c>
      <c r="N19" s="196" t="str">
        <f>IF('As-Filed Schedule 1C'!I19=0,"",'As-Filed Schedule 1C'!I19)</f>
        <v/>
      </c>
      <c r="O19" s="66"/>
      <c r="Y19" s="67"/>
      <c r="Z19" s="67"/>
      <c r="AA19" s="67"/>
      <c r="AB19" s="67"/>
      <c r="AC19" s="67"/>
    </row>
    <row r="20" spans="1:29" s="4" customFormat="1" ht="15" customHeight="1" x14ac:dyDescent="0.35">
      <c r="A20" s="182">
        <f t="shared" si="4"/>
        <v>6</v>
      </c>
      <c r="B20" s="493" t="str">
        <f>IF('As-Filed Schedule 1C'!B20:C20=0,"",'As-Filed Schedule 1C'!B20:C20)</f>
        <v/>
      </c>
      <c r="C20" s="493"/>
      <c r="D20" s="180">
        <f>'As-Filed Schedule 1C'!D20</f>
        <v>0</v>
      </c>
      <c r="E20" s="314">
        <f>SUMIFS(Adjustments!$G:$G,Adjustments!$H:$H,"1C",Adjustments!$I:$I,'Schedule 1C Adjustments'!$D$13,Adjustments!$J:$J,'Schedule 1C Adjustments'!A20)</f>
        <v>0</v>
      </c>
      <c r="F20" s="310">
        <f t="shared" si="0"/>
        <v>0</v>
      </c>
      <c r="G20" s="180">
        <f>'As-Filed Schedule 1C'!E20</f>
        <v>0</v>
      </c>
      <c r="H20" s="314">
        <f>SUMIFS(Adjustments!$G:$G,Adjustments!$H:$H,"1C",Adjustments!$I:$I,'Schedule 1C Adjustments'!$G$13,Adjustments!$J:$J,'Schedule 1C Adjustments'!A20)</f>
        <v>0</v>
      </c>
      <c r="I20" s="310">
        <f t="shared" si="1"/>
        <v>0</v>
      </c>
      <c r="J20" s="194">
        <f t="shared" si="2"/>
        <v>0</v>
      </c>
      <c r="K20" s="194">
        <f t="shared" si="3"/>
        <v>0</v>
      </c>
      <c r="L20" s="195" t="str">
        <f>IF('As-Filed Schedule 1C'!G20=0,"",'As-Filed Schedule 1C'!G20)</f>
        <v/>
      </c>
      <c r="M20" s="178" t="str">
        <f>IF('As-Filed Schedule 1C'!H20=0,"",'As-Filed Schedule 1C'!H20)</f>
        <v/>
      </c>
      <c r="N20" s="196" t="str">
        <f>IF('As-Filed Schedule 1C'!I20=0,"",'As-Filed Schedule 1C'!I20)</f>
        <v/>
      </c>
      <c r="O20" s="66"/>
      <c r="Y20" s="67"/>
      <c r="Z20" s="67"/>
      <c r="AA20" s="67"/>
      <c r="AB20" s="67"/>
      <c r="AC20" s="67"/>
    </row>
    <row r="21" spans="1:29" s="4" customFormat="1" ht="15" customHeight="1" x14ac:dyDescent="0.35">
      <c r="A21" s="182">
        <f t="shared" si="4"/>
        <v>7</v>
      </c>
      <c r="B21" s="493" t="str">
        <f>IF('As-Filed Schedule 1C'!B21:C21=0,"",'As-Filed Schedule 1C'!B21:C21)</f>
        <v/>
      </c>
      <c r="C21" s="493"/>
      <c r="D21" s="180">
        <f>'As-Filed Schedule 1C'!D21</f>
        <v>0</v>
      </c>
      <c r="E21" s="314">
        <f>SUMIFS(Adjustments!$G:$G,Adjustments!$H:$H,"1C",Adjustments!$I:$I,'Schedule 1C Adjustments'!$D$13,Adjustments!$J:$J,'Schedule 1C Adjustments'!A21)</f>
        <v>0</v>
      </c>
      <c r="F21" s="310">
        <f t="shared" si="0"/>
        <v>0</v>
      </c>
      <c r="G21" s="180">
        <f>'As-Filed Schedule 1C'!E21</f>
        <v>0</v>
      </c>
      <c r="H21" s="314">
        <f>SUMIFS(Adjustments!$G:$G,Adjustments!$H:$H,"1C",Adjustments!$I:$I,'Schedule 1C Adjustments'!$G$13,Adjustments!$J:$J,'Schedule 1C Adjustments'!A21)</f>
        <v>0</v>
      </c>
      <c r="I21" s="310">
        <f t="shared" si="1"/>
        <v>0</v>
      </c>
      <c r="J21" s="194">
        <f t="shared" si="2"/>
        <v>0</v>
      </c>
      <c r="K21" s="194">
        <f t="shared" si="3"/>
        <v>0</v>
      </c>
      <c r="L21" s="195" t="str">
        <f>IF('As-Filed Schedule 1C'!G21=0,"",'As-Filed Schedule 1C'!G21)</f>
        <v/>
      </c>
      <c r="M21" s="178" t="str">
        <f>IF('As-Filed Schedule 1C'!H21=0,"",'As-Filed Schedule 1C'!H21)</f>
        <v/>
      </c>
      <c r="N21" s="196" t="str">
        <f>IF('As-Filed Schedule 1C'!I21=0,"",'As-Filed Schedule 1C'!I21)</f>
        <v/>
      </c>
      <c r="O21" s="66"/>
      <c r="Y21" s="67"/>
      <c r="Z21" s="67"/>
      <c r="AA21" s="67"/>
      <c r="AB21" s="67"/>
      <c r="AC21" s="67"/>
    </row>
    <row r="22" spans="1:29" s="4" customFormat="1" ht="15" customHeight="1" x14ac:dyDescent="0.35">
      <c r="A22" s="182">
        <f t="shared" si="4"/>
        <v>8</v>
      </c>
      <c r="B22" s="493" t="str">
        <f>IF('As-Filed Schedule 1C'!B22:C22=0,"",'As-Filed Schedule 1C'!B22:C22)</f>
        <v/>
      </c>
      <c r="C22" s="493"/>
      <c r="D22" s="180">
        <f>'As-Filed Schedule 1C'!D22</f>
        <v>0</v>
      </c>
      <c r="E22" s="314">
        <f>SUMIFS(Adjustments!$G:$G,Adjustments!$H:$H,"1C",Adjustments!$I:$I,'Schedule 1C Adjustments'!$D$13,Adjustments!$J:$J,'Schedule 1C Adjustments'!A22)</f>
        <v>0</v>
      </c>
      <c r="F22" s="310">
        <f t="shared" si="0"/>
        <v>0</v>
      </c>
      <c r="G22" s="180">
        <f>'As-Filed Schedule 1C'!E22</f>
        <v>0</v>
      </c>
      <c r="H22" s="314">
        <f>SUMIFS(Adjustments!$G:$G,Adjustments!$H:$H,"1C",Adjustments!$I:$I,'Schedule 1C Adjustments'!$G$13,Adjustments!$J:$J,'Schedule 1C Adjustments'!A22)</f>
        <v>0</v>
      </c>
      <c r="I22" s="310">
        <f t="shared" si="1"/>
        <v>0</v>
      </c>
      <c r="J22" s="194">
        <f t="shared" si="2"/>
        <v>0</v>
      </c>
      <c r="K22" s="194">
        <f t="shared" si="3"/>
        <v>0</v>
      </c>
      <c r="L22" s="195" t="str">
        <f>IF('As-Filed Schedule 1C'!G22=0,"",'As-Filed Schedule 1C'!G22)</f>
        <v/>
      </c>
      <c r="M22" s="178" t="str">
        <f>IF('As-Filed Schedule 1C'!H22=0,"",'As-Filed Schedule 1C'!H22)</f>
        <v/>
      </c>
      <c r="N22" s="196" t="str">
        <f>IF('As-Filed Schedule 1C'!I22=0,"",'As-Filed Schedule 1C'!I22)</f>
        <v/>
      </c>
      <c r="O22" s="66"/>
      <c r="Y22" s="67"/>
      <c r="Z22" s="67"/>
      <c r="AA22" s="67"/>
      <c r="AB22" s="67"/>
      <c r="AC22" s="67"/>
    </row>
    <row r="23" spans="1:29" s="4" customFormat="1" ht="15" customHeight="1" x14ac:dyDescent="0.35">
      <c r="A23" s="182">
        <f t="shared" si="4"/>
        <v>9</v>
      </c>
      <c r="B23" s="493" t="str">
        <f>IF('As-Filed Schedule 1C'!B23:C23=0,"",'As-Filed Schedule 1C'!B23:C23)</f>
        <v/>
      </c>
      <c r="C23" s="493"/>
      <c r="D23" s="180">
        <f>'As-Filed Schedule 1C'!D23</f>
        <v>0</v>
      </c>
      <c r="E23" s="314">
        <f>SUMIFS(Adjustments!$G:$G,Adjustments!$H:$H,"1C",Adjustments!$I:$I,'Schedule 1C Adjustments'!$D$13,Adjustments!$J:$J,'Schedule 1C Adjustments'!A23)</f>
        <v>0</v>
      </c>
      <c r="F23" s="310">
        <f t="shared" si="0"/>
        <v>0</v>
      </c>
      <c r="G23" s="180">
        <f>'As-Filed Schedule 1C'!E23</f>
        <v>0</v>
      </c>
      <c r="H23" s="314">
        <f>SUMIFS(Adjustments!$G:$G,Adjustments!$H:$H,"1C",Adjustments!$I:$I,'Schedule 1C Adjustments'!$G$13,Adjustments!$J:$J,'Schedule 1C Adjustments'!A23)</f>
        <v>0</v>
      </c>
      <c r="I23" s="310">
        <f t="shared" si="1"/>
        <v>0</v>
      </c>
      <c r="J23" s="194">
        <f t="shared" si="2"/>
        <v>0</v>
      </c>
      <c r="K23" s="194">
        <f t="shared" si="3"/>
        <v>0</v>
      </c>
      <c r="L23" s="195" t="str">
        <f>IF('As-Filed Schedule 1C'!G23=0,"",'As-Filed Schedule 1C'!G23)</f>
        <v/>
      </c>
      <c r="M23" s="178" t="str">
        <f>IF('As-Filed Schedule 1C'!H23=0,"",'As-Filed Schedule 1C'!H23)</f>
        <v/>
      </c>
      <c r="N23" s="196" t="str">
        <f>IF('As-Filed Schedule 1C'!I23=0,"",'As-Filed Schedule 1C'!I23)</f>
        <v/>
      </c>
      <c r="O23" s="66"/>
      <c r="Y23" s="67"/>
      <c r="Z23" s="67"/>
      <c r="AA23" s="67"/>
      <c r="AB23" s="67"/>
      <c r="AC23" s="67"/>
    </row>
    <row r="24" spans="1:29" s="4" customFormat="1" ht="15" customHeight="1" x14ac:dyDescent="0.35">
      <c r="A24" s="182">
        <f t="shared" si="4"/>
        <v>10</v>
      </c>
      <c r="B24" s="493" t="str">
        <f>IF('As-Filed Schedule 1C'!B24:C24=0,"",'As-Filed Schedule 1C'!B24:C24)</f>
        <v/>
      </c>
      <c r="C24" s="493"/>
      <c r="D24" s="180">
        <f>'As-Filed Schedule 1C'!D24</f>
        <v>0</v>
      </c>
      <c r="E24" s="314">
        <f>SUMIFS(Adjustments!$G:$G,Adjustments!$H:$H,"1C",Adjustments!$I:$I,'Schedule 1C Adjustments'!$D$13,Adjustments!$J:$J,'Schedule 1C Adjustments'!A24)</f>
        <v>0</v>
      </c>
      <c r="F24" s="310">
        <f t="shared" si="0"/>
        <v>0</v>
      </c>
      <c r="G24" s="180">
        <f>'As-Filed Schedule 1C'!E24</f>
        <v>0</v>
      </c>
      <c r="H24" s="314">
        <f>SUMIFS(Adjustments!$G:$G,Adjustments!$H:$H,"1C",Adjustments!$I:$I,'Schedule 1C Adjustments'!$G$13,Adjustments!$J:$J,'Schedule 1C Adjustments'!A24)</f>
        <v>0</v>
      </c>
      <c r="I24" s="310">
        <f t="shared" si="1"/>
        <v>0</v>
      </c>
      <c r="J24" s="194">
        <f t="shared" si="2"/>
        <v>0</v>
      </c>
      <c r="K24" s="194">
        <f t="shared" si="3"/>
        <v>0</v>
      </c>
      <c r="L24" s="195" t="str">
        <f>IF('As-Filed Schedule 1C'!G24=0,"",'As-Filed Schedule 1C'!G24)</f>
        <v/>
      </c>
      <c r="M24" s="178" t="str">
        <f>IF('As-Filed Schedule 1C'!H24=0,"",'As-Filed Schedule 1C'!H24)</f>
        <v/>
      </c>
      <c r="N24" s="196" t="str">
        <f>IF('As-Filed Schedule 1C'!I24=0,"",'As-Filed Schedule 1C'!I24)</f>
        <v/>
      </c>
      <c r="O24" s="66"/>
      <c r="Y24" s="67"/>
      <c r="Z24" s="67"/>
      <c r="AA24" s="67"/>
      <c r="AB24" s="67"/>
      <c r="AC24" s="67"/>
    </row>
    <row r="25" spans="1:29" s="4" customFormat="1" ht="15" customHeight="1" x14ac:dyDescent="0.35">
      <c r="A25" s="182">
        <f t="shared" si="4"/>
        <v>11</v>
      </c>
      <c r="B25" s="315" t="s">
        <v>598</v>
      </c>
      <c r="C25" s="191"/>
      <c r="D25" s="197"/>
      <c r="E25" s="197"/>
      <c r="F25" s="197"/>
      <c r="G25" s="191"/>
      <c r="H25" s="191"/>
      <c r="I25" s="191"/>
      <c r="J25" s="185">
        <f>SUM(J15:J24)</f>
        <v>122420.2873648511</v>
      </c>
      <c r="K25" s="185">
        <f>SUM(K15:K24)</f>
        <v>122420.2873648511</v>
      </c>
      <c r="L25" s="191"/>
      <c r="M25" s="198"/>
      <c r="N25" s="191"/>
      <c r="O25" s="66"/>
      <c r="Y25" s="67"/>
      <c r="Z25" s="67"/>
      <c r="AA25" s="67"/>
      <c r="AB25" s="67"/>
      <c r="AC25" s="67"/>
    </row>
    <row r="26" spans="1:29" s="4" customFormat="1" ht="15" customHeight="1" x14ac:dyDescent="0.35">
      <c r="A26" s="199"/>
      <c r="B26" s="191"/>
      <c r="C26" s="191"/>
      <c r="D26" s="197"/>
      <c r="E26" s="197"/>
      <c r="F26" s="197"/>
      <c r="G26" s="191"/>
      <c r="H26" s="191"/>
      <c r="I26" s="191"/>
      <c r="J26" s="191"/>
      <c r="K26" s="317"/>
      <c r="L26" s="191"/>
      <c r="M26" s="198"/>
      <c r="N26" s="191"/>
      <c r="O26" s="66"/>
      <c r="Y26" s="67"/>
      <c r="Z26" s="67"/>
      <c r="AA26" s="67"/>
      <c r="AB26" s="67"/>
      <c r="AC26" s="67"/>
    </row>
    <row r="27" spans="1:29" x14ac:dyDescent="0.35">
      <c r="A27" s="182">
        <v>12</v>
      </c>
      <c r="B27" s="100"/>
      <c r="C27" s="100"/>
      <c r="D27" s="100"/>
      <c r="E27" s="100"/>
      <c r="F27" s="100"/>
      <c r="H27" s="184"/>
      <c r="I27" s="184" t="s">
        <v>184</v>
      </c>
      <c r="J27" s="185">
        <f>SUMIF($L$15:$L$24,2,$J$15:$J$24)</f>
        <v>80417.85442629084</v>
      </c>
      <c r="K27" s="185">
        <f>SUMIF($L$15:$L$24,2,$K$15:$K$24)</f>
        <v>80417.85442629084</v>
      </c>
      <c r="L27" s="191"/>
      <c r="M27" s="100"/>
      <c r="N27" s="100"/>
    </row>
    <row r="28" spans="1:29" x14ac:dyDescent="0.35">
      <c r="A28" s="182">
        <v>13</v>
      </c>
      <c r="B28" s="100"/>
      <c r="C28" s="100"/>
      <c r="D28" s="100"/>
      <c r="E28" s="100"/>
      <c r="F28" s="100"/>
      <c r="H28" s="184"/>
      <c r="I28" s="184" t="s">
        <v>182</v>
      </c>
      <c r="J28" s="185">
        <f>SUMIF($L$15:$L$24,3,$J$15:$J$24)</f>
        <v>42002.432938560261</v>
      </c>
      <c r="K28" s="185">
        <f>SUMIF($L$15:$L$24,3,$K$15:$K$24)</f>
        <v>42002.432938560261</v>
      </c>
      <c r="L28" s="191"/>
      <c r="M28" s="100"/>
      <c r="N28" s="100"/>
    </row>
    <row r="29" spans="1:29" x14ac:dyDescent="0.35">
      <c r="A29" s="182">
        <f t="shared" si="4"/>
        <v>14</v>
      </c>
      <c r="B29" s="100"/>
      <c r="C29" s="100"/>
      <c r="D29" s="100"/>
      <c r="E29" s="100"/>
      <c r="F29" s="100"/>
      <c r="H29" s="184"/>
      <c r="I29" s="184" t="s">
        <v>183</v>
      </c>
      <c r="J29" s="185">
        <f>SUMIF($L$15:$L$24,4,$J$15:$J$24)</f>
        <v>0</v>
      </c>
      <c r="K29" s="185">
        <f>SUMIF($L$15:$L$24,4,$K$15:$K$24)</f>
        <v>0</v>
      </c>
      <c r="L29" s="191"/>
      <c r="M29" s="100"/>
      <c r="N29" s="100"/>
    </row>
    <row r="30" spans="1:29" x14ac:dyDescent="0.35">
      <c r="A30" s="182">
        <f t="shared" si="4"/>
        <v>15</v>
      </c>
      <c r="B30" s="100"/>
      <c r="C30" s="100"/>
      <c r="D30" s="100"/>
      <c r="E30" s="100"/>
      <c r="F30" s="100"/>
      <c r="H30" s="184"/>
      <c r="I30" s="184" t="s">
        <v>185</v>
      </c>
      <c r="J30" s="185">
        <f>SUMIF($L$15:$L$24,5,$J$15:$J$24)</f>
        <v>0</v>
      </c>
      <c r="K30" s="185">
        <f>SUMIF($L$15:$L$24,5,$K$15:$K$24)</f>
        <v>0</v>
      </c>
      <c r="L30" s="191"/>
      <c r="M30" s="100"/>
      <c r="N30" s="100"/>
    </row>
    <row r="31" spans="1:29" x14ac:dyDescent="0.35">
      <c r="A31" s="100"/>
      <c r="B31" s="100"/>
      <c r="C31" s="100"/>
      <c r="D31" s="100"/>
      <c r="E31" s="100"/>
      <c r="F31" s="100"/>
      <c r="G31" s="100"/>
      <c r="H31" s="100"/>
      <c r="I31" s="100"/>
      <c r="J31" s="186" t="str">
        <f>IF(SUM(J27:J30)&lt;&gt;J25,"error","")</f>
        <v/>
      </c>
      <c r="K31" s="186"/>
      <c r="L31" s="191"/>
      <c r="M31" s="100"/>
      <c r="N31" s="100"/>
    </row>
    <row r="32" spans="1:29" ht="15.65" customHeight="1" x14ac:dyDescent="0.35">
      <c r="A32" s="100"/>
      <c r="B32" s="187"/>
      <c r="C32" s="187"/>
      <c r="D32" s="187"/>
      <c r="E32" s="187"/>
      <c r="F32" s="187"/>
      <c r="G32" s="187"/>
      <c r="H32" s="187"/>
      <c r="I32" s="187"/>
      <c r="J32" s="188" t="s">
        <v>271</v>
      </c>
      <c r="K32" s="188"/>
      <c r="L32" s="188"/>
      <c r="M32" s="187"/>
      <c r="N32" s="187"/>
      <c r="O32" s="64"/>
      <c r="Y32" s="65"/>
      <c r="Z32" s="65"/>
      <c r="AA32" s="65"/>
      <c r="AB32" s="65"/>
      <c r="AC32" s="65"/>
    </row>
    <row r="33" spans="1:29" x14ac:dyDescent="0.35">
      <c r="A33" s="200"/>
      <c r="B33" s="201"/>
      <c r="C33" s="201"/>
      <c r="D33" s="202"/>
      <c r="E33" s="202"/>
      <c r="F33" s="202"/>
      <c r="G33" s="201"/>
      <c r="H33" s="201"/>
      <c r="I33" s="201"/>
      <c r="J33" s="201"/>
      <c r="K33" s="201"/>
      <c r="L33" s="201"/>
      <c r="M33" s="203"/>
      <c r="N33" s="201"/>
      <c r="O33" s="64"/>
      <c r="Y33" s="65"/>
      <c r="Z33" s="65"/>
      <c r="AA33" s="65"/>
      <c r="AB33" s="65"/>
      <c r="AC33" s="65"/>
    </row>
    <row r="34" spans="1:29" ht="15.65" customHeight="1" x14ac:dyDescent="0.35">
      <c r="A34" s="501" t="s">
        <v>923</v>
      </c>
      <c r="B34" s="501"/>
      <c r="C34" s="501"/>
      <c r="D34" s="501"/>
      <c r="E34" s="501"/>
      <c r="F34" s="501"/>
      <c r="G34" s="501"/>
      <c r="H34" s="501"/>
      <c r="I34" s="501"/>
      <c r="J34" s="501"/>
      <c r="K34" s="501"/>
      <c r="L34" s="501"/>
      <c r="M34" s="501"/>
      <c r="N34" s="501"/>
      <c r="O34" s="64"/>
      <c r="Y34" s="65"/>
      <c r="Z34" s="65"/>
      <c r="AA34" s="65"/>
      <c r="AB34" s="65"/>
      <c r="AC34" s="65"/>
    </row>
    <row r="35" spans="1:29" x14ac:dyDescent="0.35">
      <c r="A35" s="501"/>
      <c r="B35" s="501"/>
      <c r="C35" s="501"/>
      <c r="D35" s="501"/>
      <c r="E35" s="501"/>
      <c r="F35" s="501"/>
      <c r="G35" s="501"/>
      <c r="H35" s="501"/>
      <c r="I35" s="501"/>
      <c r="J35" s="501"/>
      <c r="K35" s="501"/>
      <c r="L35" s="501"/>
      <c r="M35" s="501"/>
      <c r="N35" s="501"/>
      <c r="O35" s="64"/>
      <c r="Y35" s="65"/>
      <c r="Z35" s="65"/>
      <c r="AA35" s="65"/>
      <c r="AB35" s="65"/>
      <c r="AC35" s="65"/>
    </row>
    <row r="36" spans="1:29" x14ac:dyDescent="0.35">
      <c r="A36" s="501"/>
      <c r="B36" s="501"/>
      <c r="C36" s="501"/>
      <c r="D36" s="501"/>
      <c r="E36" s="501"/>
      <c r="F36" s="501"/>
      <c r="G36" s="501"/>
      <c r="H36" s="501"/>
      <c r="I36" s="501"/>
      <c r="J36" s="501"/>
      <c r="K36" s="501"/>
      <c r="L36" s="501"/>
      <c r="M36" s="501"/>
      <c r="N36" s="501"/>
      <c r="O36" s="64"/>
      <c r="Y36" s="65"/>
      <c r="Z36" s="65"/>
      <c r="AA36" s="65"/>
      <c r="AB36" s="65"/>
      <c r="AC36" s="65"/>
    </row>
    <row r="37" spans="1:29" x14ac:dyDescent="0.35">
      <c r="A37" s="501"/>
      <c r="B37" s="501"/>
      <c r="C37" s="501"/>
      <c r="D37" s="501"/>
      <c r="E37" s="501"/>
      <c r="F37" s="501"/>
      <c r="G37" s="501"/>
      <c r="H37" s="501"/>
      <c r="I37" s="501"/>
      <c r="J37" s="501"/>
      <c r="K37" s="501"/>
      <c r="L37" s="501"/>
      <c r="M37" s="501"/>
      <c r="N37" s="501"/>
      <c r="O37" s="64"/>
      <c r="Y37" s="65"/>
      <c r="Z37" s="65"/>
      <c r="AA37" s="65"/>
      <c r="AB37" s="65"/>
      <c r="AC37" s="65"/>
    </row>
    <row r="38" spans="1:29" x14ac:dyDescent="0.35">
      <c r="A38" s="501"/>
      <c r="B38" s="501"/>
      <c r="C38" s="501"/>
      <c r="D38" s="501"/>
      <c r="E38" s="501"/>
      <c r="F38" s="501"/>
      <c r="G38" s="501"/>
      <c r="H38" s="501"/>
      <c r="I38" s="501"/>
      <c r="J38" s="501"/>
      <c r="K38" s="501"/>
      <c r="L38" s="501"/>
      <c r="M38" s="501"/>
      <c r="N38" s="501"/>
      <c r="O38" s="64"/>
      <c r="Y38" s="65"/>
      <c r="Z38" s="65"/>
      <c r="AA38" s="65"/>
      <c r="AB38" s="65"/>
      <c r="AC38" s="65"/>
    </row>
    <row r="39" spans="1:29" x14ac:dyDescent="0.35">
      <c r="A39" s="501"/>
      <c r="B39" s="501"/>
      <c r="C39" s="501"/>
      <c r="D39" s="501"/>
      <c r="E39" s="501"/>
      <c r="F39" s="501"/>
      <c r="G39" s="501"/>
      <c r="H39" s="501"/>
      <c r="I39" s="501"/>
      <c r="J39" s="501"/>
      <c r="K39" s="501"/>
      <c r="L39" s="501"/>
      <c r="M39" s="501"/>
      <c r="N39" s="501"/>
      <c r="O39" s="64"/>
      <c r="Y39" s="65"/>
      <c r="Z39" s="65"/>
      <c r="AA39" s="65"/>
      <c r="AB39" s="65"/>
      <c r="AC39" s="65"/>
    </row>
    <row r="40" spans="1:29" ht="14.25" customHeight="1" x14ac:dyDescent="0.35">
      <c r="A40" s="100"/>
      <c r="B40" s="100"/>
      <c r="C40" s="100"/>
      <c r="D40" s="100"/>
      <c r="E40" s="100"/>
      <c r="F40" s="100"/>
      <c r="G40" s="100"/>
      <c r="H40" s="100"/>
      <c r="I40" s="100"/>
      <c r="J40" s="100"/>
      <c r="K40" s="100"/>
      <c r="L40" s="100"/>
      <c r="M40" s="113"/>
      <c r="N40" s="100"/>
    </row>
    <row r="41" spans="1:29" x14ac:dyDescent="0.35">
      <c r="A41" s="100"/>
      <c r="B41" s="100"/>
      <c r="C41" s="100"/>
      <c r="D41" s="100"/>
      <c r="E41" s="100"/>
      <c r="F41" s="100"/>
      <c r="G41" s="100"/>
      <c r="H41" s="100"/>
      <c r="I41" s="100"/>
      <c r="J41" s="100"/>
      <c r="K41" s="100"/>
      <c r="L41" s="100"/>
      <c r="M41" s="113"/>
      <c r="N41" s="100"/>
    </row>
    <row r="42" spans="1:29" x14ac:dyDescent="0.35">
      <c r="A42" s="100"/>
      <c r="B42" s="100"/>
      <c r="C42" s="100"/>
      <c r="D42" s="100"/>
      <c r="E42" s="100"/>
      <c r="F42" s="100"/>
      <c r="G42" s="100"/>
      <c r="H42" s="100"/>
      <c r="I42" s="100"/>
      <c r="J42" s="100"/>
      <c r="K42" s="100"/>
      <c r="L42" s="100"/>
      <c r="M42" s="113"/>
      <c r="N42" s="100"/>
    </row>
    <row r="43" spans="1:29" x14ac:dyDescent="0.35">
      <c r="A43" s="100"/>
      <c r="B43" s="100"/>
      <c r="C43" s="100"/>
      <c r="D43" s="100"/>
      <c r="E43" s="100"/>
      <c r="F43" s="100"/>
      <c r="G43" s="100"/>
      <c r="H43" s="100"/>
      <c r="I43" s="100"/>
      <c r="J43" s="100"/>
      <c r="K43" s="100"/>
      <c r="L43" s="100"/>
      <c r="M43" s="113"/>
      <c r="N43" s="100"/>
    </row>
    <row r="44" spans="1:29" x14ac:dyDescent="0.35">
      <c r="A44" s="100"/>
      <c r="B44" s="100"/>
      <c r="C44" s="100"/>
      <c r="D44" s="100"/>
      <c r="E44" s="100"/>
      <c r="F44" s="100"/>
      <c r="G44" s="100"/>
      <c r="H44" s="100"/>
      <c r="I44" s="100"/>
      <c r="J44" s="100"/>
      <c r="K44" s="100"/>
      <c r="L44" s="100"/>
      <c r="M44" s="113"/>
      <c r="N44" s="100"/>
    </row>
    <row r="45" spans="1:29" x14ac:dyDescent="0.35">
      <c r="A45" s="100"/>
      <c r="B45" s="100"/>
      <c r="C45" s="100"/>
      <c r="D45" s="100"/>
      <c r="E45" s="100"/>
      <c r="F45" s="100"/>
      <c r="G45" s="100"/>
      <c r="H45" s="100"/>
      <c r="I45" s="100"/>
      <c r="J45" s="100"/>
      <c r="K45" s="100"/>
      <c r="L45" s="100"/>
      <c r="M45" s="113"/>
      <c r="N45" s="100"/>
    </row>
    <row r="46" spans="1:29" x14ac:dyDescent="0.35">
      <c r="A46" s="100"/>
      <c r="B46" s="100"/>
      <c r="C46" s="100"/>
      <c r="D46" s="100"/>
      <c r="E46" s="100"/>
      <c r="F46" s="100"/>
      <c r="G46" s="100"/>
      <c r="H46" s="100"/>
      <c r="I46" s="100"/>
      <c r="J46" s="100"/>
      <c r="K46" s="100"/>
      <c r="L46" s="100"/>
      <c r="M46" s="113"/>
      <c r="N46" s="100"/>
    </row>
    <row r="47" spans="1:29" x14ac:dyDescent="0.35">
      <c r="A47" s="100"/>
      <c r="B47" s="100"/>
      <c r="C47" s="100"/>
      <c r="D47" s="100"/>
      <c r="E47" s="100"/>
      <c r="F47" s="100"/>
      <c r="G47" s="100"/>
      <c r="H47" s="100"/>
      <c r="I47" s="100"/>
      <c r="J47" s="100"/>
      <c r="K47" s="100"/>
      <c r="L47" s="100"/>
      <c r="M47" s="113"/>
      <c r="N47" s="100"/>
    </row>
    <row r="48" spans="1:29" x14ac:dyDescent="0.35">
      <c r="A48" s="100"/>
      <c r="B48" s="100"/>
      <c r="C48" s="100"/>
      <c r="D48" s="100"/>
      <c r="E48" s="100"/>
      <c r="F48" s="100"/>
      <c r="G48" s="100"/>
      <c r="H48" s="100"/>
      <c r="I48" s="100"/>
      <c r="J48" s="100"/>
      <c r="K48" s="100"/>
      <c r="L48" s="100"/>
      <c r="M48" s="113"/>
      <c r="N48" s="100"/>
    </row>
    <row r="49" spans="1:14" x14ac:dyDescent="0.35">
      <c r="A49" s="100"/>
      <c r="B49" s="100"/>
      <c r="C49" s="100"/>
      <c r="D49" s="100"/>
      <c r="E49" s="100"/>
      <c r="F49" s="100"/>
      <c r="G49" s="100"/>
      <c r="H49" s="100"/>
      <c r="I49" s="100"/>
      <c r="J49" s="100"/>
      <c r="K49" s="100"/>
      <c r="L49" s="100"/>
      <c r="M49" s="113"/>
      <c r="N49" s="100"/>
    </row>
    <row r="50" spans="1:14" x14ac:dyDescent="0.35">
      <c r="A50" s="100"/>
      <c r="B50" s="100"/>
      <c r="C50" s="100"/>
      <c r="D50" s="100"/>
      <c r="E50" s="100"/>
      <c r="F50" s="100"/>
      <c r="G50" s="100"/>
      <c r="H50" s="100"/>
      <c r="I50" s="100"/>
      <c r="J50" s="100"/>
      <c r="K50" s="100"/>
      <c r="L50" s="100"/>
      <c r="M50" s="113"/>
      <c r="N50" s="100"/>
    </row>
    <row r="51" spans="1:14" x14ac:dyDescent="0.35">
      <c r="A51" s="100"/>
      <c r="B51" s="100"/>
      <c r="C51" s="100"/>
      <c r="D51" s="100"/>
      <c r="E51" s="100"/>
      <c r="F51" s="100"/>
      <c r="G51" s="100"/>
      <c r="H51" s="100"/>
      <c r="I51" s="100"/>
      <c r="J51" s="100"/>
      <c r="K51" s="100"/>
      <c r="L51" s="100"/>
      <c r="M51" s="113"/>
      <c r="N51" s="100"/>
    </row>
    <row r="52" spans="1:14" x14ac:dyDescent="0.35">
      <c r="A52" s="100"/>
      <c r="B52" s="100"/>
      <c r="C52" s="100"/>
      <c r="D52" s="100"/>
      <c r="E52" s="100"/>
      <c r="F52" s="100"/>
      <c r="G52" s="100"/>
      <c r="H52" s="100"/>
      <c r="I52" s="100"/>
      <c r="J52" s="100"/>
      <c r="K52" s="100"/>
      <c r="L52" s="100"/>
      <c r="M52" s="113"/>
      <c r="N52" s="100"/>
    </row>
    <row r="53" spans="1:14" x14ac:dyDescent="0.35">
      <c r="A53" s="100"/>
      <c r="B53" s="100"/>
      <c r="C53" s="100"/>
      <c r="D53" s="100"/>
      <c r="E53" s="100"/>
      <c r="F53" s="100"/>
      <c r="G53" s="100"/>
      <c r="H53" s="100"/>
      <c r="I53" s="100"/>
      <c r="J53" s="100"/>
      <c r="K53" s="100"/>
      <c r="L53" s="100"/>
      <c r="M53" s="113"/>
      <c r="N53" s="100"/>
    </row>
    <row r="54" spans="1:14" x14ac:dyDescent="0.35">
      <c r="A54" s="100"/>
      <c r="B54" s="100"/>
      <c r="C54" s="100"/>
      <c r="D54" s="100"/>
      <c r="E54" s="100"/>
      <c r="F54" s="100"/>
      <c r="G54" s="100"/>
      <c r="H54" s="100"/>
      <c r="I54" s="100"/>
      <c r="J54" s="100"/>
      <c r="K54" s="100"/>
      <c r="L54" s="100"/>
      <c r="M54" s="113"/>
      <c r="N54" s="100"/>
    </row>
    <row r="55" spans="1:14" x14ac:dyDescent="0.35">
      <c r="A55" s="100"/>
      <c r="B55" s="100"/>
      <c r="C55" s="100"/>
      <c r="D55" s="100"/>
      <c r="E55" s="100"/>
      <c r="F55" s="100"/>
      <c r="G55" s="100"/>
      <c r="H55" s="100"/>
      <c r="I55" s="100"/>
      <c r="J55" s="100"/>
      <c r="K55" s="100"/>
      <c r="L55" s="100"/>
      <c r="M55" s="113"/>
      <c r="N55" s="100"/>
    </row>
    <row r="56" spans="1:14" x14ac:dyDescent="0.35">
      <c r="A56" s="100"/>
      <c r="B56" s="100"/>
      <c r="C56" s="100"/>
      <c r="D56" s="100"/>
      <c r="E56" s="100"/>
      <c r="F56" s="100"/>
      <c r="G56" s="100"/>
      <c r="H56" s="100"/>
      <c r="I56" s="100"/>
      <c r="J56" s="100"/>
      <c r="K56" s="100"/>
      <c r="L56" s="100"/>
      <c r="M56" s="113"/>
      <c r="N56" s="100"/>
    </row>
    <row r="57" spans="1:14" x14ac:dyDescent="0.35">
      <c r="A57" s="100"/>
      <c r="B57" s="100"/>
      <c r="C57" s="100"/>
      <c r="D57" s="100"/>
      <c r="E57" s="100"/>
      <c r="F57" s="100"/>
      <c r="G57" s="100"/>
      <c r="H57" s="100"/>
      <c r="I57" s="100"/>
      <c r="J57" s="100"/>
      <c r="K57" s="100"/>
      <c r="L57" s="100"/>
      <c r="M57" s="113"/>
      <c r="N57" s="100"/>
    </row>
    <row r="58" spans="1:14" x14ac:dyDescent="0.35">
      <c r="A58" s="100"/>
      <c r="B58" s="100"/>
      <c r="C58" s="100"/>
      <c r="D58" s="100"/>
      <c r="E58" s="100"/>
      <c r="F58" s="100"/>
      <c r="G58" s="100"/>
      <c r="H58" s="100"/>
      <c r="I58" s="100"/>
      <c r="J58" s="100"/>
      <c r="K58" s="100"/>
      <c r="L58" s="100"/>
      <c r="M58" s="113"/>
      <c r="N58" s="100"/>
    </row>
    <row r="59" spans="1:14" x14ac:dyDescent="0.35">
      <c r="A59" s="100"/>
      <c r="B59" s="100"/>
      <c r="C59" s="100"/>
      <c r="D59" s="100"/>
      <c r="E59" s="100"/>
      <c r="F59" s="100"/>
      <c r="G59" s="100"/>
      <c r="H59" s="100"/>
      <c r="I59" s="100"/>
      <c r="J59" s="100"/>
      <c r="K59" s="100"/>
      <c r="L59" s="100"/>
      <c r="M59" s="113"/>
      <c r="N59" s="100"/>
    </row>
    <row r="60" spans="1:14" x14ac:dyDescent="0.35">
      <c r="A60" s="100"/>
      <c r="B60" s="100"/>
      <c r="C60" s="100"/>
      <c r="D60" s="100"/>
      <c r="E60" s="100"/>
      <c r="F60" s="100"/>
      <c r="G60" s="100"/>
      <c r="H60" s="100"/>
      <c r="I60" s="100"/>
      <c r="J60" s="100"/>
      <c r="K60" s="100"/>
      <c r="L60" s="100"/>
      <c r="M60" s="113"/>
      <c r="N60" s="100"/>
    </row>
    <row r="61" spans="1:14" x14ac:dyDescent="0.35">
      <c r="A61" s="100"/>
      <c r="B61" s="100"/>
      <c r="C61" s="100"/>
      <c r="D61" s="100"/>
      <c r="E61" s="100"/>
      <c r="F61" s="100"/>
      <c r="G61" s="100"/>
      <c r="H61" s="100"/>
      <c r="I61" s="100"/>
      <c r="J61" s="100"/>
      <c r="K61" s="100"/>
      <c r="L61" s="100"/>
      <c r="M61" s="113"/>
      <c r="N61" s="100"/>
    </row>
    <row r="62" spans="1:14" x14ac:dyDescent="0.35">
      <c r="A62" s="100"/>
      <c r="B62" s="100"/>
      <c r="C62" s="100"/>
      <c r="D62" s="100"/>
      <c r="E62" s="100"/>
      <c r="F62" s="100"/>
      <c r="G62" s="100"/>
      <c r="H62" s="100"/>
      <c r="I62" s="100"/>
      <c r="J62" s="100"/>
      <c r="K62" s="100"/>
      <c r="L62" s="100"/>
      <c r="M62" s="113"/>
      <c r="N62" s="100"/>
    </row>
    <row r="63" spans="1:14" x14ac:dyDescent="0.35">
      <c r="A63" s="100"/>
      <c r="B63" s="100"/>
      <c r="C63" s="100"/>
      <c r="D63" s="100"/>
      <c r="E63" s="100"/>
      <c r="F63" s="100"/>
      <c r="G63" s="100"/>
      <c r="H63" s="100"/>
      <c r="I63" s="100"/>
      <c r="J63" s="100"/>
      <c r="K63" s="100"/>
      <c r="L63" s="100"/>
      <c r="M63" s="113"/>
      <c r="N63" s="100"/>
    </row>
    <row r="64" spans="1:14" x14ac:dyDescent="0.35">
      <c r="A64" s="100"/>
      <c r="B64" s="100"/>
      <c r="C64" s="100"/>
      <c r="D64" s="100"/>
      <c r="E64" s="100"/>
      <c r="F64" s="100"/>
      <c r="G64" s="100"/>
      <c r="H64" s="100"/>
      <c r="I64" s="100"/>
      <c r="J64" s="100"/>
      <c r="K64" s="100"/>
      <c r="L64" s="100"/>
      <c r="M64" s="113"/>
      <c r="N64" s="100"/>
    </row>
    <row r="65" spans="1:14" x14ac:dyDescent="0.35">
      <c r="A65" s="100"/>
      <c r="B65" s="100"/>
      <c r="C65" s="100"/>
      <c r="D65" s="100"/>
      <c r="E65" s="100"/>
      <c r="F65" s="100"/>
      <c r="G65" s="100"/>
      <c r="H65" s="100"/>
      <c r="I65" s="100"/>
      <c r="J65" s="100"/>
      <c r="K65" s="100"/>
      <c r="L65" s="100"/>
      <c r="M65" s="113"/>
      <c r="N65" s="100"/>
    </row>
    <row r="66" spans="1:14" x14ac:dyDescent="0.35">
      <c r="A66" s="100"/>
      <c r="B66" s="100"/>
      <c r="C66" s="100"/>
      <c r="D66" s="100"/>
      <c r="E66" s="100"/>
      <c r="F66" s="100"/>
      <c r="G66" s="100"/>
      <c r="H66" s="100"/>
      <c r="I66" s="100"/>
      <c r="J66" s="100"/>
      <c r="K66" s="100"/>
      <c r="L66" s="100"/>
      <c r="M66" s="113"/>
      <c r="N66" s="100"/>
    </row>
    <row r="67" spans="1:14" x14ac:dyDescent="0.35">
      <c r="A67" s="100"/>
      <c r="B67" s="100"/>
      <c r="C67" s="100"/>
      <c r="D67" s="100"/>
      <c r="E67" s="100"/>
      <c r="F67" s="100"/>
      <c r="G67" s="100"/>
      <c r="H67" s="100"/>
      <c r="I67" s="100"/>
      <c r="J67" s="100"/>
      <c r="K67" s="100"/>
      <c r="L67" s="100"/>
      <c r="M67" s="113"/>
      <c r="N67" s="100"/>
    </row>
    <row r="68" spans="1:14" x14ac:dyDescent="0.35">
      <c r="A68" s="100"/>
      <c r="B68" s="100"/>
      <c r="C68" s="100"/>
      <c r="D68" s="100"/>
      <c r="E68" s="100"/>
      <c r="F68" s="100"/>
      <c r="G68" s="100"/>
      <c r="H68" s="100"/>
      <c r="I68" s="100"/>
      <c r="J68" s="100"/>
      <c r="K68" s="100"/>
      <c r="L68" s="100"/>
      <c r="M68" s="113"/>
      <c r="N68" s="100"/>
    </row>
    <row r="69" spans="1:14" x14ac:dyDescent="0.35">
      <c r="A69" s="100"/>
      <c r="B69" s="100"/>
      <c r="C69" s="100"/>
      <c r="D69" s="100"/>
      <c r="E69" s="100"/>
      <c r="F69" s="100"/>
      <c r="G69" s="100"/>
      <c r="H69" s="100"/>
      <c r="I69" s="100"/>
      <c r="J69" s="100"/>
      <c r="K69" s="100"/>
      <c r="L69" s="100"/>
      <c r="M69" s="113"/>
      <c r="N69" s="100"/>
    </row>
    <row r="70" spans="1:14" x14ac:dyDescent="0.35">
      <c r="A70" s="100"/>
      <c r="B70" s="100"/>
      <c r="C70" s="100"/>
      <c r="D70" s="100"/>
      <c r="E70" s="100"/>
      <c r="F70" s="100"/>
      <c r="G70" s="100"/>
      <c r="H70" s="100"/>
      <c r="I70" s="100"/>
      <c r="J70" s="100"/>
      <c r="K70" s="100"/>
      <c r="L70" s="100"/>
      <c r="M70" s="113"/>
      <c r="N70" s="100"/>
    </row>
    <row r="71" spans="1:14" x14ac:dyDescent="0.35">
      <c r="A71" s="100"/>
      <c r="B71" s="100"/>
      <c r="C71" s="100"/>
      <c r="D71" s="100"/>
      <c r="E71" s="100"/>
      <c r="F71" s="100"/>
      <c r="G71" s="100"/>
      <c r="H71" s="100"/>
      <c r="I71" s="100"/>
      <c r="J71" s="100"/>
      <c r="K71" s="100"/>
      <c r="L71" s="100"/>
      <c r="M71" s="113"/>
      <c r="N71" s="100"/>
    </row>
    <row r="72" spans="1:14" x14ac:dyDescent="0.35">
      <c r="A72" s="100"/>
      <c r="B72" s="100"/>
      <c r="C72" s="100"/>
      <c r="D72" s="100"/>
      <c r="E72" s="100"/>
      <c r="F72" s="100"/>
      <c r="G72" s="100"/>
      <c r="H72" s="100"/>
      <c r="I72" s="100"/>
      <c r="J72" s="100"/>
      <c r="K72" s="100"/>
      <c r="L72" s="100"/>
      <c r="M72" s="113"/>
      <c r="N72" s="100"/>
    </row>
    <row r="73" spans="1:14" x14ac:dyDescent="0.35">
      <c r="A73" s="100"/>
      <c r="B73" s="100"/>
      <c r="C73" s="100"/>
      <c r="D73" s="100"/>
      <c r="E73" s="100"/>
      <c r="F73" s="100"/>
      <c r="G73" s="100"/>
      <c r="H73" s="100"/>
      <c r="I73" s="100"/>
      <c r="J73" s="100"/>
      <c r="K73" s="100"/>
      <c r="L73" s="100"/>
      <c r="M73" s="113"/>
      <c r="N73" s="100"/>
    </row>
    <row r="74" spans="1:14" x14ac:dyDescent="0.35">
      <c r="A74" s="100"/>
      <c r="B74" s="100"/>
      <c r="C74" s="100"/>
      <c r="D74" s="100"/>
      <c r="E74" s="100"/>
      <c r="F74" s="100"/>
      <c r="G74" s="100"/>
      <c r="H74" s="100"/>
      <c r="I74" s="100"/>
      <c r="J74" s="100"/>
      <c r="K74" s="100"/>
      <c r="L74" s="100"/>
      <c r="M74" s="113"/>
      <c r="N74" s="100"/>
    </row>
    <row r="75" spans="1:14" x14ac:dyDescent="0.35">
      <c r="A75" s="100"/>
      <c r="B75" s="100"/>
      <c r="C75" s="100"/>
      <c r="D75" s="100"/>
      <c r="E75" s="100"/>
      <c r="F75" s="100"/>
      <c r="G75" s="100"/>
      <c r="H75" s="100"/>
      <c r="I75" s="100"/>
      <c r="J75" s="100"/>
      <c r="K75" s="100"/>
      <c r="L75" s="100"/>
      <c r="M75" s="113"/>
      <c r="N75" s="100"/>
    </row>
    <row r="76" spans="1:14" x14ac:dyDescent="0.35">
      <c r="A76" s="100"/>
      <c r="B76" s="100"/>
      <c r="C76" s="100"/>
      <c r="D76" s="100"/>
      <c r="E76" s="100"/>
      <c r="F76" s="100"/>
      <c r="G76" s="100"/>
      <c r="H76" s="100"/>
      <c r="I76" s="100"/>
      <c r="J76" s="100"/>
      <c r="K76" s="100"/>
      <c r="L76" s="100"/>
      <c r="M76" s="113"/>
      <c r="N76" s="100"/>
    </row>
    <row r="77" spans="1:14" x14ac:dyDescent="0.35">
      <c r="A77" s="100"/>
      <c r="B77" s="100"/>
      <c r="C77" s="100"/>
      <c r="D77" s="100"/>
      <c r="E77" s="100"/>
      <c r="F77" s="100"/>
      <c r="G77" s="100"/>
      <c r="H77" s="100"/>
      <c r="I77" s="100"/>
      <c r="J77" s="100"/>
      <c r="K77" s="100"/>
      <c r="L77" s="100"/>
      <c r="M77" s="113"/>
      <c r="N77" s="100"/>
    </row>
    <row r="78" spans="1:14" x14ac:dyDescent="0.35">
      <c r="A78" s="100"/>
      <c r="B78" s="100"/>
      <c r="C78" s="100"/>
      <c r="D78" s="100"/>
      <c r="E78" s="100"/>
      <c r="F78" s="100"/>
      <c r="G78" s="100"/>
      <c r="H78" s="100"/>
      <c r="I78" s="100"/>
      <c r="J78" s="100"/>
      <c r="K78" s="100"/>
      <c r="L78" s="100"/>
      <c r="M78" s="113"/>
      <c r="N78" s="100"/>
    </row>
    <row r="79" spans="1:14" x14ac:dyDescent="0.35">
      <c r="A79" s="100"/>
      <c r="B79" s="100"/>
      <c r="C79" s="100"/>
      <c r="D79" s="100"/>
      <c r="E79" s="100"/>
      <c r="F79" s="100"/>
      <c r="G79" s="100"/>
      <c r="H79" s="100"/>
      <c r="I79" s="100"/>
      <c r="J79" s="100"/>
      <c r="K79" s="100"/>
      <c r="L79" s="100"/>
      <c r="M79" s="113"/>
      <c r="N79" s="100"/>
    </row>
    <row r="80" spans="1:14" x14ac:dyDescent="0.35">
      <c r="A80" s="100"/>
      <c r="B80" s="100"/>
      <c r="C80" s="100"/>
      <c r="D80" s="100"/>
      <c r="E80" s="100"/>
      <c r="F80" s="100"/>
      <c r="G80" s="100"/>
      <c r="H80" s="100"/>
      <c r="I80" s="100"/>
      <c r="J80" s="100"/>
      <c r="K80" s="100"/>
      <c r="L80" s="100"/>
      <c r="M80" s="113"/>
      <c r="N80" s="100"/>
    </row>
    <row r="81" spans="1:14" x14ac:dyDescent="0.35">
      <c r="A81" s="100"/>
      <c r="B81" s="100"/>
      <c r="C81" s="100"/>
      <c r="D81" s="100"/>
      <c r="E81" s="100"/>
      <c r="F81" s="100"/>
      <c r="G81" s="100"/>
      <c r="H81" s="100"/>
      <c r="I81" s="100"/>
      <c r="J81" s="100"/>
      <c r="K81" s="100"/>
      <c r="L81" s="100"/>
      <c r="M81" s="113"/>
      <c r="N81" s="100"/>
    </row>
    <row r="82" spans="1:14" x14ac:dyDescent="0.35">
      <c r="A82" s="100"/>
      <c r="B82" s="100"/>
      <c r="C82" s="100"/>
      <c r="D82" s="100"/>
      <c r="E82" s="100"/>
      <c r="F82" s="100"/>
      <c r="G82" s="100"/>
      <c r="H82" s="100"/>
      <c r="I82" s="100"/>
      <c r="J82" s="100"/>
      <c r="K82" s="100"/>
      <c r="L82" s="100"/>
      <c r="M82" s="113"/>
      <c r="N82" s="100"/>
    </row>
    <row r="83" spans="1:14" x14ac:dyDescent="0.35">
      <c r="A83" s="100"/>
      <c r="B83" s="100"/>
      <c r="C83" s="100"/>
      <c r="D83" s="100"/>
      <c r="E83" s="100"/>
      <c r="F83" s="100"/>
      <c r="G83" s="100"/>
      <c r="H83" s="100"/>
      <c r="I83" s="100"/>
      <c r="J83" s="100"/>
      <c r="K83" s="100"/>
      <c r="L83" s="100"/>
      <c r="M83" s="113"/>
      <c r="N83" s="100"/>
    </row>
    <row r="84" spans="1:14" x14ac:dyDescent="0.35">
      <c r="A84" s="100"/>
      <c r="B84" s="100"/>
      <c r="C84" s="100"/>
      <c r="D84" s="100"/>
      <c r="E84" s="100"/>
      <c r="F84" s="100"/>
      <c r="G84" s="100"/>
      <c r="H84" s="100"/>
      <c r="I84" s="100"/>
      <c r="J84" s="100"/>
      <c r="K84" s="100"/>
      <c r="L84" s="100"/>
      <c r="M84" s="113"/>
      <c r="N84" s="100"/>
    </row>
    <row r="85" spans="1:14" x14ac:dyDescent="0.35">
      <c r="A85" s="100"/>
      <c r="B85" s="100"/>
      <c r="C85" s="100"/>
      <c r="D85" s="100"/>
      <c r="E85" s="100"/>
      <c r="F85" s="100"/>
      <c r="G85" s="100"/>
      <c r="H85" s="100"/>
      <c r="I85" s="100"/>
      <c r="J85" s="100"/>
      <c r="K85" s="100"/>
      <c r="L85" s="100"/>
      <c r="M85" s="113"/>
      <c r="N85" s="100"/>
    </row>
    <row r="86" spans="1:14" x14ac:dyDescent="0.35">
      <c r="A86" s="100"/>
      <c r="B86" s="100"/>
      <c r="C86" s="100"/>
      <c r="D86" s="100"/>
      <c r="E86" s="100"/>
      <c r="F86" s="100"/>
      <c r="G86" s="100"/>
      <c r="H86" s="100"/>
      <c r="I86" s="100"/>
      <c r="J86" s="100"/>
      <c r="K86" s="100"/>
      <c r="L86" s="100"/>
      <c r="M86" s="113"/>
      <c r="N86" s="100"/>
    </row>
    <row r="87" spans="1:14" x14ac:dyDescent="0.35">
      <c r="A87" s="100"/>
      <c r="B87" s="100"/>
      <c r="C87" s="100"/>
      <c r="D87" s="100"/>
      <c r="E87" s="100"/>
      <c r="F87" s="100"/>
      <c r="G87" s="100"/>
      <c r="H87" s="100"/>
      <c r="I87" s="100"/>
      <c r="J87" s="100"/>
      <c r="K87" s="100"/>
      <c r="L87" s="100"/>
      <c r="M87" s="113"/>
      <c r="N87" s="100"/>
    </row>
    <row r="96" spans="1:14" hidden="1" x14ac:dyDescent="0.35">
      <c r="L96">
        <v>2</v>
      </c>
    </row>
    <row r="97" spans="12:12" hidden="1" x14ac:dyDescent="0.35">
      <c r="L97">
        <v>3</v>
      </c>
    </row>
    <row r="98" spans="12:12" hidden="1" x14ac:dyDescent="0.35">
      <c r="L98">
        <v>4</v>
      </c>
    </row>
    <row r="99" spans="12:12" hidden="1" x14ac:dyDescent="0.35">
      <c r="L99">
        <v>5</v>
      </c>
    </row>
  </sheetData>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14">
    <mergeCell ref="B15:C15"/>
    <mergeCell ref="A9:N11"/>
    <mergeCell ref="B13:C13"/>
    <mergeCell ref="B14:C14"/>
    <mergeCell ref="B22:C22"/>
    <mergeCell ref="B23:C23"/>
    <mergeCell ref="B24:C24"/>
    <mergeCell ref="A34:N39"/>
    <mergeCell ref="B16:C16"/>
    <mergeCell ref="B17:C17"/>
    <mergeCell ref="B18:C18"/>
    <mergeCell ref="B19:C19"/>
    <mergeCell ref="B20:C20"/>
    <mergeCell ref="B21:C21"/>
  </mergeCells>
  <pageMargins left="0.7" right="0.7" top="0.75" bottom="0.75" header="0.3" footer="0.3"/>
  <pageSetup orientation="portrait" horizontalDpi="1200" verticalDpi="1200"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9"/>
  <dimension ref="A1:AE76"/>
  <sheetViews>
    <sheetView workbookViewId="0"/>
  </sheetViews>
  <sheetFormatPr defaultColWidth="9.1796875" defaultRowHeight="14.5" x14ac:dyDescent="0.35"/>
  <cols>
    <col min="1" max="1" width="9.7265625" customWidth="1"/>
    <col min="2" max="2" width="16" customWidth="1"/>
    <col min="3" max="3" width="19.453125" customWidth="1"/>
    <col min="4" max="4" width="15.453125" customWidth="1"/>
    <col min="5" max="5" width="2.26953125" customWidth="1"/>
    <col min="6" max="6" width="18.54296875" customWidth="1"/>
    <col min="7" max="7" width="18.54296875" style="261" customWidth="1"/>
    <col min="8" max="8" width="18.54296875" style="48" customWidth="1"/>
    <col min="9" max="9" width="18.54296875" customWidth="1"/>
    <col min="10" max="10" width="18.54296875" style="48" customWidth="1"/>
    <col min="11" max="11" width="18.54296875" customWidth="1"/>
    <col min="12" max="12" width="18.54296875" style="48" customWidth="1"/>
    <col min="13" max="13" width="2.7265625" customWidth="1"/>
    <col min="14" max="14" width="18.54296875" customWidth="1"/>
    <col min="15" max="15" width="18.54296875" style="261" customWidth="1"/>
    <col min="16" max="16" width="18.54296875" style="48" customWidth="1"/>
    <col min="17" max="17" width="18.54296875" customWidth="1"/>
    <col min="18" max="18" width="18.54296875" style="48" customWidth="1"/>
    <col min="19" max="19" width="18.54296875" customWidth="1"/>
    <col min="20" max="20" width="18.54296875" style="48" customWidth="1"/>
    <col min="21" max="21" width="2.7265625" customWidth="1"/>
    <col min="22" max="22" width="12.1796875" customWidth="1"/>
    <col min="23" max="23" width="15" style="261" bestFit="1" customWidth="1"/>
    <col min="24" max="24" width="12.1796875" style="48" customWidth="1"/>
    <col min="25" max="25" width="12.1796875" customWidth="1"/>
    <col min="26" max="26" width="15.26953125" style="261" customWidth="1"/>
    <col min="27" max="27" width="12.1796875" style="48" customWidth="1"/>
    <col min="28" max="28" width="24.54296875" customWidth="1"/>
  </cols>
  <sheetData>
    <row r="1" spans="1:31" ht="26" x14ac:dyDescent="0.6">
      <c r="A1" s="3" t="s">
        <v>774</v>
      </c>
    </row>
    <row r="2" spans="1:31" ht="21" x14ac:dyDescent="0.5">
      <c r="A2" s="2" t="s">
        <v>772</v>
      </c>
    </row>
    <row r="3" spans="1:31" ht="25" customHeight="1" x14ac:dyDescent="0.5">
      <c r="A3" s="494" t="s">
        <v>756</v>
      </c>
      <c r="B3" s="494"/>
      <c r="C3" s="494"/>
      <c r="D3" s="494"/>
      <c r="E3" s="494"/>
      <c r="F3" s="494"/>
      <c r="G3" s="319"/>
      <c r="H3" s="322"/>
    </row>
    <row r="4" spans="1:31" x14ac:dyDescent="0.35">
      <c r="A4" s="48"/>
    </row>
    <row r="5" spans="1:31" x14ac:dyDescent="0.35">
      <c r="A5" s="1" t="s">
        <v>773</v>
      </c>
      <c r="C5" s="421" t="str">
        <f>Results!$C$6</f>
        <v>Health Solutions</v>
      </c>
    </row>
    <row r="6" spans="1:31" x14ac:dyDescent="0.35">
      <c r="A6" s="1" t="s">
        <v>0</v>
      </c>
      <c r="C6" s="35">
        <f>Results!$C$7</f>
        <v>45473</v>
      </c>
      <c r="F6" s="35"/>
      <c r="G6" s="320"/>
      <c r="H6" s="60"/>
      <c r="V6" s="130"/>
      <c r="W6" s="330"/>
      <c r="X6" s="130"/>
      <c r="Y6" s="130"/>
      <c r="Z6" s="330"/>
      <c r="AA6" s="130"/>
      <c r="AB6" s="130"/>
    </row>
    <row r="7" spans="1:31" x14ac:dyDescent="0.35">
      <c r="V7" s="40"/>
      <c r="W7" s="260"/>
      <c r="X7" s="40"/>
      <c r="Y7" s="40"/>
      <c r="Z7" s="260"/>
      <c r="AA7" s="40"/>
      <c r="AB7" s="40"/>
    </row>
    <row r="8" spans="1:31" x14ac:dyDescent="0.35">
      <c r="A8" s="1" t="s">
        <v>253</v>
      </c>
      <c r="B8" s="1" t="s">
        <v>611</v>
      </c>
      <c r="C8" s="1"/>
      <c r="D8" s="119" t="str">
        <f>'As-Filed Schedule 2A'!D8</f>
        <v>Yes</v>
      </c>
      <c r="E8" s="41" t="s">
        <v>259</v>
      </c>
      <c r="V8" s="40"/>
      <c r="W8" s="260"/>
      <c r="X8" s="40"/>
      <c r="Y8" s="40"/>
      <c r="Z8" s="260"/>
      <c r="AA8" s="40"/>
      <c r="AB8" s="40"/>
    </row>
    <row r="9" spans="1:31" x14ac:dyDescent="0.35">
      <c r="V9" s="130"/>
      <c r="W9" s="330"/>
      <c r="X9" s="130"/>
      <c r="Y9" s="130"/>
      <c r="Z9" s="330"/>
      <c r="AA9" s="130"/>
      <c r="AB9" s="130"/>
    </row>
    <row r="10" spans="1:31" x14ac:dyDescent="0.35">
      <c r="A10" s="1" t="s">
        <v>254</v>
      </c>
      <c r="B10" s="1" t="s">
        <v>256</v>
      </c>
      <c r="C10" s="1"/>
      <c r="V10" s="40"/>
      <c r="W10" s="260"/>
      <c r="X10" s="40"/>
      <c r="Y10" s="40"/>
      <c r="Z10" s="260"/>
      <c r="AA10" s="40"/>
      <c r="AB10" s="40"/>
    </row>
    <row r="11" spans="1:31" x14ac:dyDescent="0.35">
      <c r="A11" s="1"/>
      <c r="B11" s="323" t="s">
        <v>598</v>
      </c>
      <c r="C11" s="1"/>
      <c r="V11" s="40"/>
      <c r="W11" s="260"/>
      <c r="X11" s="40"/>
      <c r="Y11" s="40"/>
      <c r="Z11" s="260"/>
      <c r="AA11" s="40"/>
      <c r="AB11" s="40"/>
    </row>
    <row r="12" spans="1:31" x14ac:dyDescent="0.35">
      <c r="B12" s="508">
        <v>1</v>
      </c>
      <c r="C12" s="508"/>
      <c r="D12" s="508"/>
      <c r="F12" s="23">
        <v>2</v>
      </c>
      <c r="G12" s="256" t="s">
        <v>556</v>
      </c>
      <c r="H12" s="257" t="s">
        <v>557</v>
      </c>
      <c r="I12" s="23">
        <v>3</v>
      </c>
      <c r="J12" s="257" t="s">
        <v>561</v>
      </c>
      <c r="K12" s="23">
        <v>4</v>
      </c>
      <c r="L12" s="257" t="s">
        <v>614</v>
      </c>
      <c r="N12" s="23">
        <v>5</v>
      </c>
      <c r="O12" s="256" t="s">
        <v>566</v>
      </c>
      <c r="P12" s="257" t="s">
        <v>567</v>
      </c>
      <c r="Q12" s="23">
        <v>6</v>
      </c>
      <c r="R12" s="257" t="s">
        <v>571</v>
      </c>
      <c r="S12" s="23">
        <v>7</v>
      </c>
      <c r="T12" s="257" t="s">
        <v>575</v>
      </c>
      <c r="V12" s="23">
        <v>8</v>
      </c>
      <c r="W12" s="256" t="s">
        <v>616</v>
      </c>
      <c r="X12" s="257" t="s">
        <v>617</v>
      </c>
      <c r="Y12" s="23">
        <v>9</v>
      </c>
      <c r="Z12" s="256" t="s">
        <v>618</v>
      </c>
      <c r="AA12" s="257" t="s">
        <v>619</v>
      </c>
      <c r="AC12" s="40"/>
      <c r="AD12" s="40"/>
      <c r="AE12" s="40"/>
    </row>
    <row r="13" spans="1:31" x14ac:dyDescent="0.35">
      <c r="B13" s="517" t="s">
        <v>612</v>
      </c>
      <c r="C13" s="518"/>
      <c r="D13" s="519"/>
      <c r="F13" s="511" t="s">
        <v>261</v>
      </c>
      <c r="G13" s="516"/>
      <c r="H13" s="516"/>
      <c r="I13" s="516"/>
      <c r="J13" s="516"/>
      <c r="K13" s="512"/>
      <c r="L13" s="324"/>
      <c r="N13" s="511" t="s">
        <v>262</v>
      </c>
      <c r="O13" s="516"/>
      <c r="P13" s="516"/>
      <c r="Q13" s="516"/>
      <c r="R13" s="516"/>
      <c r="S13" s="512"/>
      <c r="T13" s="324"/>
      <c r="V13" s="514" t="s">
        <v>250</v>
      </c>
      <c r="W13" s="564" t="s">
        <v>620</v>
      </c>
      <c r="X13" s="566" t="s">
        <v>621</v>
      </c>
      <c r="Y13" s="514" t="s">
        <v>312</v>
      </c>
      <c r="Z13" s="564" t="s">
        <v>622</v>
      </c>
      <c r="AA13" s="566" t="s">
        <v>623</v>
      </c>
      <c r="AC13" s="40"/>
      <c r="AD13" s="40"/>
      <c r="AE13" s="40"/>
    </row>
    <row r="14" spans="1:31" ht="56.25" customHeight="1" x14ac:dyDescent="0.35">
      <c r="B14" s="520"/>
      <c r="C14" s="521"/>
      <c r="D14" s="522"/>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V14" s="515"/>
      <c r="W14" s="565"/>
      <c r="X14" s="567"/>
      <c r="Y14" s="515"/>
      <c r="Z14" s="565"/>
      <c r="AA14" s="567"/>
    </row>
    <row r="15" spans="1:31" x14ac:dyDescent="0.35">
      <c r="A15" s="24">
        <v>1</v>
      </c>
      <c r="B15" s="513" t="str">
        <f>IF('As-Filed Schedule 2A'!B15:D15=0,"",'As-Filed Schedule 2A'!B15:D15)</f>
        <v>Crisis Living Room</v>
      </c>
      <c r="C15" s="513"/>
      <c r="D15" s="513"/>
      <c r="F15" s="117">
        <f>'As-Filed Schedule 2A'!F15</f>
        <v>2622217.9146693749</v>
      </c>
      <c r="G15" s="314">
        <f>SUMIFS(Adjustments!$G:$G,Adjustments!$H:$H,"2A",Adjustments!$I:$I,'Schedule 2A Adjustments'!$F$12,Adjustments!$J:$J,'Schedule 2A Adjustments'!A15)</f>
        <v>0</v>
      </c>
      <c r="H15" s="310">
        <f>SUM(F15:G15)</f>
        <v>2622217.9146693749</v>
      </c>
      <c r="I15" s="68">
        <f>IFERROR(F15*'As-Filed Schedule 1'!$E$103,0)</f>
        <v>809433.68813695095</v>
      </c>
      <c r="J15" s="311">
        <f>IFERROR(H15*'Adjusted Schedule 1'!$E$104,0)</f>
        <v>809433.68813695095</v>
      </c>
      <c r="K15" s="68">
        <f>SUM(F15,I15)</f>
        <v>3431651.602806326</v>
      </c>
      <c r="L15" s="311">
        <f>SUM(H15,J15)</f>
        <v>3431651.602806326</v>
      </c>
      <c r="N15" s="117">
        <f>'As-Filed Schedule 2A'!J15</f>
        <v>0</v>
      </c>
      <c r="O15" s="314">
        <f>SUMIFS(Adjustments!$G:$G,Adjustments!$H:$H,"2A",Adjustments!$I:$I,'Schedule 2A Adjustments'!$N$12,Adjustments!$J:$J,'Schedule 2A Adjustments'!A15)</f>
        <v>0</v>
      </c>
      <c r="P15" s="310">
        <f>SUM(N15:O15)</f>
        <v>0</v>
      </c>
      <c r="Q15" s="68">
        <f>IFERROR(N15*'As-Filed Schedule 1'!$E$103,0)</f>
        <v>0</v>
      </c>
      <c r="R15" s="311">
        <f>IFERROR(P15*'Adjusted Schedule 1'!$E$104,0)</f>
        <v>0</v>
      </c>
      <c r="S15" s="68">
        <f t="shared" ref="S15:S21" si="0">SUM(N15,Q15)</f>
        <v>0</v>
      </c>
      <c r="T15" s="311">
        <f>SUM(P15,R15)</f>
        <v>0</v>
      </c>
      <c r="V15" s="120">
        <f>'As-Filed Schedule 2A'!N15</f>
        <v>25.220833333333331</v>
      </c>
      <c r="W15" s="314">
        <f>SUMIFS(Adjustments!$G:$G,Adjustments!$H:$H,"2A",Adjustments!$I:$I,'Schedule 2A Adjustments'!$V$12,Adjustments!$J:$J,'Schedule 2A Adjustments'!A15)</f>
        <v>0</v>
      </c>
      <c r="X15" s="327">
        <f>SUM(V15:W15)</f>
        <v>25.220833333333331</v>
      </c>
      <c r="Y15" s="120">
        <f>'As-Filed Schedule 2A'!O15</f>
        <v>1995</v>
      </c>
      <c r="Z15" s="314">
        <f>SUMIFS(Adjustments!$G:$G,Adjustments!$H:$H,"2A",Adjustments!$I:$I,'Schedule 2A Adjustments'!$Y$12,Adjustments!$J:$J,'Schedule 2A Adjustments'!A15)</f>
        <v>0</v>
      </c>
      <c r="AA15" s="327">
        <f>SUM(Y15:Z15)</f>
        <v>1995</v>
      </c>
    </row>
    <row r="16" spans="1:31" x14ac:dyDescent="0.35">
      <c r="A16" s="24">
        <v>2</v>
      </c>
      <c r="B16" s="513" t="str">
        <f>IF('As-Filed Schedule 2A'!B16:D16=0,"",'As-Filed Schedule 2A'!B16:D16)</f>
        <v>Mobile Crisis Services</v>
      </c>
      <c r="C16" s="513"/>
      <c r="D16" s="513"/>
      <c r="F16" s="117">
        <f>'As-Filed Schedule 2A'!F16</f>
        <v>380742.35627589334</v>
      </c>
      <c r="G16" s="314">
        <f>SUMIFS(Adjustments!$G:$G,Adjustments!$H:$H,"2A",Adjustments!$I:$I,'Schedule 2A Adjustments'!$F$12,Adjustments!$J:$J,'Schedule 2A Adjustments'!A16)</f>
        <v>0</v>
      </c>
      <c r="H16" s="310">
        <f t="shared" ref="H16:H72" si="1">SUM(F16:G16)</f>
        <v>380742.35627589334</v>
      </c>
      <c r="I16" s="68">
        <f>IFERROR(F16*'As-Filed Schedule 1'!$E$103,0)</f>
        <v>117528.63404154083</v>
      </c>
      <c r="J16" s="311">
        <f>IFERROR(H16*'Adjusted Schedule 1'!$E$104,0)</f>
        <v>117528.63404154083</v>
      </c>
      <c r="K16" s="68">
        <f>SUM(F16,I16)</f>
        <v>498270.99031743419</v>
      </c>
      <c r="L16" s="311">
        <f t="shared" ref="L16:L72" si="2">SUM(H16,J16)</f>
        <v>498270.99031743419</v>
      </c>
      <c r="N16" s="117">
        <f>'As-Filed Schedule 2A'!J16</f>
        <v>0</v>
      </c>
      <c r="O16" s="314">
        <f>SUMIFS(Adjustments!$G:$G,Adjustments!$H:$H,"2A",Adjustments!$I:$I,'Schedule 2A Adjustments'!$N$12,Adjustments!$J:$J,'Schedule 2A Adjustments'!A16)</f>
        <v>0</v>
      </c>
      <c r="P16" s="310">
        <f t="shared" ref="P16:P72" si="3">SUM(N16:O16)</f>
        <v>0</v>
      </c>
      <c r="Q16" s="68">
        <f>IFERROR(N16*'As-Filed Schedule 1'!$E$103,0)</f>
        <v>0</v>
      </c>
      <c r="R16" s="311">
        <f>IFERROR(P16*'Adjusted Schedule 1'!$E$104,0)</f>
        <v>0</v>
      </c>
      <c r="S16" s="68">
        <f t="shared" si="0"/>
        <v>0</v>
      </c>
      <c r="T16" s="311">
        <f t="shared" ref="T16:T72" si="4">SUM(P16,R16)</f>
        <v>0</v>
      </c>
      <c r="V16" s="120">
        <f>'As-Filed Schedule 2A'!N16</f>
        <v>3.0500000000000003</v>
      </c>
      <c r="W16" s="314">
        <f>SUMIFS(Adjustments!$G:$G,Adjustments!$H:$H,"2A",Adjustments!$I:$I,'Schedule 2A Adjustments'!$V$12,Adjustments!$J:$J,'Schedule 2A Adjustments'!A16)</f>
        <v>0</v>
      </c>
      <c r="X16" s="327">
        <f t="shared" ref="X16:X72" si="5">SUM(V16:W16)</f>
        <v>3.0500000000000003</v>
      </c>
      <c r="Y16" s="120">
        <f>'As-Filed Schedule 2A'!O16</f>
        <v>302</v>
      </c>
      <c r="Z16" s="314">
        <f>SUMIFS(Adjustments!$G:$G,Adjustments!$H:$H,"2A",Adjustments!$I:$I,'Schedule 2A Adjustments'!$Y$12,Adjustments!$J:$J,'Schedule 2A Adjustments'!A16)</f>
        <v>0</v>
      </c>
      <c r="AA16" s="327">
        <f t="shared" ref="AA16:AA72" si="6">SUM(Y16:Z16)</f>
        <v>302</v>
      </c>
    </row>
    <row r="17" spans="1:27" x14ac:dyDescent="0.35">
      <c r="A17" s="24">
        <v>3</v>
      </c>
      <c r="B17" s="513" t="str">
        <f>IF('As-Filed Schedule 2A'!B17:D17=0,"",'As-Filed Schedule 2A'!B17:D17)</f>
        <v>Respite Services</v>
      </c>
      <c r="C17" s="513"/>
      <c r="D17" s="513"/>
      <c r="F17" s="117">
        <f>'As-Filed Schedule 2A'!F17</f>
        <v>835630.69874741067</v>
      </c>
      <c r="G17" s="314">
        <f>SUMIFS(Adjustments!$G:$G,Adjustments!$H:$H,"2A",Adjustments!$I:$I,'Schedule 2A Adjustments'!$F$12,Adjustments!$J:$J,'Schedule 2A Adjustments'!A17)</f>
        <v>0</v>
      </c>
      <c r="H17" s="310">
        <f t="shared" si="1"/>
        <v>835630.69874741067</v>
      </c>
      <c r="I17" s="68">
        <f>IFERROR(F17*'As-Filed Schedule 1'!$E$103,0)</f>
        <v>257944.86210458868</v>
      </c>
      <c r="J17" s="311">
        <f>IFERROR(H17*'Adjusted Schedule 1'!$E$104,0)</f>
        <v>257944.86210458868</v>
      </c>
      <c r="K17" s="68">
        <f>SUM(F17,I17)</f>
        <v>1093575.5608519993</v>
      </c>
      <c r="L17" s="311">
        <f t="shared" si="2"/>
        <v>1093575.5608519993</v>
      </c>
      <c r="N17" s="117">
        <f>'As-Filed Schedule 2A'!J17</f>
        <v>0</v>
      </c>
      <c r="O17" s="314">
        <f>SUMIFS(Adjustments!$G:$G,Adjustments!$H:$H,"2A",Adjustments!$I:$I,'Schedule 2A Adjustments'!$N$12,Adjustments!$J:$J,'Schedule 2A Adjustments'!A17)</f>
        <v>0</v>
      </c>
      <c r="P17" s="310">
        <f t="shared" si="3"/>
        <v>0</v>
      </c>
      <c r="Q17" s="68">
        <f>IFERROR(N17*'As-Filed Schedule 1'!$E$103,0)</f>
        <v>0</v>
      </c>
      <c r="R17" s="311">
        <f>IFERROR(P17*'Adjusted Schedule 1'!$E$104,0)</f>
        <v>0</v>
      </c>
      <c r="S17" s="68">
        <f t="shared" si="0"/>
        <v>0</v>
      </c>
      <c r="T17" s="311">
        <f>SUM(P17,R17)</f>
        <v>0</v>
      </c>
      <c r="V17" s="120">
        <f>'As-Filed Schedule 2A'!N17</f>
        <v>9.3500000000000014</v>
      </c>
      <c r="W17" s="314">
        <f>SUMIFS(Adjustments!$G:$G,Adjustments!$H:$H,"2A",Adjustments!$I:$I,'Schedule 2A Adjustments'!$V$12,Adjustments!$J:$J,'Schedule 2A Adjustments'!A17)</f>
        <v>0</v>
      </c>
      <c r="X17" s="327">
        <f t="shared" si="5"/>
        <v>9.3500000000000014</v>
      </c>
      <c r="Y17" s="120">
        <f>'As-Filed Schedule 2A'!O17</f>
        <v>484</v>
      </c>
      <c r="Z17" s="314">
        <f>SUMIFS(Adjustments!$G:$G,Adjustments!$H:$H,"2A",Adjustments!$I:$I,'Schedule 2A Adjustments'!$Y$12,Adjustments!$J:$J,'Schedule 2A Adjustments'!A17)</f>
        <v>0</v>
      </c>
      <c r="AA17" s="327">
        <f t="shared" si="6"/>
        <v>484</v>
      </c>
    </row>
    <row r="18" spans="1:27" x14ac:dyDescent="0.35">
      <c r="A18" s="24">
        <v>4</v>
      </c>
      <c r="B18" s="513" t="str">
        <f>IF('As-Filed Schedule 2A'!B18:D18=0,"",'As-Filed Schedule 2A'!B18:D18)</f>
        <v/>
      </c>
      <c r="C18" s="513"/>
      <c r="D18" s="513"/>
      <c r="F18" s="117">
        <f>'As-Filed Schedule 2A'!F18</f>
        <v>0</v>
      </c>
      <c r="G18" s="314">
        <f>SUMIFS(Adjustments!$G:$G,Adjustments!$H:$H,"2A",Adjustments!$I:$I,'Schedule 2A Adjustments'!$F$12,Adjustments!$J:$J,'Schedule 2A Adjustments'!A18)</f>
        <v>0</v>
      </c>
      <c r="H18" s="310">
        <f t="shared" si="1"/>
        <v>0</v>
      </c>
      <c r="I18" s="68">
        <f>IFERROR(F18*'As-Filed Schedule 1'!$E$103,0)</f>
        <v>0</v>
      </c>
      <c r="J18" s="311">
        <f>IFERROR(H18*'Adjusted Schedule 1'!$E$104,0)</f>
        <v>0</v>
      </c>
      <c r="K18" s="68">
        <f t="shared" ref="K18:K72" si="7">SUM(F18,I18)</f>
        <v>0</v>
      </c>
      <c r="L18" s="311">
        <f t="shared" si="2"/>
        <v>0</v>
      </c>
      <c r="N18" s="117">
        <f>'As-Filed Schedule 2A'!J18</f>
        <v>0</v>
      </c>
      <c r="O18" s="314">
        <f>SUMIFS(Adjustments!$G:$G,Adjustments!$H:$H,"2A",Adjustments!$I:$I,'Schedule 2A Adjustments'!$N$12,Adjustments!$J:$J,'Schedule 2A Adjustments'!A18)</f>
        <v>0</v>
      </c>
      <c r="P18" s="310">
        <f t="shared" si="3"/>
        <v>0</v>
      </c>
      <c r="Q18" s="68">
        <f>IFERROR(N18*'As-Filed Schedule 1'!$E$103,0)</f>
        <v>0</v>
      </c>
      <c r="R18" s="311">
        <f>IFERROR(P18*'Adjusted Schedule 1'!$E$104,0)</f>
        <v>0</v>
      </c>
      <c r="S18" s="68">
        <f t="shared" si="0"/>
        <v>0</v>
      </c>
      <c r="T18" s="311">
        <f t="shared" si="4"/>
        <v>0</v>
      </c>
      <c r="V18" s="120">
        <f>'As-Filed Schedule 2A'!N18</f>
        <v>0</v>
      </c>
      <c r="W18" s="314">
        <f>SUMIFS(Adjustments!$G:$G,Adjustments!$H:$H,"2A",Adjustments!$I:$I,'Schedule 2A Adjustments'!$V$12,Adjustments!$J:$J,'Schedule 2A Adjustments'!A18)</f>
        <v>0</v>
      </c>
      <c r="X18" s="327">
        <f t="shared" si="5"/>
        <v>0</v>
      </c>
      <c r="Y18" s="120">
        <f>'As-Filed Schedule 2A'!O18</f>
        <v>0</v>
      </c>
      <c r="Z18" s="314">
        <f>SUMIFS(Adjustments!$G:$G,Adjustments!$H:$H,"2A",Adjustments!$I:$I,'Schedule 2A Adjustments'!$Y$12,Adjustments!$J:$J,'Schedule 2A Adjustments'!A18)</f>
        <v>0</v>
      </c>
      <c r="AA18" s="327">
        <f t="shared" si="6"/>
        <v>0</v>
      </c>
    </row>
    <row r="19" spans="1:27" x14ac:dyDescent="0.35">
      <c r="A19" s="24">
        <v>5</v>
      </c>
      <c r="B19" s="513" t="str">
        <f>IF('As-Filed Schedule 2A'!B19:D19=0,"",'As-Filed Schedule 2A'!B19:D19)</f>
        <v/>
      </c>
      <c r="C19" s="513"/>
      <c r="D19" s="513"/>
      <c r="F19" s="117">
        <f>'As-Filed Schedule 2A'!F19</f>
        <v>0</v>
      </c>
      <c r="G19" s="314">
        <f>SUMIFS(Adjustments!$G:$G,Adjustments!$H:$H,"2A",Adjustments!$I:$I,'Schedule 2A Adjustments'!$F$12,Adjustments!$J:$J,'Schedule 2A Adjustments'!A19)</f>
        <v>0</v>
      </c>
      <c r="H19" s="310">
        <f t="shared" si="1"/>
        <v>0</v>
      </c>
      <c r="I19" s="68">
        <f>IFERROR(F19*'As-Filed Schedule 1'!$E$103,0)</f>
        <v>0</v>
      </c>
      <c r="J19" s="311">
        <f>IFERROR(H19*'Adjusted Schedule 1'!$E$104,0)</f>
        <v>0</v>
      </c>
      <c r="K19" s="68">
        <f t="shared" si="7"/>
        <v>0</v>
      </c>
      <c r="L19" s="311">
        <f t="shared" si="2"/>
        <v>0</v>
      </c>
      <c r="N19" s="117">
        <f>'As-Filed Schedule 2A'!J19</f>
        <v>0</v>
      </c>
      <c r="O19" s="314">
        <f>SUMIFS(Adjustments!$G:$G,Adjustments!$H:$H,"2A",Adjustments!$I:$I,'Schedule 2A Adjustments'!$N$12,Adjustments!$J:$J,'Schedule 2A Adjustments'!A19)</f>
        <v>0</v>
      </c>
      <c r="P19" s="310">
        <f t="shared" si="3"/>
        <v>0</v>
      </c>
      <c r="Q19" s="68">
        <f>IFERROR(N19*'As-Filed Schedule 1'!$E$103,0)</f>
        <v>0</v>
      </c>
      <c r="R19" s="311">
        <f>IFERROR(P19*'Adjusted Schedule 1'!$E$104,0)</f>
        <v>0</v>
      </c>
      <c r="S19" s="68">
        <f t="shared" si="0"/>
        <v>0</v>
      </c>
      <c r="T19" s="311">
        <f t="shared" si="4"/>
        <v>0</v>
      </c>
      <c r="V19" s="120">
        <f>'As-Filed Schedule 2A'!N19</f>
        <v>0</v>
      </c>
      <c r="W19" s="314">
        <f>SUMIFS(Adjustments!$G:$G,Adjustments!$H:$H,"2A",Adjustments!$I:$I,'Schedule 2A Adjustments'!$V$12,Adjustments!$J:$J,'Schedule 2A Adjustments'!A19)</f>
        <v>0</v>
      </c>
      <c r="X19" s="327">
        <f t="shared" si="5"/>
        <v>0</v>
      </c>
      <c r="Y19" s="120">
        <f>'As-Filed Schedule 2A'!O19</f>
        <v>0</v>
      </c>
      <c r="Z19" s="314">
        <f>SUMIFS(Adjustments!$G:$G,Adjustments!$H:$H,"2A",Adjustments!$I:$I,'Schedule 2A Adjustments'!$Y$12,Adjustments!$J:$J,'Schedule 2A Adjustments'!A19)</f>
        <v>0</v>
      </c>
      <c r="AA19" s="327">
        <f t="shared" si="6"/>
        <v>0</v>
      </c>
    </row>
    <row r="20" spans="1:27" x14ac:dyDescent="0.35">
      <c r="A20" s="24">
        <v>6</v>
      </c>
      <c r="B20" s="513" t="str">
        <f>IF('As-Filed Schedule 2A'!B20:D20=0,"",'As-Filed Schedule 2A'!B20:D20)</f>
        <v/>
      </c>
      <c r="C20" s="513"/>
      <c r="D20" s="513"/>
      <c r="F20" s="117">
        <f>'As-Filed Schedule 2A'!F20</f>
        <v>0</v>
      </c>
      <c r="G20" s="314">
        <f>SUMIFS(Adjustments!$G:$G,Adjustments!$H:$H,"2A",Adjustments!$I:$I,'Schedule 2A Adjustments'!$F$12,Adjustments!$J:$J,'Schedule 2A Adjustments'!A20)</f>
        <v>0</v>
      </c>
      <c r="H20" s="310">
        <f t="shared" si="1"/>
        <v>0</v>
      </c>
      <c r="I20" s="68">
        <f>IFERROR(F20*'As-Filed Schedule 1'!$E$103,0)</f>
        <v>0</v>
      </c>
      <c r="J20" s="311">
        <f>IFERROR(H20*'Adjusted Schedule 1'!$E$104,0)</f>
        <v>0</v>
      </c>
      <c r="K20" s="68">
        <f t="shared" si="7"/>
        <v>0</v>
      </c>
      <c r="L20" s="311">
        <f t="shared" si="2"/>
        <v>0</v>
      </c>
      <c r="N20" s="117">
        <f>'As-Filed Schedule 2A'!J20</f>
        <v>0</v>
      </c>
      <c r="O20" s="314">
        <f>SUMIFS(Adjustments!$G:$G,Adjustments!$H:$H,"2A",Adjustments!$I:$I,'Schedule 2A Adjustments'!$N$12,Adjustments!$J:$J,'Schedule 2A Adjustments'!A20)</f>
        <v>0</v>
      </c>
      <c r="P20" s="310">
        <f t="shared" si="3"/>
        <v>0</v>
      </c>
      <c r="Q20" s="68">
        <f>IFERROR(N20*'As-Filed Schedule 1'!$E$103,0)</f>
        <v>0</v>
      </c>
      <c r="R20" s="311">
        <f>IFERROR(P20*'Adjusted Schedule 1'!$E$104,0)</f>
        <v>0</v>
      </c>
      <c r="S20" s="68">
        <f t="shared" si="0"/>
        <v>0</v>
      </c>
      <c r="T20" s="311">
        <f t="shared" si="4"/>
        <v>0</v>
      </c>
      <c r="V20" s="120">
        <f>'As-Filed Schedule 2A'!N20</f>
        <v>0</v>
      </c>
      <c r="W20" s="314">
        <f>SUMIFS(Adjustments!$G:$G,Adjustments!$H:$H,"2A",Adjustments!$I:$I,'Schedule 2A Adjustments'!$V$12,Adjustments!$J:$J,'Schedule 2A Adjustments'!A20)</f>
        <v>0</v>
      </c>
      <c r="X20" s="327">
        <f t="shared" si="5"/>
        <v>0</v>
      </c>
      <c r="Y20" s="120">
        <f>'As-Filed Schedule 2A'!O20</f>
        <v>0</v>
      </c>
      <c r="Z20" s="314">
        <f>SUMIFS(Adjustments!$G:$G,Adjustments!$H:$H,"2A",Adjustments!$I:$I,'Schedule 2A Adjustments'!$Y$12,Adjustments!$J:$J,'Schedule 2A Adjustments'!A20)</f>
        <v>0</v>
      </c>
      <c r="AA20" s="327">
        <f t="shared" si="6"/>
        <v>0</v>
      </c>
    </row>
    <row r="21" spans="1:27" x14ac:dyDescent="0.35">
      <c r="A21" s="24">
        <v>7</v>
      </c>
      <c r="B21" s="513" t="str">
        <f>IF('As-Filed Schedule 2A'!B21:D21=0,"",'As-Filed Schedule 2A'!B21:D21)</f>
        <v/>
      </c>
      <c r="C21" s="513"/>
      <c r="D21" s="513"/>
      <c r="F21" s="117">
        <f>'As-Filed Schedule 2A'!F21</f>
        <v>0</v>
      </c>
      <c r="G21" s="314">
        <f>SUMIFS(Adjustments!$G:$G,Adjustments!$H:$H,"2A",Adjustments!$I:$I,'Schedule 2A Adjustments'!$F$12,Adjustments!$J:$J,'Schedule 2A Adjustments'!A21)</f>
        <v>0</v>
      </c>
      <c r="H21" s="310">
        <f t="shared" si="1"/>
        <v>0</v>
      </c>
      <c r="I21" s="68">
        <f>IFERROR(F21*'As-Filed Schedule 1'!$E$103,0)</f>
        <v>0</v>
      </c>
      <c r="J21" s="311">
        <f>IFERROR(H21*'Adjusted Schedule 1'!$E$104,0)</f>
        <v>0</v>
      </c>
      <c r="K21" s="68">
        <f t="shared" si="7"/>
        <v>0</v>
      </c>
      <c r="L21" s="311">
        <f t="shared" si="2"/>
        <v>0</v>
      </c>
      <c r="N21" s="117">
        <f>'As-Filed Schedule 2A'!J21</f>
        <v>0</v>
      </c>
      <c r="O21" s="314">
        <f>SUMIFS(Adjustments!$G:$G,Adjustments!$H:$H,"2A",Adjustments!$I:$I,'Schedule 2A Adjustments'!$N$12,Adjustments!$J:$J,'Schedule 2A Adjustments'!A21)</f>
        <v>0</v>
      </c>
      <c r="P21" s="310">
        <f t="shared" si="3"/>
        <v>0</v>
      </c>
      <c r="Q21" s="68">
        <f>IFERROR(N21*'As-Filed Schedule 1'!$E$103,0)</f>
        <v>0</v>
      </c>
      <c r="R21" s="311">
        <f>IFERROR(P21*'Adjusted Schedule 1'!$E$104,0)</f>
        <v>0</v>
      </c>
      <c r="S21" s="68">
        <f t="shared" si="0"/>
        <v>0</v>
      </c>
      <c r="T21" s="311">
        <f t="shared" si="4"/>
        <v>0</v>
      </c>
      <c r="V21" s="120">
        <f>'As-Filed Schedule 2A'!N21</f>
        <v>0</v>
      </c>
      <c r="W21" s="314">
        <f>SUMIFS(Adjustments!$G:$G,Adjustments!$H:$H,"2A",Adjustments!$I:$I,'Schedule 2A Adjustments'!$V$12,Adjustments!$J:$J,'Schedule 2A Adjustments'!A21)</f>
        <v>0</v>
      </c>
      <c r="X21" s="327">
        <f t="shared" si="5"/>
        <v>0</v>
      </c>
      <c r="Y21" s="120">
        <f>'As-Filed Schedule 2A'!O21</f>
        <v>0</v>
      </c>
      <c r="Z21" s="314">
        <f>SUMIFS(Adjustments!$G:$G,Adjustments!$H:$H,"2A",Adjustments!$I:$I,'Schedule 2A Adjustments'!$Y$12,Adjustments!$J:$J,'Schedule 2A Adjustments'!A21)</f>
        <v>0</v>
      </c>
      <c r="AA21" s="327">
        <f t="shared" si="6"/>
        <v>0</v>
      </c>
    </row>
    <row r="22" spans="1:27" x14ac:dyDescent="0.35">
      <c r="A22" s="24">
        <v>8</v>
      </c>
      <c r="B22" s="513" t="str">
        <f>IF('As-Filed Schedule 2A'!B22:D22=0,"",'As-Filed Schedule 2A'!B22:D22)</f>
        <v/>
      </c>
      <c r="C22" s="513"/>
      <c r="D22" s="513"/>
      <c r="F22" s="117">
        <f>'As-Filed Schedule 2A'!F22</f>
        <v>0</v>
      </c>
      <c r="G22" s="314">
        <f>SUMIFS(Adjustments!$G:$G,Adjustments!$H:$H,"2A",Adjustments!$I:$I,'Schedule 2A Adjustments'!$F$12,Adjustments!$J:$J,'Schedule 2A Adjustments'!A22)</f>
        <v>0</v>
      </c>
      <c r="H22" s="310">
        <f t="shared" si="1"/>
        <v>0</v>
      </c>
      <c r="I22" s="68">
        <f>IFERROR(F22*'As-Filed Schedule 1'!$E$103,0)</f>
        <v>0</v>
      </c>
      <c r="J22" s="311">
        <f>IFERROR(H22*'Adjusted Schedule 1'!$E$104,0)</f>
        <v>0</v>
      </c>
      <c r="K22" s="68">
        <f t="shared" si="7"/>
        <v>0</v>
      </c>
      <c r="L22" s="311">
        <f t="shared" si="2"/>
        <v>0</v>
      </c>
      <c r="N22" s="117">
        <f>'As-Filed Schedule 2A'!J22</f>
        <v>0</v>
      </c>
      <c r="O22" s="314">
        <f>SUMIFS(Adjustments!$G:$G,Adjustments!$H:$H,"2A",Adjustments!$I:$I,'Schedule 2A Adjustments'!$N$12,Adjustments!$J:$J,'Schedule 2A Adjustments'!A22)</f>
        <v>0</v>
      </c>
      <c r="P22" s="310">
        <f t="shared" si="3"/>
        <v>0</v>
      </c>
      <c r="Q22" s="68">
        <f>IFERROR(N22*'As-Filed Schedule 1'!$E$103,0)</f>
        <v>0</v>
      </c>
      <c r="R22" s="311">
        <f>IFERROR(P22*'Adjusted Schedule 1'!$E$104,0)</f>
        <v>0</v>
      </c>
      <c r="S22" s="68">
        <f t="shared" ref="S22:S72" si="8">SUM(N22,Q22)</f>
        <v>0</v>
      </c>
      <c r="T22" s="311">
        <f>SUM(P22,R22)</f>
        <v>0</v>
      </c>
      <c r="V22" s="120">
        <f>'As-Filed Schedule 2A'!N22</f>
        <v>0</v>
      </c>
      <c r="W22" s="314">
        <f>SUMIFS(Adjustments!$G:$G,Adjustments!$H:$H,"2A",Adjustments!$I:$I,'Schedule 2A Adjustments'!$V$12,Adjustments!$J:$J,'Schedule 2A Adjustments'!A22)</f>
        <v>0</v>
      </c>
      <c r="X22" s="327">
        <f t="shared" si="5"/>
        <v>0</v>
      </c>
      <c r="Y22" s="120">
        <f>'As-Filed Schedule 2A'!O22</f>
        <v>0</v>
      </c>
      <c r="Z22" s="314">
        <f>SUMIFS(Adjustments!$G:$G,Adjustments!$H:$H,"2A",Adjustments!$I:$I,'Schedule 2A Adjustments'!$Y$12,Adjustments!$J:$J,'Schedule 2A Adjustments'!A22)</f>
        <v>0</v>
      </c>
      <c r="AA22" s="327">
        <f t="shared" si="6"/>
        <v>0</v>
      </c>
    </row>
    <row r="23" spans="1:27" x14ac:dyDescent="0.35">
      <c r="A23" s="24">
        <v>9</v>
      </c>
      <c r="B23" s="513" t="str">
        <f>IF('As-Filed Schedule 2A'!B23:D23=0,"",'As-Filed Schedule 2A'!B23:D23)</f>
        <v/>
      </c>
      <c r="C23" s="513"/>
      <c r="D23" s="513"/>
      <c r="F23" s="117">
        <f>'As-Filed Schedule 2A'!F23</f>
        <v>0</v>
      </c>
      <c r="G23" s="314">
        <f>SUMIFS(Adjustments!$G:$G,Adjustments!$H:$H,"2A",Adjustments!$I:$I,'Schedule 2A Adjustments'!$F$12,Adjustments!$J:$J,'Schedule 2A Adjustments'!A23)</f>
        <v>0</v>
      </c>
      <c r="H23" s="310">
        <f t="shared" si="1"/>
        <v>0</v>
      </c>
      <c r="I23" s="68">
        <f>IFERROR(F23*'As-Filed Schedule 1'!$E$103,0)</f>
        <v>0</v>
      </c>
      <c r="J23" s="311">
        <f>IFERROR(H23*'Adjusted Schedule 1'!$E$104,0)</f>
        <v>0</v>
      </c>
      <c r="K23" s="68">
        <f t="shared" si="7"/>
        <v>0</v>
      </c>
      <c r="L23" s="311">
        <f t="shared" si="2"/>
        <v>0</v>
      </c>
      <c r="N23" s="117">
        <f>'As-Filed Schedule 2A'!J23</f>
        <v>0</v>
      </c>
      <c r="O23" s="314">
        <f>SUMIFS(Adjustments!$G:$G,Adjustments!$H:$H,"2A",Adjustments!$I:$I,'Schedule 2A Adjustments'!$N$12,Adjustments!$J:$J,'Schedule 2A Adjustments'!A23)</f>
        <v>0</v>
      </c>
      <c r="P23" s="310">
        <f t="shared" si="3"/>
        <v>0</v>
      </c>
      <c r="Q23" s="68">
        <f>IFERROR(N23*'As-Filed Schedule 1'!$E$103,0)</f>
        <v>0</v>
      </c>
      <c r="R23" s="311">
        <f>IFERROR(P23*'Adjusted Schedule 1'!$E$104,0)</f>
        <v>0</v>
      </c>
      <c r="S23" s="68">
        <f t="shared" si="8"/>
        <v>0</v>
      </c>
      <c r="T23" s="311">
        <f t="shared" si="4"/>
        <v>0</v>
      </c>
      <c r="V23" s="120">
        <f>'As-Filed Schedule 2A'!N23</f>
        <v>0</v>
      </c>
      <c r="W23" s="314">
        <f>SUMIFS(Adjustments!$G:$G,Adjustments!$H:$H,"2A",Adjustments!$I:$I,'Schedule 2A Adjustments'!$V$12,Adjustments!$J:$J,'Schedule 2A Adjustments'!A23)</f>
        <v>0</v>
      </c>
      <c r="X23" s="327">
        <f t="shared" si="5"/>
        <v>0</v>
      </c>
      <c r="Y23" s="120">
        <f>'As-Filed Schedule 2A'!O23</f>
        <v>0</v>
      </c>
      <c r="Z23" s="314">
        <f>SUMIFS(Adjustments!$G:$G,Adjustments!$H:$H,"2A",Adjustments!$I:$I,'Schedule 2A Adjustments'!$Y$12,Adjustments!$J:$J,'Schedule 2A Adjustments'!A23)</f>
        <v>0</v>
      </c>
      <c r="AA23" s="327">
        <f t="shared" si="6"/>
        <v>0</v>
      </c>
    </row>
    <row r="24" spans="1:27" x14ac:dyDescent="0.35">
      <c r="A24" s="24">
        <v>10</v>
      </c>
      <c r="B24" s="513" t="str">
        <f>IF('As-Filed Schedule 2A'!B24:D24=0,"",'As-Filed Schedule 2A'!B24:D24)</f>
        <v/>
      </c>
      <c r="C24" s="513"/>
      <c r="D24" s="513"/>
      <c r="F24" s="117">
        <f>'As-Filed Schedule 2A'!F24</f>
        <v>0</v>
      </c>
      <c r="G24" s="314">
        <f>SUMIFS(Adjustments!$G:$G,Adjustments!$H:$H,"2A",Adjustments!$I:$I,'Schedule 2A Adjustments'!$F$12,Adjustments!$J:$J,'Schedule 2A Adjustments'!A24)</f>
        <v>0</v>
      </c>
      <c r="H24" s="310">
        <f t="shared" si="1"/>
        <v>0</v>
      </c>
      <c r="I24" s="68">
        <f>IFERROR(F24*'As-Filed Schedule 1'!$E$103,0)</f>
        <v>0</v>
      </c>
      <c r="J24" s="311">
        <f>IFERROR(H24*'Adjusted Schedule 1'!$E$104,0)</f>
        <v>0</v>
      </c>
      <c r="K24" s="68">
        <f t="shared" si="7"/>
        <v>0</v>
      </c>
      <c r="L24" s="311">
        <f t="shared" si="2"/>
        <v>0</v>
      </c>
      <c r="N24" s="117">
        <f>'As-Filed Schedule 2A'!J24</f>
        <v>0</v>
      </c>
      <c r="O24" s="314">
        <f>SUMIFS(Adjustments!$G:$G,Adjustments!$H:$H,"2A",Adjustments!$I:$I,'Schedule 2A Adjustments'!$N$12,Adjustments!$J:$J,'Schedule 2A Adjustments'!A24)</f>
        <v>0</v>
      </c>
      <c r="P24" s="310">
        <f t="shared" si="3"/>
        <v>0</v>
      </c>
      <c r="Q24" s="68">
        <f>IFERROR(N24*'As-Filed Schedule 1'!$E$103,0)</f>
        <v>0</v>
      </c>
      <c r="R24" s="311">
        <f>IFERROR(P24*'Adjusted Schedule 1'!$E$104,0)</f>
        <v>0</v>
      </c>
      <c r="S24" s="68">
        <f t="shared" si="8"/>
        <v>0</v>
      </c>
      <c r="T24" s="311">
        <f t="shared" si="4"/>
        <v>0</v>
      </c>
      <c r="V24" s="120">
        <f>'As-Filed Schedule 2A'!N24</f>
        <v>0</v>
      </c>
      <c r="W24" s="314">
        <f>SUMIFS(Adjustments!$G:$G,Adjustments!$H:$H,"2A",Adjustments!$I:$I,'Schedule 2A Adjustments'!$V$12,Adjustments!$J:$J,'Schedule 2A Adjustments'!A24)</f>
        <v>0</v>
      </c>
      <c r="X24" s="327">
        <f t="shared" si="5"/>
        <v>0</v>
      </c>
      <c r="Y24" s="120">
        <f>'As-Filed Schedule 2A'!O24</f>
        <v>0</v>
      </c>
      <c r="Z24" s="314">
        <f>SUMIFS(Adjustments!$G:$G,Adjustments!$H:$H,"2A",Adjustments!$I:$I,'Schedule 2A Adjustments'!$Y$12,Adjustments!$J:$J,'Schedule 2A Adjustments'!A24)</f>
        <v>0</v>
      </c>
      <c r="AA24" s="327">
        <f t="shared" si="6"/>
        <v>0</v>
      </c>
    </row>
    <row r="25" spans="1:27" x14ac:dyDescent="0.35">
      <c r="A25" s="24">
        <v>11</v>
      </c>
      <c r="B25" s="513" t="str">
        <f>IF('As-Filed Schedule 2A'!B25:D25=0,"",'As-Filed Schedule 2A'!B25:D25)</f>
        <v/>
      </c>
      <c r="C25" s="513"/>
      <c r="D25" s="513"/>
      <c r="F25" s="117">
        <f>'As-Filed Schedule 2A'!F25</f>
        <v>0</v>
      </c>
      <c r="G25" s="314">
        <f>SUMIFS(Adjustments!$G:$G,Adjustments!$H:$H,"2A",Adjustments!$I:$I,'Schedule 2A Adjustments'!$F$12,Adjustments!$J:$J,'Schedule 2A Adjustments'!A25)</f>
        <v>0</v>
      </c>
      <c r="H25" s="310">
        <f t="shared" si="1"/>
        <v>0</v>
      </c>
      <c r="I25" s="68">
        <f>IFERROR(F25*'As-Filed Schedule 1'!$E$103,0)</f>
        <v>0</v>
      </c>
      <c r="J25" s="311">
        <f>IFERROR(H25*'Adjusted Schedule 1'!$E$104,0)</f>
        <v>0</v>
      </c>
      <c r="K25" s="68">
        <f t="shared" si="7"/>
        <v>0</v>
      </c>
      <c r="L25" s="311">
        <f t="shared" si="2"/>
        <v>0</v>
      </c>
      <c r="N25" s="117">
        <f>'As-Filed Schedule 2A'!J25</f>
        <v>0</v>
      </c>
      <c r="O25" s="314">
        <f>SUMIFS(Adjustments!$G:$G,Adjustments!$H:$H,"2A",Adjustments!$I:$I,'Schedule 2A Adjustments'!$N$12,Adjustments!$J:$J,'Schedule 2A Adjustments'!A25)</f>
        <v>0</v>
      </c>
      <c r="P25" s="310">
        <f t="shared" si="3"/>
        <v>0</v>
      </c>
      <c r="Q25" s="68">
        <f>IFERROR(N25*'As-Filed Schedule 1'!$E$103,0)</f>
        <v>0</v>
      </c>
      <c r="R25" s="311">
        <f>IFERROR(P25*'Adjusted Schedule 1'!$E$104,0)</f>
        <v>0</v>
      </c>
      <c r="S25" s="68">
        <f t="shared" si="8"/>
        <v>0</v>
      </c>
      <c r="T25" s="311">
        <f t="shared" si="4"/>
        <v>0</v>
      </c>
      <c r="V25" s="120">
        <f>'As-Filed Schedule 2A'!N25</f>
        <v>0</v>
      </c>
      <c r="W25" s="314">
        <f>SUMIFS(Adjustments!$G:$G,Adjustments!$H:$H,"2A",Adjustments!$I:$I,'Schedule 2A Adjustments'!$V$12,Adjustments!$J:$J,'Schedule 2A Adjustments'!A25)</f>
        <v>0</v>
      </c>
      <c r="X25" s="327">
        <f t="shared" si="5"/>
        <v>0</v>
      </c>
      <c r="Y25" s="120">
        <f>'As-Filed Schedule 2A'!O25</f>
        <v>0</v>
      </c>
      <c r="Z25" s="314">
        <f>SUMIFS(Adjustments!$G:$G,Adjustments!$H:$H,"2A",Adjustments!$I:$I,'Schedule 2A Adjustments'!$Y$12,Adjustments!$J:$J,'Schedule 2A Adjustments'!A25)</f>
        <v>0</v>
      </c>
      <c r="AA25" s="327">
        <f t="shared" si="6"/>
        <v>0</v>
      </c>
    </row>
    <row r="26" spans="1:27" x14ac:dyDescent="0.35">
      <c r="A26" s="24">
        <v>12</v>
      </c>
      <c r="B26" s="513" t="str">
        <f>IF('As-Filed Schedule 2A'!B26:D26=0,"",'As-Filed Schedule 2A'!B26:D26)</f>
        <v/>
      </c>
      <c r="C26" s="513"/>
      <c r="D26" s="513"/>
      <c r="F26" s="117">
        <f>'As-Filed Schedule 2A'!F26</f>
        <v>0</v>
      </c>
      <c r="G26" s="314">
        <f>SUMIFS(Adjustments!$G:$G,Adjustments!$H:$H,"2A",Adjustments!$I:$I,'Schedule 2A Adjustments'!$F$12,Adjustments!$J:$J,'Schedule 2A Adjustments'!A26)</f>
        <v>0</v>
      </c>
      <c r="H26" s="310">
        <f t="shared" si="1"/>
        <v>0</v>
      </c>
      <c r="I26" s="68">
        <f>IFERROR(F26*'As-Filed Schedule 1'!$E$103,0)</f>
        <v>0</v>
      </c>
      <c r="J26" s="311">
        <f>IFERROR(H26*'Adjusted Schedule 1'!$E$104,0)</f>
        <v>0</v>
      </c>
      <c r="K26" s="68">
        <f t="shared" si="7"/>
        <v>0</v>
      </c>
      <c r="L26" s="311">
        <f t="shared" si="2"/>
        <v>0</v>
      </c>
      <c r="N26" s="117">
        <f>'As-Filed Schedule 2A'!J26</f>
        <v>0</v>
      </c>
      <c r="O26" s="314">
        <f>SUMIFS(Adjustments!$G:$G,Adjustments!$H:$H,"2A",Adjustments!$I:$I,'Schedule 2A Adjustments'!$N$12,Adjustments!$J:$J,'Schedule 2A Adjustments'!A26)</f>
        <v>0</v>
      </c>
      <c r="P26" s="310">
        <f t="shared" si="3"/>
        <v>0</v>
      </c>
      <c r="Q26" s="68">
        <f>IFERROR(N26*'As-Filed Schedule 1'!$E$103,0)</f>
        <v>0</v>
      </c>
      <c r="R26" s="311">
        <f>IFERROR(P26*'Adjusted Schedule 1'!$E$104,0)</f>
        <v>0</v>
      </c>
      <c r="S26" s="68">
        <f t="shared" si="8"/>
        <v>0</v>
      </c>
      <c r="T26" s="311">
        <f t="shared" si="4"/>
        <v>0</v>
      </c>
      <c r="V26" s="120">
        <f>'As-Filed Schedule 2A'!N26</f>
        <v>0</v>
      </c>
      <c r="W26" s="314">
        <f>SUMIFS(Adjustments!$G:$G,Adjustments!$H:$H,"2A",Adjustments!$I:$I,'Schedule 2A Adjustments'!$V$12,Adjustments!$J:$J,'Schedule 2A Adjustments'!A26)</f>
        <v>0</v>
      </c>
      <c r="X26" s="327">
        <f t="shared" si="5"/>
        <v>0</v>
      </c>
      <c r="Y26" s="120">
        <f>'As-Filed Schedule 2A'!O26</f>
        <v>0</v>
      </c>
      <c r="Z26" s="314">
        <f>SUMIFS(Adjustments!$G:$G,Adjustments!$H:$H,"2A",Adjustments!$I:$I,'Schedule 2A Adjustments'!$Y$12,Adjustments!$J:$J,'Schedule 2A Adjustments'!A26)</f>
        <v>0</v>
      </c>
      <c r="AA26" s="327">
        <f t="shared" si="6"/>
        <v>0</v>
      </c>
    </row>
    <row r="27" spans="1:27" x14ac:dyDescent="0.35">
      <c r="A27" s="24">
        <v>13</v>
      </c>
      <c r="B27" s="513" t="str">
        <f>IF('As-Filed Schedule 2A'!B27:D27=0,"",'As-Filed Schedule 2A'!B27:D27)</f>
        <v/>
      </c>
      <c r="C27" s="513"/>
      <c r="D27" s="513"/>
      <c r="F27" s="117">
        <f>'As-Filed Schedule 2A'!F27</f>
        <v>0</v>
      </c>
      <c r="G27" s="314">
        <f>SUMIFS(Adjustments!$G:$G,Adjustments!$H:$H,"2A",Adjustments!$I:$I,'Schedule 2A Adjustments'!$F$12,Adjustments!$J:$J,'Schedule 2A Adjustments'!A27)</f>
        <v>0</v>
      </c>
      <c r="H27" s="310">
        <f t="shared" si="1"/>
        <v>0</v>
      </c>
      <c r="I27" s="68">
        <f>IFERROR(F27*'As-Filed Schedule 1'!$E$103,0)</f>
        <v>0</v>
      </c>
      <c r="J27" s="311">
        <f>IFERROR(H27*'Adjusted Schedule 1'!$E$104,0)</f>
        <v>0</v>
      </c>
      <c r="K27" s="68">
        <f t="shared" si="7"/>
        <v>0</v>
      </c>
      <c r="L27" s="311">
        <f t="shared" si="2"/>
        <v>0</v>
      </c>
      <c r="N27" s="117">
        <f>'As-Filed Schedule 2A'!J27</f>
        <v>0</v>
      </c>
      <c r="O27" s="314">
        <f>SUMIFS(Adjustments!$G:$G,Adjustments!$H:$H,"2A",Adjustments!$I:$I,'Schedule 2A Adjustments'!$N$12,Adjustments!$J:$J,'Schedule 2A Adjustments'!A27)</f>
        <v>0</v>
      </c>
      <c r="P27" s="310">
        <f t="shared" si="3"/>
        <v>0</v>
      </c>
      <c r="Q27" s="68">
        <f>IFERROR(N27*'As-Filed Schedule 1'!$E$103,0)</f>
        <v>0</v>
      </c>
      <c r="R27" s="311">
        <f>IFERROR(P27*'Adjusted Schedule 1'!$E$104,0)</f>
        <v>0</v>
      </c>
      <c r="S27" s="68">
        <f t="shared" si="8"/>
        <v>0</v>
      </c>
      <c r="T27" s="311">
        <f t="shared" si="4"/>
        <v>0</v>
      </c>
      <c r="V27" s="120">
        <f>'As-Filed Schedule 2A'!N27</f>
        <v>0</v>
      </c>
      <c r="W27" s="314">
        <f>SUMIFS(Adjustments!$G:$G,Adjustments!$H:$H,"2A",Adjustments!$I:$I,'Schedule 2A Adjustments'!$V$12,Adjustments!$J:$J,'Schedule 2A Adjustments'!A27)</f>
        <v>0</v>
      </c>
      <c r="X27" s="327">
        <f t="shared" si="5"/>
        <v>0</v>
      </c>
      <c r="Y27" s="120">
        <f>'As-Filed Schedule 2A'!O27</f>
        <v>0</v>
      </c>
      <c r="Z27" s="314">
        <f>SUMIFS(Adjustments!$G:$G,Adjustments!$H:$H,"2A",Adjustments!$I:$I,'Schedule 2A Adjustments'!$Y$12,Adjustments!$J:$J,'Schedule 2A Adjustments'!A27)</f>
        <v>0</v>
      </c>
      <c r="AA27" s="327">
        <f t="shared" si="6"/>
        <v>0</v>
      </c>
    </row>
    <row r="28" spans="1:27" x14ac:dyDescent="0.35">
      <c r="A28" s="24">
        <v>14</v>
      </c>
      <c r="B28" s="513" t="str">
        <f>IF('As-Filed Schedule 2A'!B28:D28=0,"",'As-Filed Schedule 2A'!B28:D28)</f>
        <v/>
      </c>
      <c r="C28" s="513"/>
      <c r="D28" s="513"/>
      <c r="F28" s="117">
        <f>'As-Filed Schedule 2A'!F28</f>
        <v>0</v>
      </c>
      <c r="G28" s="314">
        <f>SUMIFS(Adjustments!$G:$G,Adjustments!$H:$H,"2A",Adjustments!$I:$I,'Schedule 2A Adjustments'!$F$12,Adjustments!$J:$J,'Schedule 2A Adjustments'!A28)</f>
        <v>0</v>
      </c>
      <c r="H28" s="310">
        <f t="shared" si="1"/>
        <v>0</v>
      </c>
      <c r="I28" s="68">
        <f>IFERROR(F28*'As-Filed Schedule 1'!$E$103,0)</f>
        <v>0</v>
      </c>
      <c r="J28" s="311">
        <f>IFERROR(H28*'Adjusted Schedule 1'!$E$104,0)</f>
        <v>0</v>
      </c>
      <c r="K28" s="68">
        <f t="shared" si="7"/>
        <v>0</v>
      </c>
      <c r="L28" s="311">
        <f t="shared" si="2"/>
        <v>0</v>
      </c>
      <c r="N28" s="117">
        <f>'As-Filed Schedule 2A'!J28</f>
        <v>0</v>
      </c>
      <c r="O28" s="314">
        <f>SUMIFS(Adjustments!$G:$G,Adjustments!$H:$H,"2A",Adjustments!$I:$I,'Schedule 2A Adjustments'!$N$12,Adjustments!$J:$J,'Schedule 2A Adjustments'!A28)</f>
        <v>0</v>
      </c>
      <c r="P28" s="310">
        <f t="shared" si="3"/>
        <v>0</v>
      </c>
      <c r="Q28" s="68">
        <f>IFERROR(N28*'As-Filed Schedule 1'!$E$103,0)</f>
        <v>0</v>
      </c>
      <c r="R28" s="311">
        <f>IFERROR(P28*'Adjusted Schedule 1'!$E$104,0)</f>
        <v>0</v>
      </c>
      <c r="S28" s="68">
        <f t="shared" si="8"/>
        <v>0</v>
      </c>
      <c r="T28" s="311">
        <f t="shared" si="4"/>
        <v>0</v>
      </c>
      <c r="V28" s="120">
        <f>'As-Filed Schedule 2A'!N28</f>
        <v>0</v>
      </c>
      <c r="W28" s="314">
        <f>SUMIFS(Adjustments!$G:$G,Adjustments!$H:$H,"2A",Adjustments!$I:$I,'Schedule 2A Adjustments'!$V$12,Adjustments!$J:$J,'Schedule 2A Adjustments'!A28)</f>
        <v>0</v>
      </c>
      <c r="X28" s="327">
        <f t="shared" si="5"/>
        <v>0</v>
      </c>
      <c r="Y28" s="120">
        <f>'As-Filed Schedule 2A'!O28</f>
        <v>0</v>
      </c>
      <c r="Z28" s="314">
        <f>SUMIFS(Adjustments!$G:$G,Adjustments!$H:$H,"2A",Adjustments!$I:$I,'Schedule 2A Adjustments'!$Y$12,Adjustments!$J:$J,'Schedule 2A Adjustments'!A28)</f>
        <v>0</v>
      </c>
      <c r="AA28" s="327">
        <f t="shared" si="6"/>
        <v>0</v>
      </c>
    </row>
    <row r="29" spans="1:27" x14ac:dyDescent="0.35">
      <c r="A29" s="24">
        <v>15</v>
      </c>
      <c r="B29" s="513" t="str">
        <f>IF('As-Filed Schedule 2A'!B29:D29=0,"",'As-Filed Schedule 2A'!B29:D29)</f>
        <v/>
      </c>
      <c r="C29" s="513"/>
      <c r="D29" s="513"/>
      <c r="F29" s="117">
        <f>'As-Filed Schedule 2A'!F29</f>
        <v>0</v>
      </c>
      <c r="G29" s="314">
        <f>SUMIFS(Adjustments!$G:$G,Adjustments!$H:$H,"2A",Adjustments!$I:$I,'Schedule 2A Adjustments'!$F$12,Adjustments!$J:$J,'Schedule 2A Adjustments'!A29)</f>
        <v>0</v>
      </c>
      <c r="H29" s="310">
        <f t="shared" si="1"/>
        <v>0</v>
      </c>
      <c r="I29" s="68">
        <f>IFERROR(F29*'As-Filed Schedule 1'!$E$103,0)</f>
        <v>0</v>
      </c>
      <c r="J29" s="311">
        <f>IFERROR(H29*'Adjusted Schedule 1'!$E$104,0)</f>
        <v>0</v>
      </c>
      <c r="K29" s="68">
        <f t="shared" si="7"/>
        <v>0</v>
      </c>
      <c r="L29" s="311">
        <f t="shared" si="2"/>
        <v>0</v>
      </c>
      <c r="N29" s="117">
        <f>'As-Filed Schedule 2A'!J29</f>
        <v>0</v>
      </c>
      <c r="O29" s="314">
        <f>SUMIFS(Adjustments!$G:$G,Adjustments!$H:$H,"2A",Adjustments!$I:$I,'Schedule 2A Adjustments'!$N$12,Adjustments!$J:$J,'Schedule 2A Adjustments'!A29)</f>
        <v>0</v>
      </c>
      <c r="P29" s="310">
        <f t="shared" si="3"/>
        <v>0</v>
      </c>
      <c r="Q29" s="68">
        <f>IFERROR(N29*'As-Filed Schedule 1'!$E$103,0)</f>
        <v>0</v>
      </c>
      <c r="R29" s="311">
        <f>IFERROR(P29*'Adjusted Schedule 1'!$E$104,0)</f>
        <v>0</v>
      </c>
      <c r="S29" s="68">
        <f t="shared" si="8"/>
        <v>0</v>
      </c>
      <c r="T29" s="311">
        <f t="shared" si="4"/>
        <v>0</v>
      </c>
      <c r="V29" s="120">
        <f>'As-Filed Schedule 2A'!N29</f>
        <v>0</v>
      </c>
      <c r="W29" s="314">
        <f>SUMIFS(Adjustments!$G:$G,Adjustments!$H:$H,"2A",Adjustments!$I:$I,'Schedule 2A Adjustments'!$V$12,Adjustments!$J:$J,'Schedule 2A Adjustments'!A29)</f>
        <v>0</v>
      </c>
      <c r="X29" s="327">
        <f t="shared" si="5"/>
        <v>0</v>
      </c>
      <c r="Y29" s="120">
        <f>'As-Filed Schedule 2A'!O29</f>
        <v>0</v>
      </c>
      <c r="Z29" s="314">
        <f>SUMIFS(Adjustments!$G:$G,Adjustments!$H:$H,"2A",Adjustments!$I:$I,'Schedule 2A Adjustments'!$Y$12,Adjustments!$J:$J,'Schedule 2A Adjustments'!A29)</f>
        <v>0</v>
      </c>
      <c r="AA29" s="327">
        <f t="shared" si="6"/>
        <v>0</v>
      </c>
    </row>
    <row r="30" spans="1:27" x14ac:dyDescent="0.35">
      <c r="A30" s="24">
        <v>16</v>
      </c>
      <c r="B30" s="513" t="str">
        <f>IF('As-Filed Schedule 2A'!B30:D30=0,"",'As-Filed Schedule 2A'!B30:D30)</f>
        <v/>
      </c>
      <c r="C30" s="513"/>
      <c r="D30" s="513"/>
      <c r="F30" s="117">
        <f>'As-Filed Schedule 2A'!F30</f>
        <v>0</v>
      </c>
      <c r="G30" s="314">
        <f>SUMIFS(Adjustments!$G:$G,Adjustments!$H:$H,"2A",Adjustments!$I:$I,'Schedule 2A Adjustments'!$F$12,Adjustments!$J:$J,'Schedule 2A Adjustments'!A30)</f>
        <v>0</v>
      </c>
      <c r="H30" s="310">
        <f t="shared" si="1"/>
        <v>0</v>
      </c>
      <c r="I30" s="68">
        <f>IFERROR(F30*'As-Filed Schedule 1'!$E$103,0)</f>
        <v>0</v>
      </c>
      <c r="J30" s="311">
        <f>IFERROR(H30*'Adjusted Schedule 1'!$E$104,0)</f>
        <v>0</v>
      </c>
      <c r="K30" s="68">
        <f t="shared" si="7"/>
        <v>0</v>
      </c>
      <c r="L30" s="311">
        <f t="shared" si="2"/>
        <v>0</v>
      </c>
      <c r="N30" s="117">
        <f>'As-Filed Schedule 2A'!J30</f>
        <v>0</v>
      </c>
      <c r="O30" s="314">
        <f>SUMIFS(Adjustments!$G:$G,Adjustments!$H:$H,"2A",Adjustments!$I:$I,'Schedule 2A Adjustments'!$N$12,Adjustments!$J:$J,'Schedule 2A Adjustments'!A30)</f>
        <v>0</v>
      </c>
      <c r="P30" s="310">
        <f t="shared" si="3"/>
        <v>0</v>
      </c>
      <c r="Q30" s="68">
        <f>IFERROR(N30*'As-Filed Schedule 1'!$E$103,0)</f>
        <v>0</v>
      </c>
      <c r="R30" s="311">
        <f>IFERROR(P30*'Adjusted Schedule 1'!$E$104,0)</f>
        <v>0</v>
      </c>
      <c r="S30" s="68">
        <f t="shared" si="8"/>
        <v>0</v>
      </c>
      <c r="T30" s="311">
        <f t="shared" si="4"/>
        <v>0</v>
      </c>
      <c r="V30" s="120">
        <f>'As-Filed Schedule 2A'!N30</f>
        <v>0</v>
      </c>
      <c r="W30" s="314">
        <f>SUMIFS(Adjustments!$G:$G,Adjustments!$H:$H,"2A",Adjustments!$I:$I,'Schedule 2A Adjustments'!$V$12,Adjustments!$J:$J,'Schedule 2A Adjustments'!A30)</f>
        <v>0</v>
      </c>
      <c r="X30" s="327">
        <f t="shared" si="5"/>
        <v>0</v>
      </c>
      <c r="Y30" s="120">
        <f>'As-Filed Schedule 2A'!O30</f>
        <v>0</v>
      </c>
      <c r="Z30" s="314">
        <f>SUMIFS(Adjustments!$G:$G,Adjustments!$H:$H,"2A",Adjustments!$I:$I,'Schedule 2A Adjustments'!$Y$12,Adjustments!$J:$J,'Schedule 2A Adjustments'!A30)</f>
        <v>0</v>
      </c>
      <c r="AA30" s="327">
        <f t="shared" si="6"/>
        <v>0</v>
      </c>
    </row>
    <row r="31" spans="1:27" x14ac:dyDescent="0.35">
      <c r="A31" s="24">
        <v>17</v>
      </c>
      <c r="B31" s="513" t="str">
        <f>IF('As-Filed Schedule 2A'!B31:D31=0,"",'As-Filed Schedule 2A'!B31:D31)</f>
        <v/>
      </c>
      <c r="C31" s="513"/>
      <c r="D31" s="513"/>
      <c r="F31" s="117">
        <f>'As-Filed Schedule 2A'!F31</f>
        <v>0</v>
      </c>
      <c r="G31" s="314">
        <f>SUMIFS(Adjustments!$G:$G,Adjustments!$H:$H,"2A",Adjustments!$I:$I,'Schedule 2A Adjustments'!$F$12,Adjustments!$J:$J,'Schedule 2A Adjustments'!A31)</f>
        <v>0</v>
      </c>
      <c r="H31" s="310">
        <f t="shared" si="1"/>
        <v>0</v>
      </c>
      <c r="I31" s="68">
        <f>IFERROR(F31*'As-Filed Schedule 1'!$E$103,0)</f>
        <v>0</v>
      </c>
      <c r="J31" s="311">
        <f>IFERROR(H31*'Adjusted Schedule 1'!$E$104,0)</f>
        <v>0</v>
      </c>
      <c r="K31" s="68">
        <f t="shared" si="7"/>
        <v>0</v>
      </c>
      <c r="L31" s="311">
        <f t="shared" si="2"/>
        <v>0</v>
      </c>
      <c r="N31" s="117">
        <f>'As-Filed Schedule 2A'!J31</f>
        <v>0</v>
      </c>
      <c r="O31" s="314">
        <f>SUMIFS(Adjustments!$G:$G,Adjustments!$H:$H,"2A",Adjustments!$I:$I,'Schedule 2A Adjustments'!$N$12,Adjustments!$J:$J,'Schedule 2A Adjustments'!A31)</f>
        <v>0</v>
      </c>
      <c r="P31" s="310">
        <f t="shared" si="3"/>
        <v>0</v>
      </c>
      <c r="Q31" s="68">
        <f>IFERROR(N31*'As-Filed Schedule 1'!$E$103,0)</f>
        <v>0</v>
      </c>
      <c r="R31" s="311">
        <f>IFERROR(P31*'Adjusted Schedule 1'!$E$104,0)</f>
        <v>0</v>
      </c>
      <c r="S31" s="68">
        <f t="shared" si="8"/>
        <v>0</v>
      </c>
      <c r="T31" s="311">
        <f t="shared" si="4"/>
        <v>0</v>
      </c>
      <c r="V31" s="120">
        <f>'As-Filed Schedule 2A'!N31</f>
        <v>0</v>
      </c>
      <c r="W31" s="314">
        <f>SUMIFS(Adjustments!$G:$G,Adjustments!$H:$H,"2A",Adjustments!$I:$I,'Schedule 2A Adjustments'!$V$12,Adjustments!$J:$J,'Schedule 2A Adjustments'!A31)</f>
        <v>0</v>
      </c>
      <c r="X31" s="327">
        <f t="shared" si="5"/>
        <v>0</v>
      </c>
      <c r="Y31" s="120">
        <f>'As-Filed Schedule 2A'!O31</f>
        <v>0</v>
      </c>
      <c r="Z31" s="314">
        <f>SUMIFS(Adjustments!$G:$G,Adjustments!$H:$H,"2A",Adjustments!$I:$I,'Schedule 2A Adjustments'!$Y$12,Adjustments!$J:$J,'Schedule 2A Adjustments'!A31)</f>
        <v>0</v>
      </c>
      <c r="AA31" s="327">
        <f t="shared" si="6"/>
        <v>0</v>
      </c>
    </row>
    <row r="32" spans="1:27" x14ac:dyDescent="0.35">
      <c r="A32" s="24">
        <v>18</v>
      </c>
      <c r="B32" s="513" t="str">
        <f>IF('As-Filed Schedule 2A'!B32:D32=0,"",'As-Filed Schedule 2A'!B32:D32)</f>
        <v/>
      </c>
      <c r="C32" s="513"/>
      <c r="D32" s="513"/>
      <c r="F32" s="117">
        <f>'As-Filed Schedule 2A'!F32</f>
        <v>0</v>
      </c>
      <c r="G32" s="314">
        <f>SUMIFS(Adjustments!$G:$G,Adjustments!$H:$H,"2A",Adjustments!$I:$I,'Schedule 2A Adjustments'!$F$12,Adjustments!$J:$J,'Schedule 2A Adjustments'!A32)</f>
        <v>0</v>
      </c>
      <c r="H32" s="310">
        <f t="shared" si="1"/>
        <v>0</v>
      </c>
      <c r="I32" s="68">
        <f>IFERROR(F32*'As-Filed Schedule 1'!$E$103,0)</f>
        <v>0</v>
      </c>
      <c r="J32" s="311">
        <f>IFERROR(H32*'Adjusted Schedule 1'!$E$104,0)</f>
        <v>0</v>
      </c>
      <c r="K32" s="68">
        <f t="shared" si="7"/>
        <v>0</v>
      </c>
      <c r="L32" s="311">
        <f t="shared" si="2"/>
        <v>0</v>
      </c>
      <c r="N32" s="117">
        <f>'As-Filed Schedule 2A'!J32</f>
        <v>0</v>
      </c>
      <c r="O32" s="314">
        <f>SUMIFS(Adjustments!$G:$G,Adjustments!$H:$H,"2A",Adjustments!$I:$I,'Schedule 2A Adjustments'!$N$12,Adjustments!$J:$J,'Schedule 2A Adjustments'!A32)</f>
        <v>0</v>
      </c>
      <c r="P32" s="310">
        <f t="shared" si="3"/>
        <v>0</v>
      </c>
      <c r="Q32" s="68">
        <f>IFERROR(N32*'As-Filed Schedule 1'!$E$103,0)</f>
        <v>0</v>
      </c>
      <c r="R32" s="311">
        <f>IFERROR(P32*'Adjusted Schedule 1'!$E$104,0)</f>
        <v>0</v>
      </c>
      <c r="S32" s="68">
        <f t="shared" si="8"/>
        <v>0</v>
      </c>
      <c r="T32" s="311">
        <f t="shared" si="4"/>
        <v>0</v>
      </c>
      <c r="V32" s="120">
        <f>'As-Filed Schedule 2A'!N32</f>
        <v>0</v>
      </c>
      <c r="W32" s="314">
        <f>SUMIFS(Adjustments!$G:$G,Adjustments!$H:$H,"2A",Adjustments!$I:$I,'Schedule 2A Adjustments'!$V$12,Adjustments!$J:$J,'Schedule 2A Adjustments'!A32)</f>
        <v>0</v>
      </c>
      <c r="X32" s="327">
        <f t="shared" si="5"/>
        <v>0</v>
      </c>
      <c r="Y32" s="120">
        <f>'As-Filed Schedule 2A'!O32</f>
        <v>0</v>
      </c>
      <c r="Z32" s="314">
        <f>SUMIFS(Adjustments!$G:$G,Adjustments!$H:$H,"2A",Adjustments!$I:$I,'Schedule 2A Adjustments'!$Y$12,Adjustments!$J:$J,'Schedule 2A Adjustments'!A32)</f>
        <v>0</v>
      </c>
      <c r="AA32" s="327">
        <f t="shared" si="6"/>
        <v>0</v>
      </c>
    </row>
    <row r="33" spans="1:27" x14ac:dyDescent="0.35">
      <c r="A33" s="24">
        <v>19</v>
      </c>
      <c r="B33" s="513" t="str">
        <f>IF('As-Filed Schedule 2A'!B33:D33=0,"",'As-Filed Schedule 2A'!B33:D33)</f>
        <v/>
      </c>
      <c r="C33" s="513"/>
      <c r="D33" s="513"/>
      <c r="F33" s="117">
        <f>'As-Filed Schedule 2A'!F33</f>
        <v>0</v>
      </c>
      <c r="G33" s="314">
        <f>SUMIFS(Adjustments!$G:$G,Adjustments!$H:$H,"2A",Adjustments!$I:$I,'Schedule 2A Adjustments'!$F$12,Adjustments!$J:$J,'Schedule 2A Adjustments'!A33)</f>
        <v>0</v>
      </c>
      <c r="H33" s="310">
        <f t="shared" si="1"/>
        <v>0</v>
      </c>
      <c r="I33" s="68">
        <f>IFERROR(F33*'As-Filed Schedule 1'!$E$103,0)</f>
        <v>0</v>
      </c>
      <c r="J33" s="311">
        <f>IFERROR(H33*'Adjusted Schedule 1'!$E$104,0)</f>
        <v>0</v>
      </c>
      <c r="K33" s="68">
        <f t="shared" si="7"/>
        <v>0</v>
      </c>
      <c r="L33" s="311">
        <f t="shared" si="2"/>
        <v>0</v>
      </c>
      <c r="N33" s="117">
        <f>'As-Filed Schedule 2A'!J33</f>
        <v>0</v>
      </c>
      <c r="O33" s="314">
        <f>SUMIFS(Adjustments!$G:$G,Adjustments!$H:$H,"2A",Adjustments!$I:$I,'Schedule 2A Adjustments'!$N$12,Adjustments!$J:$J,'Schedule 2A Adjustments'!A33)</f>
        <v>0</v>
      </c>
      <c r="P33" s="310">
        <f t="shared" si="3"/>
        <v>0</v>
      </c>
      <c r="Q33" s="68">
        <f>IFERROR(N33*'As-Filed Schedule 1'!$E$103,0)</f>
        <v>0</v>
      </c>
      <c r="R33" s="311">
        <f>IFERROR(P33*'Adjusted Schedule 1'!$E$104,0)</f>
        <v>0</v>
      </c>
      <c r="S33" s="68">
        <f t="shared" si="8"/>
        <v>0</v>
      </c>
      <c r="T33" s="311">
        <f t="shared" si="4"/>
        <v>0</v>
      </c>
      <c r="V33" s="120">
        <f>'As-Filed Schedule 2A'!N33</f>
        <v>0</v>
      </c>
      <c r="W33" s="314">
        <f>SUMIFS(Adjustments!$G:$G,Adjustments!$H:$H,"2A",Adjustments!$I:$I,'Schedule 2A Adjustments'!$V$12,Adjustments!$J:$J,'Schedule 2A Adjustments'!A33)</f>
        <v>0</v>
      </c>
      <c r="X33" s="327">
        <f t="shared" si="5"/>
        <v>0</v>
      </c>
      <c r="Y33" s="120">
        <f>'As-Filed Schedule 2A'!O33</f>
        <v>0</v>
      </c>
      <c r="Z33" s="314">
        <f>SUMIFS(Adjustments!$G:$G,Adjustments!$H:$H,"2A",Adjustments!$I:$I,'Schedule 2A Adjustments'!$Y$12,Adjustments!$J:$J,'Schedule 2A Adjustments'!A33)</f>
        <v>0</v>
      </c>
      <c r="AA33" s="327">
        <f t="shared" si="6"/>
        <v>0</v>
      </c>
    </row>
    <row r="34" spans="1:27" x14ac:dyDescent="0.35">
      <c r="A34" s="24">
        <v>20</v>
      </c>
      <c r="B34" s="513" t="str">
        <f>IF('As-Filed Schedule 2A'!B34:D34=0,"",'As-Filed Schedule 2A'!B34:D34)</f>
        <v/>
      </c>
      <c r="C34" s="513"/>
      <c r="D34" s="513"/>
      <c r="F34" s="117">
        <f>'As-Filed Schedule 2A'!F34</f>
        <v>0</v>
      </c>
      <c r="G34" s="314">
        <f>SUMIFS(Adjustments!$G:$G,Adjustments!$H:$H,"2A",Adjustments!$I:$I,'Schedule 2A Adjustments'!$F$12,Adjustments!$J:$J,'Schedule 2A Adjustments'!A34)</f>
        <v>0</v>
      </c>
      <c r="H34" s="310">
        <f t="shared" si="1"/>
        <v>0</v>
      </c>
      <c r="I34" s="68">
        <f>IFERROR(F34*'As-Filed Schedule 1'!$E$103,0)</f>
        <v>0</v>
      </c>
      <c r="J34" s="311">
        <f>IFERROR(H34*'Adjusted Schedule 1'!$E$104,0)</f>
        <v>0</v>
      </c>
      <c r="K34" s="68">
        <f t="shared" si="7"/>
        <v>0</v>
      </c>
      <c r="L34" s="311">
        <f t="shared" si="2"/>
        <v>0</v>
      </c>
      <c r="N34" s="117">
        <f>'As-Filed Schedule 2A'!J34</f>
        <v>0</v>
      </c>
      <c r="O34" s="314">
        <f>SUMIFS(Adjustments!$G:$G,Adjustments!$H:$H,"2A",Adjustments!$I:$I,'Schedule 2A Adjustments'!$N$12,Adjustments!$J:$J,'Schedule 2A Adjustments'!A34)</f>
        <v>0</v>
      </c>
      <c r="P34" s="310">
        <f t="shared" si="3"/>
        <v>0</v>
      </c>
      <c r="Q34" s="68">
        <f>IFERROR(N34*'As-Filed Schedule 1'!$E$103,0)</f>
        <v>0</v>
      </c>
      <c r="R34" s="311">
        <f>IFERROR(P34*'Adjusted Schedule 1'!$E$104,0)</f>
        <v>0</v>
      </c>
      <c r="S34" s="68">
        <f t="shared" si="8"/>
        <v>0</v>
      </c>
      <c r="T34" s="311">
        <f t="shared" si="4"/>
        <v>0</v>
      </c>
      <c r="V34" s="120">
        <f>'As-Filed Schedule 2A'!N34</f>
        <v>0</v>
      </c>
      <c r="W34" s="314">
        <f>SUMIFS(Adjustments!$G:$G,Adjustments!$H:$H,"2A",Adjustments!$I:$I,'Schedule 2A Adjustments'!$V$12,Adjustments!$J:$J,'Schedule 2A Adjustments'!A34)</f>
        <v>0</v>
      </c>
      <c r="X34" s="327">
        <f t="shared" si="5"/>
        <v>0</v>
      </c>
      <c r="Y34" s="120">
        <f>'As-Filed Schedule 2A'!O34</f>
        <v>0</v>
      </c>
      <c r="Z34" s="314">
        <f>SUMIFS(Adjustments!$G:$G,Adjustments!$H:$H,"2A",Adjustments!$I:$I,'Schedule 2A Adjustments'!$Y$12,Adjustments!$J:$J,'Schedule 2A Adjustments'!A34)</f>
        <v>0</v>
      </c>
      <c r="AA34" s="327">
        <f t="shared" si="6"/>
        <v>0</v>
      </c>
    </row>
    <row r="35" spans="1:27" x14ac:dyDescent="0.35">
      <c r="A35" s="24">
        <v>21</v>
      </c>
      <c r="B35" s="513" t="str">
        <f>IF('As-Filed Schedule 2A'!B35:D35=0,"",'As-Filed Schedule 2A'!B35:D35)</f>
        <v/>
      </c>
      <c r="C35" s="513"/>
      <c r="D35" s="513"/>
      <c r="F35" s="117">
        <f>'As-Filed Schedule 2A'!F35</f>
        <v>0</v>
      </c>
      <c r="G35" s="314">
        <f>SUMIFS(Adjustments!$G:$G,Adjustments!$H:$H,"2A",Adjustments!$I:$I,'Schedule 2A Adjustments'!$F$12,Adjustments!$J:$J,'Schedule 2A Adjustments'!A35)</f>
        <v>0</v>
      </c>
      <c r="H35" s="310">
        <f t="shared" si="1"/>
        <v>0</v>
      </c>
      <c r="I35" s="68">
        <f>IFERROR(F35*'As-Filed Schedule 1'!$E$103,0)</f>
        <v>0</v>
      </c>
      <c r="J35" s="311">
        <f>IFERROR(H35*'Adjusted Schedule 1'!$E$104,0)</f>
        <v>0</v>
      </c>
      <c r="K35" s="68">
        <f t="shared" si="7"/>
        <v>0</v>
      </c>
      <c r="L35" s="311">
        <f t="shared" si="2"/>
        <v>0</v>
      </c>
      <c r="N35" s="117">
        <f>'As-Filed Schedule 2A'!J35</f>
        <v>0</v>
      </c>
      <c r="O35" s="314">
        <f>SUMIFS(Adjustments!$G:$G,Adjustments!$H:$H,"2A",Adjustments!$I:$I,'Schedule 2A Adjustments'!$N$12,Adjustments!$J:$J,'Schedule 2A Adjustments'!A35)</f>
        <v>0</v>
      </c>
      <c r="P35" s="310">
        <f t="shared" si="3"/>
        <v>0</v>
      </c>
      <c r="Q35" s="68">
        <f>IFERROR(N35*'As-Filed Schedule 1'!$E$103,0)</f>
        <v>0</v>
      </c>
      <c r="R35" s="311">
        <f>IFERROR(P35*'Adjusted Schedule 1'!$E$104,0)</f>
        <v>0</v>
      </c>
      <c r="S35" s="68">
        <f t="shared" si="8"/>
        <v>0</v>
      </c>
      <c r="T35" s="311">
        <f t="shared" si="4"/>
        <v>0</v>
      </c>
      <c r="V35" s="120">
        <f>'As-Filed Schedule 2A'!N35</f>
        <v>0</v>
      </c>
      <c r="W35" s="314">
        <f>SUMIFS(Adjustments!$G:$G,Adjustments!$H:$H,"2A",Adjustments!$I:$I,'Schedule 2A Adjustments'!$V$12,Adjustments!$J:$J,'Schedule 2A Adjustments'!A35)</f>
        <v>0</v>
      </c>
      <c r="X35" s="327">
        <f t="shared" si="5"/>
        <v>0</v>
      </c>
      <c r="Y35" s="120">
        <f>'As-Filed Schedule 2A'!O35</f>
        <v>0</v>
      </c>
      <c r="Z35" s="314">
        <f>SUMIFS(Adjustments!$G:$G,Adjustments!$H:$H,"2A",Adjustments!$I:$I,'Schedule 2A Adjustments'!$Y$12,Adjustments!$J:$J,'Schedule 2A Adjustments'!A35)</f>
        <v>0</v>
      </c>
      <c r="AA35" s="327">
        <f t="shared" si="6"/>
        <v>0</v>
      </c>
    </row>
    <row r="36" spans="1:27" x14ac:dyDescent="0.35">
      <c r="A36" s="24">
        <v>22</v>
      </c>
      <c r="B36" s="513" t="str">
        <f>IF('As-Filed Schedule 2A'!B36:D36=0,"",'As-Filed Schedule 2A'!B36:D36)</f>
        <v/>
      </c>
      <c r="C36" s="513"/>
      <c r="D36" s="513"/>
      <c r="F36" s="117">
        <f>'As-Filed Schedule 2A'!F36</f>
        <v>0</v>
      </c>
      <c r="G36" s="314">
        <f>SUMIFS(Adjustments!$G:$G,Adjustments!$H:$H,"2A",Adjustments!$I:$I,'Schedule 2A Adjustments'!$F$12,Adjustments!$J:$J,'Schedule 2A Adjustments'!A36)</f>
        <v>0</v>
      </c>
      <c r="H36" s="310">
        <f t="shared" si="1"/>
        <v>0</v>
      </c>
      <c r="I36" s="68">
        <f>IFERROR(F36*'As-Filed Schedule 1'!$E$103,0)</f>
        <v>0</v>
      </c>
      <c r="J36" s="311">
        <f>IFERROR(H36*'Adjusted Schedule 1'!$E$104,0)</f>
        <v>0</v>
      </c>
      <c r="K36" s="68">
        <f t="shared" si="7"/>
        <v>0</v>
      </c>
      <c r="L36" s="311">
        <f t="shared" si="2"/>
        <v>0</v>
      </c>
      <c r="N36" s="117">
        <f>'As-Filed Schedule 2A'!J36</f>
        <v>0</v>
      </c>
      <c r="O36" s="314">
        <f>SUMIFS(Adjustments!$G:$G,Adjustments!$H:$H,"2A",Adjustments!$I:$I,'Schedule 2A Adjustments'!$N$12,Adjustments!$J:$J,'Schedule 2A Adjustments'!A36)</f>
        <v>0</v>
      </c>
      <c r="P36" s="310">
        <f t="shared" si="3"/>
        <v>0</v>
      </c>
      <c r="Q36" s="68">
        <f>IFERROR(N36*'As-Filed Schedule 1'!$E$103,0)</f>
        <v>0</v>
      </c>
      <c r="R36" s="311">
        <f>IFERROR(P36*'Adjusted Schedule 1'!$E$104,0)</f>
        <v>0</v>
      </c>
      <c r="S36" s="68">
        <f t="shared" si="8"/>
        <v>0</v>
      </c>
      <c r="T36" s="311">
        <f t="shared" si="4"/>
        <v>0</v>
      </c>
      <c r="V36" s="120">
        <f>'As-Filed Schedule 2A'!N36</f>
        <v>0</v>
      </c>
      <c r="W36" s="314">
        <f>SUMIFS(Adjustments!$G:$G,Adjustments!$H:$H,"2A",Adjustments!$I:$I,'Schedule 2A Adjustments'!$V$12,Adjustments!$J:$J,'Schedule 2A Adjustments'!A36)</f>
        <v>0</v>
      </c>
      <c r="X36" s="327">
        <f t="shared" si="5"/>
        <v>0</v>
      </c>
      <c r="Y36" s="120">
        <f>'As-Filed Schedule 2A'!O36</f>
        <v>0</v>
      </c>
      <c r="Z36" s="314">
        <f>SUMIFS(Adjustments!$G:$G,Adjustments!$H:$H,"2A",Adjustments!$I:$I,'Schedule 2A Adjustments'!$Y$12,Adjustments!$J:$J,'Schedule 2A Adjustments'!A36)</f>
        <v>0</v>
      </c>
      <c r="AA36" s="327">
        <f t="shared" si="6"/>
        <v>0</v>
      </c>
    </row>
    <row r="37" spans="1:27" x14ac:dyDescent="0.35">
      <c r="A37" s="24">
        <v>23</v>
      </c>
      <c r="B37" s="513" t="str">
        <f>IF('As-Filed Schedule 2A'!B37:D37=0,"",'As-Filed Schedule 2A'!B37:D37)</f>
        <v/>
      </c>
      <c r="C37" s="513"/>
      <c r="D37" s="513"/>
      <c r="F37" s="117">
        <f>'As-Filed Schedule 2A'!F37</f>
        <v>0</v>
      </c>
      <c r="G37" s="314">
        <f>SUMIFS(Adjustments!$G:$G,Adjustments!$H:$H,"2A",Adjustments!$I:$I,'Schedule 2A Adjustments'!$F$12,Adjustments!$J:$J,'Schedule 2A Adjustments'!A37)</f>
        <v>0</v>
      </c>
      <c r="H37" s="310">
        <f t="shared" si="1"/>
        <v>0</v>
      </c>
      <c r="I37" s="68">
        <f>IFERROR(F37*'As-Filed Schedule 1'!$E$103,0)</f>
        <v>0</v>
      </c>
      <c r="J37" s="311">
        <f>IFERROR(H37*'Adjusted Schedule 1'!$E$104,0)</f>
        <v>0</v>
      </c>
      <c r="K37" s="68">
        <f t="shared" si="7"/>
        <v>0</v>
      </c>
      <c r="L37" s="311">
        <f t="shared" si="2"/>
        <v>0</v>
      </c>
      <c r="N37" s="117">
        <f>'As-Filed Schedule 2A'!J37</f>
        <v>0</v>
      </c>
      <c r="O37" s="314">
        <f>SUMIFS(Adjustments!$G:$G,Adjustments!$H:$H,"2A",Adjustments!$I:$I,'Schedule 2A Adjustments'!$N$12,Adjustments!$J:$J,'Schedule 2A Adjustments'!A37)</f>
        <v>0</v>
      </c>
      <c r="P37" s="310">
        <f t="shared" si="3"/>
        <v>0</v>
      </c>
      <c r="Q37" s="68">
        <f>IFERROR(N37*'As-Filed Schedule 1'!$E$103,0)</f>
        <v>0</v>
      </c>
      <c r="R37" s="311">
        <f>IFERROR(P37*'Adjusted Schedule 1'!$E$104,0)</f>
        <v>0</v>
      </c>
      <c r="S37" s="68">
        <f t="shared" si="8"/>
        <v>0</v>
      </c>
      <c r="T37" s="311">
        <f t="shared" si="4"/>
        <v>0</v>
      </c>
      <c r="V37" s="120">
        <f>'As-Filed Schedule 2A'!N37</f>
        <v>0</v>
      </c>
      <c r="W37" s="314">
        <f>SUMIFS(Adjustments!$G:$G,Adjustments!$H:$H,"2A",Adjustments!$I:$I,'Schedule 2A Adjustments'!$V$12,Adjustments!$J:$J,'Schedule 2A Adjustments'!A37)</f>
        <v>0</v>
      </c>
      <c r="X37" s="327">
        <f t="shared" si="5"/>
        <v>0</v>
      </c>
      <c r="Y37" s="120">
        <f>'As-Filed Schedule 2A'!O37</f>
        <v>0</v>
      </c>
      <c r="Z37" s="314">
        <f>SUMIFS(Adjustments!$G:$G,Adjustments!$H:$H,"2A",Adjustments!$I:$I,'Schedule 2A Adjustments'!$Y$12,Adjustments!$J:$J,'Schedule 2A Adjustments'!A37)</f>
        <v>0</v>
      </c>
      <c r="AA37" s="327">
        <f t="shared" si="6"/>
        <v>0</v>
      </c>
    </row>
    <row r="38" spans="1:27" x14ac:dyDescent="0.35">
      <c r="A38" s="24">
        <v>24</v>
      </c>
      <c r="B38" s="513" t="str">
        <f>IF('As-Filed Schedule 2A'!B38:D38=0,"",'As-Filed Schedule 2A'!B38:D38)</f>
        <v/>
      </c>
      <c r="C38" s="513"/>
      <c r="D38" s="513"/>
      <c r="F38" s="117">
        <f>'As-Filed Schedule 2A'!F38</f>
        <v>0</v>
      </c>
      <c r="G38" s="314">
        <f>SUMIFS(Adjustments!$G:$G,Adjustments!$H:$H,"2A",Adjustments!$I:$I,'Schedule 2A Adjustments'!$F$12,Adjustments!$J:$J,'Schedule 2A Adjustments'!A38)</f>
        <v>0</v>
      </c>
      <c r="H38" s="310">
        <f t="shared" si="1"/>
        <v>0</v>
      </c>
      <c r="I38" s="68">
        <f>IFERROR(F38*'As-Filed Schedule 1'!$E$103,0)</f>
        <v>0</v>
      </c>
      <c r="J38" s="311">
        <f>IFERROR(H38*'Adjusted Schedule 1'!$E$104,0)</f>
        <v>0</v>
      </c>
      <c r="K38" s="68">
        <f t="shared" si="7"/>
        <v>0</v>
      </c>
      <c r="L38" s="311">
        <f t="shared" si="2"/>
        <v>0</v>
      </c>
      <c r="N38" s="117">
        <f>'As-Filed Schedule 2A'!J38</f>
        <v>0</v>
      </c>
      <c r="O38" s="314">
        <f>SUMIFS(Adjustments!$G:$G,Adjustments!$H:$H,"2A",Adjustments!$I:$I,'Schedule 2A Adjustments'!$N$12,Adjustments!$J:$J,'Schedule 2A Adjustments'!A38)</f>
        <v>0</v>
      </c>
      <c r="P38" s="310">
        <f t="shared" si="3"/>
        <v>0</v>
      </c>
      <c r="Q38" s="68">
        <f>IFERROR(N38*'As-Filed Schedule 1'!$E$103,0)</f>
        <v>0</v>
      </c>
      <c r="R38" s="311">
        <f>IFERROR(P38*'Adjusted Schedule 1'!$E$104,0)</f>
        <v>0</v>
      </c>
      <c r="S38" s="68">
        <f t="shared" si="8"/>
        <v>0</v>
      </c>
      <c r="T38" s="311">
        <f t="shared" si="4"/>
        <v>0</v>
      </c>
      <c r="V38" s="120">
        <f>'As-Filed Schedule 2A'!N38</f>
        <v>0</v>
      </c>
      <c r="W38" s="314">
        <f>SUMIFS(Adjustments!$G:$G,Adjustments!$H:$H,"2A",Adjustments!$I:$I,'Schedule 2A Adjustments'!$V$12,Adjustments!$J:$J,'Schedule 2A Adjustments'!A38)</f>
        <v>0</v>
      </c>
      <c r="X38" s="327">
        <f t="shared" si="5"/>
        <v>0</v>
      </c>
      <c r="Y38" s="120">
        <f>'As-Filed Schedule 2A'!O38</f>
        <v>0</v>
      </c>
      <c r="Z38" s="314">
        <f>SUMIFS(Adjustments!$G:$G,Adjustments!$H:$H,"2A",Adjustments!$I:$I,'Schedule 2A Adjustments'!$Y$12,Adjustments!$J:$J,'Schedule 2A Adjustments'!A38)</f>
        <v>0</v>
      </c>
      <c r="AA38" s="327">
        <f t="shared" si="6"/>
        <v>0</v>
      </c>
    </row>
    <row r="39" spans="1:27" x14ac:dyDescent="0.35">
      <c r="A39" s="24">
        <v>25</v>
      </c>
      <c r="B39" s="513" t="str">
        <f>IF('As-Filed Schedule 2A'!B39:D39=0,"",'As-Filed Schedule 2A'!B39:D39)</f>
        <v/>
      </c>
      <c r="C39" s="513"/>
      <c r="D39" s="513"/>
      <c r="F39" s="117">
        <f>'As-Filed Schedule 2A'!F39</f>
        <v>0</v>
      </c>
      <c r="G39" s="314">
        <f>SUMIFS(Adjustments!$G:$G,Adjustments!$H:$H,"2A",Adjustments!$I:$I,'Schedule 2A Adjustments'!$F$12,Adjustments!$J:$J,'Schedule 2A Adjustments'!A39)</f>
        <v>0</v>
      </c>
      <c r="H39" s="310">
        <f t="shared" si="1"/>
        <v>0</v>
      </c>
      <c r="I39" s="68">
        <f>IFERROR(F39*'As-Filed Schedule 1'!$E$103,0)</f>
        <v>0</v>
      </c>
      <c r="J39" s="311">
        <f>IFERROR(H39*'Adjusted Schedule 1'!$E$104,0)</f>
        <v>0</v>
      </c>
      <c r="K39" s="68">
        <f t="shared" si="7"/>
        <v>0</v>
      </c>
      <c r="L39" s="311">
        <f t="shared" si="2"/>
        <v>0</v>
      </c>
      <c r="N39" s="117">
        <f>'As-Filed Schedule 2A'!J39</f>
        <v>0</v>
      </c>
      <c r="O39" s="314">
        <f>SUMIFS(Adjustments!$G:$G,Adjustments!$H:$H,"2A",Adjustments!$I:$I,'Schedule 2A Adjustments'!$N$12,Adjustments!$J:$J,'Schedule 2A Adjustments'!A39)</f>
        <v>0</v>
      </c>
      <c r="P39" s="310">
        <f t="shared" si="3"/>
        <v>0</v>
      </c>
      <c r="Q39" s="68">
        <f>IFERROR(N39*'As-Filed Schedule 1'!$E$103,0)</f>
        <v>0</v>
      </c>
      <c r="R39" s="311">
        <f>IFERROR(P39*'Adjusted Schedule 1'!$E$104,0)</f>
        <v>0</v>
      </c>
      <c r="S39" s="68">
        <f t="shared" si="8"/>
        <v>0</v>
      </c>
      <c r="T39" s="311">
        <f t="shared" si="4"/>
        <v>0</v>
      </c>
      <c r="V39" s="120">
        <f>'As-Filed Schedule 2A'!N39</f>
        <v>0</v>
      </c>
      <c r="W39" s="314">
        <f>SUMIFS(Adjustments!$G:$G,Adjustments!$H:$H,"2A",Adjustments!$I:$I,'Schedule 2A Adjustments'!$V$12,Adjustments!$J:$J,'Schedule 2A Adjustments'!A39)</f>
        <v>0</v>
      </c>
      <c r="X39" s="327">
        <f t="shared" si="5"/>
        <v>0</v>
      </c>
      <c r="Y39" s="120">
        <f>'As-Filed Schedule 2A'!O39</f>
        <v>0</v>
      </c>
      <c r="Z39" s="314">
        <f>SUMIFS(Adjustments!$G:$G,Adjustments!$H:$H,"2A",Adjustments!$I:$I,'Schedule 2A Adjustments'!$Y$12,Adjustments!$J:$J,'Schedule 2A Adjustments'!A39)</f>
        <v>0</v>
      </c>
      <c r="AA39" s="327">
        <f t="shared" si="6"/>
        <v>0</v>
      </c>
    </row>
    <row r="40" spans="1:27" x14ac:dyDescent="0.35">
      <c r="A40" s="24">
        <v>26</v>
      </c>
      <c r="B40" s="513" t="str">
        <f>IF('As-Filed Schedule 2A'!B40:D40=0,"",'As-Filed Schedule 2A'!B40:D40)</f>
        <v/>
      </c>
      <c r="C40" s="513"/>
      <c r="D40" s="513"/>
      <c r="F40" s="117">
        <f>'As-Filed Schedule 2A'!F40</f>
        <v>0</v>
      </c>
      <c r="G40" s="314">
        <f>SUMIFS(Adjustments!$G:$G,Adjustments!$H:$H,"2A",Adjustments!$I:$I,'Schedule 2A Adjustments'!$F$12,Adjustments!$J:$J,'Schedule 2A Adjustments'!A40)</f>
        <v>0</v>
      </c>
      <c r="H40" s="310">
        <f t="shared" si="1"/>
        <v>0</v>
      </c>
      <c r="I40" s="68">
        <f>IFERROR(F40*'As-Filed Schedule 1'!$E$103,0)</f>
        <v>0</v>
      </c>
      <c r="J40" s="311">
        <f>IFERROR(H40*'Adjusted Schedule 1'!$E$104,0)</f>
        <v>0</v>
      </c>
      <c r="K40" s="68">
        <f t="shared" si="7"/>
        <v>0</v>
      </c>
      <c r="L40" s="311">
        <f t="shared" si="2"/>
        <v>0</v>
      </c>
      <c r="N40" s="117">
        <f>'As-Filed Schedule 2A'!J40</f>
        <v>0</v>
      </c>
      <c r="O40" s="314">
        <f>SUMIFS(Adjustments!$G:$G,Adjustments!$H:$H,"2A",Adjustments!$I:$I,'Schedule 2A Adjustments'!$N$12,Adjustments!$J:$J,'Schedule 2A Adjustments'!A40)</f>
        <v>0</v>
      </c>
      <c r="P40" s="310">
        <f t="shared" si="3"/>
        <v>0</v>
      </c>
      <c r="Q40" s="68">
        <f>IFERROR(N40*'As-Filed Schedule 1'!$E$103,0)</f>
        <v>0</v>
      </c>
      <c r="R40" s="311">
        <f>IFERROR(P40*'Adjusted Schedule 1'!$E$104,0)</f>
        <v>0</v>
      </c>
      <c r="S40" s="68">
        <f t="shared" si="8"/>
        <v>0</v>
      </c>
      <c r="T40" s="311">
        <f t="shared" si="4"/>
        <v>0</v>
      </c>
      <c r="V40" s="120">
        <f>'As-Filed Schedule 2A'!N40</f>
        <v>0</v>
      </c>
      <c r="W40" s="314">
        <f>SUMIFS(Adjustments!$G:$G,Adjustments!$H:$H,"2A",Adjustments!$I:$I,'Schedule 2A Adjustments'!$V$12,Adjustments!$J:$J,'Schedule 2A Adjustments'!A40)</f>
        <v>0</v>
      </c>
      <c r="X40" s="327">
        <f t="shared" si="5"/>
        <v>0</v>
      </c>
      <c r="Y40" s="120">
        <f>'As-Filed Schedule 2A'!O40</f>
        <v>0</v>
      </c>
      <c r="Z40" s="314">
        <f>SUMIFS(Adjustments!$G:$G,Adjustments!$H:$H,"2A",Adjustments!$I:$I,'Schedule 2A Adjustments'!$Y$12,Adjustments!$J:$J,'Schedule 2A Adjustments'!A40)</f>
        <v>0</v>
      </c>
      <c r="AA40" s="327">
        <f t="shared" si="6"/>
        <v>0</v>
      </c>
    </row>
    <row r="41" spans="1:27" x14ac:dyDescent="0.35">
      <c r="A41" s="24">
        <v>27</v>
      </c>
      <c r="B41" s="513" t="str">
        <f>IF('As-Filed Schedule 2A'!B41:D41=0,"",'As-Filed Schedule 2A'!B41:D41)</f>
        <v/>
      </c>
      <c r="C41" s="513"/>
      <c r="D41" s="513"/>
      <c r="F41" s="117">
        <f>'As-Filed Schedule 2A'!F41</f>
        <v>0</v>
      </c>
      <c r="G41" s="314">
        <f>SUMIFS(Adjustments!$G:$G,Adjustments!$H:$H,"2A",Adjustments!$I:$I,'Schedule 2A Adjustments'!$F$12,Adjustments!$J:$J,'Schedule 2A Adjustments'!A41)</f>
        <v>0</v>
      </c>
      <c r="H41" s="310">
        <f t="shared" si="1"/>
        <v>0</v>
      </c>
      <c r="I41" s="68">
        <f>IFERROR(F41*'As-Filed Schedule 1'!$E$103,0)</f>
        <v>0</v>
      </c>
      <c r="J41" s="311">
        <f>IFERROR(H41*'Adjusted Schedule 1'!$E$104,0)</f>
        <v>0</v>
      </c>
      <c r="K41" s="68">
        <f t="shared" si="7"/>
        <v>0</v>
      </c>
      <c r="L41" s="311">
        <f t="shared" si="2"/>
        <v>0</v>
      </c>
      <c r="N41" s="117">
        <f>'As-Filed Schedule 2A'!J41</f>
        <v>0</v>
      </c>
      <c r="O41" s="314">
        <f>SUMIFS(Adjustments!$G:$G,Adjustments!$H:$H,"2A",Adjustments!$I:$I,'Schedule 2A Adjustments'!$N$12,Adjustments!$J:$J,'Schedule 2A Adjustments'!A41)</f>
        <v>0</v>
      </c>
      <c r="P41" s="310">
        <f t="shared" si="3"/>
        <v>0</v>
      </c>
      <c r="Q41" s="68">
        <f>IFERROR(N41*'As-Filed Schedule 1'!$E$103,0)</f>
        <v>0</v>
      </c>
      <c r="R41" s="311">
        <f>IFERROR(P41*'Adjusted Schedule 1'!$E$104,0)</f>
        <v>0</v>
      </c>
      <c r="S41" s="68">
        <f t="shared" si="8"/>
        <v>0</v>
      </c>
      <c r="T41" s="311">
        <f t="shared" si="4"/>
        <v>0</v>
      </c>
      <c r="V41" s="120">
        <f>'As-Filed Schedule 2A'!N41</f>
        <v>0</v>
      </c>
      <c r="W41" s="314">
        <f>SUMIFS(Adjustments!$G:$G,Adjustments!$H:$H,"2A",Adjustments!$I:$I,'Schedule 2A Adjustments'!$V$12,Adjustments!$J:$J,'Schedule 2A Adjustments'!A41)</f>
        <v>0</v>
      </c>
      <c r="X41" s="327">
        <f t="shared" si="5"/>
        <v>0</v>
      </c>
      <c r="Y41" s="120">
        <f>'As-Filed Schedule 2A'!O41</f>
        <v>0</v>
      </c>
      <c r="Z41" s="314">
        <f>SUMIFS(Adjustments!$G:$G,Adjustments!$H:$H,"2A",Adjustments!$I:$I,'Schedule 2A Adjustments'!$Y$12,Adjustments!$J:$J,'Schedule 2A Adjustments'!A41)</f>
        <v>0</v>
      </c>
      <c r="AA41" s="327">
        <f t="shared" si="6"/>
        <v>0</v>
      </c>
    </row>
    <row r="42" spans="1:27" x14ac:dyDescent="0.35">
      <c r="A42" s="24">
        <v>28</v>
      </c>
      <c r="B42" s="513" t="str">
        <f>IF('As-Filed Schedule 2A'!B42:D42=0,"",'As-Filed Schedule 2A'!B42:D42)</f>
        <v/>
      </c>
      <c r="C42" s="513"/>
      <c r="D42" s="513"/>
      <c r="F42" s="117">
        <f>'As-Filed Schedule 2A'!F42</f>
        <v>0</v>
      </c>
      <c r="G42" s="314">
        <f>SUMIFS(Adjustments!$G:$G,Adjustments!$H:$H,"2A",Adjustments!$I:$I,'Schedule 2A Adjustments'!$F$12,Adjustments!$J:$J,'Schedule 2A Adjustments'!A42)</f>
        <v>0</v>
      </c>
      <c r="H42" s="310">
        <f t="shared" si="1"/>
        <v>0</v>
      </c>
      <c r="I42" s="68">
        <f>IFERROR(F42*'As-Filed Schedule 1'!$E$103,0)</f>
        <v>0</v>
      </c>
      <c r="J42" s="311">
        <f>IFERROR(H42*'Adjusted Schedule 1'!$E$104,0)</f>
        <v>0</v>
      </c>
      <c r="K42" s="68">
        <f t="shared" si="7"/>
        <v>0</v>
      </c>
      <c r="L42" s="311">
        <f t="shared" si="2"/>
        <v>0</v>
      </c>
      <c r="N42" s="117">
        <f>'As-Filed Schedule 2A'!J42</f>
        <v>0</v>
      </c>
      <c r="O42" s="314">
        <f>SUMIFS(Adjustments!$G:$G,Adjustments!$H:$H,"2A",Adjustments!$I:$I,'Schedule 2A Adjustments'!$N$12,Adjustments!$J:$J,'Schedule 2A Adjustments'!A42)</f>
        <v>0</v>
      </c>
      <c r="P42" s="310">
        <f t="shared" si="3"/>
        <v>0</v>
      </c>
      <c r="Q42" s="68">
        <f>IFERROR(N42*'As-Filed Schedule 1'!$E$103,0)</f>
        <v>0</v>
      </c>
      <c r="R42" s="311">
        <f>IFERROR(P42*'Adjusted Schedule 1'!$E$104,0)</f>
        <v>0</v>
      </c>
      <c r="S42" s="68">
        <f t="shared" si="8"/>
        <v>0</v>
      </c>
      <c r="T42" s="311">
        <f t="shared" si="4"/>
        <v>0</v>
      </c>
      <c r="V42" s="120">
        <f>'As-Filed Schedule 2A'!N42</f>
        <v>0</v>
      </c>
      <c r="W42" s="314">
        <f>SUMIFS(Adjustments!$G:$G,Adjustments!$H:$H,"2A",Adjustments!$I:$I,'Schedule 2A Adjustments'!$V$12,Adjustments!$J:$J,'Schedule 2A Adjustments'!A42)</f>
        <v>0</v>
      </c>
      <c r="X42" s="327">
        <f t="shared" si="5"/>
        <v>0</v>
      </c>
      <c r="Y42" s="120">
        <f>'As-Filed Schedule 2A'!O42</f>
        <v>0</v>
      </c>
      <c r="Z42" s="314">
        <f>SUMIFS(Adjustments!$G:$G,Adjustments!$H:$H,"2A",Adjustments!$I:$I,'Schedule 2A Adjustments'!$Y$12,Adjustments!$J:$J,'Schedule 2A Adjustments'!A42)</f>
        <v>0</v>
      </c>
      <c r="AA42" s="327">
        <f t="shared" si="6"/>
        <v>0</v>
      </c>
    </row>
    <row r="43" spans="1:27" x14ac:dyDescent="0.35">
      <c r="A43" s="24">
        <v>29</v>
      </c>
      <c r="B43" s="513" t="str">
        <f>IF('As-Filed Schedule 2A'!B43:D43=0,"",'As-Filed Schedule 2A'!B43:D43)</f>
        <v/>
      </c>
      <c r="C43" s="513"/>
      <c r="D43" s="513"/>
      <c r="F43" s="117">
        <f>'As-Filed Schedule 2A'!F43</f>
        <v>0</v>
      </c>
      <c r="G43" s="314">
        <f>SUMIFS(Adjustments!$G:$G,Adjustments!$H:$H,"2A",Adjustments!$I:$I,'Schedule 2A Adjustments'!$F$12,Adjustments!$J:$J,'Schedule 2A Adjustments'!A43)</f>
        <v>0</v>
      </c>
      <c r="H43" s="310">
        <f t="shared" si="1"/>
        <v>0</v>
      </c>
      <c r="I43" s="68">
        <f>IFERROR(F43*'As-Filed Schedule 1'!$E$103,0)</f>
        <v>0</v>
      </c>
      <c r="J43" s="311">
        <f>IFERROR(H43*'Adjusted Schedule 1'!$E$104,0)</f>
        <v>0</v>
      </c>
      <c r="K43" s="68">
        <f t="shared" si="7"/>
        <v>0</v>
      </c>
      <c r="L43" s="311">
        <f t="shared" si="2"/>
        <v>0</v>
      </c>
      <c r="N43" s="117">
        <f>'As-Filed Schedule 2A'!J43</f>
        <v>0</v>
      </c>
      <c r="O43" s="314">
        <f>SUMIFS(Adjustments!$G:$G,Adjustments!$H:$H,"2A",Adjustments!$I:$I,'Schedule 2A Adjustments'!$N$12,Adjustments!$J:$J,'Schedule 2A Adjustments'!A43)</f>
        <v>0</v>
      </c>
      <c r="P43" s="310">
        <f t="shared" si="3"/>
        <v>0</v>
      </c>
      <c r="Q43" s="68">
        <f>IFERROR(N43*'As-Filed Schedule 1'!$E$103,0)</f>
        <v>0</v>
      </c>
      <c r="R43" s="311">
        <f>IFERROR(P43*'Adjusted Schedule 1'!$E$104,0)</f>
        <v>0</v>
      </c>
      <c r="S43" s="68">
        <f t="shared" si="8"/>
        <v>0</v>
      </c>
      <c r="T43" s="311">
        <f t="shared" si="4"/>
        <v>0</v>
      </c>
      <c r="V43" s="120">
        <f>'As-Filed Schedule 2A'!N43</f>
        <v>0</v>
      </c>
      <c r="W43" s="314">
        <f>SUMIFS(Adjustments!$G:$G,Adjustments!$H:$H,"2A",Adjustments!$I:$I,'Schedule 2A Adjustments'!$V$12,Adjustments!$J:$J,'Schedule 2A Adjustments'!A43)</f>
        <v>0</v>
      </c>
      <c r="X43" s="327">
        <f t="shared" si="5"/>
        <v>0</v>
      </c>
      <c r="Y43" s="120">
        <f>'As-Filed Schedule 2A'!O43</f>
        <v>0</v>
      </c>
      <c r="Z43" s="314">
        <f>SUMIFS(Adjustments!$G:$G,Adjustments!$H:$H,"2A",Adjustments!$I:$I,'Schedule 2A Adjustments'!$Y$12,Adjustments!$J:$J,'Schedule 2A Adjustments'!A43)</f>
        <v>0</v>
      </c>
      <c r="AA43" s="327">
        <f t="shared" si="6"/>
        <v>0</v>
      </c>
    </row>
    <row r="44" spans="1:27" x14ac:dyDescent="0.35">
      <c r="A44" s="24">
        <v>30</v>
      </c>
      <c r="B44" s="513" t="str">
        <f>IF('As-Filed Schedule 2A'!B44:D44=0,"",'As-Filed Schedule 2A'!B44:D44)</f>
        <v/>
      </c>
      <c r="C44" s="513"/>
      <c r="D44" s="513"/>
      <c r="F44" s="117">
        <f>'As-Filed Schedule 2A'!F44</f>
        <v>0</v>
      </c>
      <c r="G44" s="314">
        <f>SUMIFS(Adjustments!$G:$G,Adjustments!$H:$H,"2A",Adjustments!$I:$I,'Schedule 2A Adjustments'!$F$12,Adjustments!$J:$J,'Schedule 2A Adjustments'!A44)</f>
        <v>0</v>
      </c>
      <c r="H44" s="310">
        <f t="shared" si="1"/>
        <v>0</v>
      </c>
      <c r="I44" s="68">
        <f>IFERROR(F44*'As-Filed Schedule 1'!$E$103,0)</f>
        <v>0</v>
      </c>
      <c r="J44" s="311">
        <f>IFERROR(H44*'Adjusted Schedule 1'!$E$104,0)</f>
        <v>0</v>
      </c>
      <c r="K44" s="68">
        <f t="shared" si="7"/>
        <v>0</v>
      </c>
      <c r="L44" s="311">
        <f t="shared" si="2"/>
        <v>0</v>
      </c>
      <c r="N44" s="117">
        <f>'As-Filed Schedule 2A'!J44</f>
        <v>0</v>
      </c>
      <c r="O44" s="314">
        <f>SUMIFS(Adjustments!$G:$G,Adjustments!$H:$H,"2A",Adjustments!$I:$I,'Schedule 2A Adjustments'!$N$12,Adjustments!$J:$J,'Schedule 2A Adjustments'!A44)</f>
        <v>0</v>
      </c>
      <c r="P44" s="310">
        <f t="shared" si="3"/>
        <v>0</v>
      </c>
      <c r="Q44" s="68">
        <f>IFERROR(N44*'As-Filed Schedule 1'!$E$103,0)</f>
        <v>0</v>
      </c>
      <c r="R44" s="311">
        <f>IFERROR(P44*'Adjusted Schedule 1'!$E$104,0)</f>
        <v>0</v>
      </c>
      <c r="S44" s="68">
        <f t="shared" si="8"/>
        <v>0</v>
      </c>
      <c r="T44" s="311">
        <f t="shared" si="4"/>
        <v>0</v>
      </c>
      <c r="V44" s="120">
        <f>'As-Filed Schedule 2A'!N44</f>
        <v>0</v>
      </c>
      <c r="W44" s="314">
        <f>SUMIFS(Adjustments!$G:$G,Adjustments!$H:$H,"2A",Adjustments!$I:$I,'Schedule 2A Adjustments'!$V$12,Adjustments!$J:$J,'Schedule 2A Adjustments'!A44)</f>
        <v>0</v>
      </c>
      <c r="X44" s="327">
        <f t="shared" si="5"/>
        <v>0</v>
      </c>
      <c r="Y44" s="120">
        <f>'As-Filed Schedule 2A'!O44</f>
        <v>0</v>
      </c>
      <c r="Z44" s="314">
        <f>SUMIFS(Adjustments!$G:$G,Adjustments!$H:$H,"2A",Adjustments!$I:$I,'Schedule 2A Adjustments'!$Y$12,Adjustments!$J:$J,'Schedule 2A Adjustments'!A44)</f>
        <v>0</v>
      </c>
      <c r="AA44" s="327">
        <f t="shared" si="6"/>
        <v>0</v>
      </c>
    </row>
    <row r="45" spans="1:27" x14ac:dyDescent="0.35">
      <c r="A45" s="24">
        <v>31</v>
      </c>
      <c r="B45" s="513" t="str">
        <f>IF('As-Filed Schedule 2A'!B45:D45=0,"",'As-Filed Schedule 2A'!B45:D45)</f>
        <v/>
      </c>
      <c r="C45" s="513"/>
      <c r="D45" s="513"/>
      <c r="F45" s="117">
        <f>'As-Filed Schedule 2A'!F45</f>
        <v>0</v>
      </c>
      <c r="G45" s="314">
        <f>SUMIFS(Adjustments!$G:$G,Adjustments!$H:$H,"2A",Adjustments!$I:$I,'Schedule 2A Adjustments'!$F$12,Adjustments!$J:$J,'Schedule 2A Adjustments'!A45)</f>
        <v>0</v>
      </c>
      <c r="H45" s="310">
        <f t="shared" si="1"/>
        <v>0</v>
      </c>
      <c r="I45" s="68">
        <f>IFERROR(F45*'As-Filed Schedule 1'!$E$103,0)</f>
        <v>0</v>
      </c>
      <c r="J45" s="311">
        <f>IFERROR(H45*'Adjusted Schedule 1'!$E$104,0)</f>
        <v>0</v>
      </c>
      <c r="K45" s="68">
        <f t="shared" si="7"/>
        <v>0</v>
      </c>
      <c r="L45" s="311">
        <f t="shared" si="2"/>
        <v>0</v>
      </c>
      <c r="N45" s="117">
        <f>'As-Filed Schedule 2A'!J45</f>
        <v>0</v>
      </c>
      <c r="O45" s="314">
        <f>SUMIFS(Adjustments!$G:$G,Adjustments!$H:$H,"2A",Adjustments!$I:$I,'Schedule 2A Adjustments'!$N$12,Adjustments!$J:$J,'Schedule 2A Adjustments'!A45)</f>
        <v>0</v>
      </c>
      <c r="P45" s="310">
        <f t="shared" si="3"/>
        <v>0</v>
      </c>
      <c r="Q45" s="68">
        <f>IFERROR(N45*'As-Filed Schedule 1'!$E$103,0)</f>
        <v>0</v>
      </c>
      <c r="R45" s="311">
        <f>IFERROR(P45*'Adjusted Schedule 1'!$E$104,0)</f>
        <v>0</v>
      </c>
      <c r="S45" s="68">
        <f t="shared" si="8"/>
        <v>0</v>
      </c>
      <c r="T45" s="311">
        <f t="shared" si="4"/>
        <v>0</v>
      </c>
      <c r="V45" s="120">
        <f>'As-Filed Schedule 2A'!N45</f>
        <v>0</v>
      </c>
      <c r="W45" s="314">
        <f>SUMIFS(Adjustments!$G:$G,Adjustments!$H:$H,"2A",Adjustments!$I:$I,'Schedule 2A Adjustments'!$V$12,Adjustments!$J:$J,'Schedule 2A Adjustments'!A45)</f>
        <v>0</v>
      </c>
      <c r="X45" s="327">
        <f t="shared" si="5"/>
        <v>0</v>
      </c>
      <c r="Y45" s="120">
        <f>'As-Filed Schedule 2A'!O45</f>
        <v>0</v>
      </c>
      <c r="Z45" s="314">
        <f>SUMIFS(Adjustments!$G:$G,Adjustments!$H:$H,"2A",Adjustments!$I:$I,'Schedule 2A Adjustments'!$Y$12,Adjustments!$J:$J,'Schedule 2A Adjustments'!A45)</f>
        <v>0</v>
      </c>
      <c r="AA45" s="327">
        <f t="shared" si="6"/>
        <v>0</v>
      </c>
    </row>
    <row r="46" spans="1:27" x14ac:dyDescent="0.35">
      <c r="A46" s="24">
        <v>32</v>
      </c>
      <c r="B46" s="513" t="str">
        <f>IF('As-Filed Schedule 2A'!B46:D46=0,"",'As-Filed Schedule 2A'!B46:D46)</f>
        <v/>
      </c>
      <c r="C46" s="513"/>
      <c r="D46" s="513"/>
      <c r="F46" s="117">
        <f>'As-Filed Schedule 2A'!F46</f>
        <v>0</v>
      </c>
      <c r="G46" s="314">
        <f>SUMIFS(Adjustments!$G:$G,Adjustments!$H:$H,"2A",Adjustments!$I:$I,'Schedule 2A Adjustments'!$F$12,Adjustments!$J:$J,'Schedule 2A Adjustments'!A46)</f>
        <v>0</v>
      </c>
      <c r="H46" s="310">
        <f t="shared" si="1"/>
        <v>0</v>
      </c>
      <c r="I46" s="68">
        <f>IFERROR(F46*'As-Filed Schedule 1'!$E$103,0)</f>
        <v>0</v>
      </c>
      <c r="J46" s="311">
        <f>IFERROR(H46*'Adjusted Schedule 1'!$E$104,0)</f>
        <v>0</v>
      </c>
      <c r="K46" s="68">
        <f t="shared" si="7"/>
        <v>0</v>
      </c>
      <c r="L46" s="311">
        <f t="shared" si="2"/>
        <v>0</v>
      </c>
      <c r="N46" s="117">
        <f>'As-Filed Schedule 2A'!J46</f>
        <v>0</v>
      </c>
      <c r="O46" s="314">
        <f>SUMIFS(Adjustments!$G:$G,Adjustments!$H:$H,"2A",Adjustments!$I:$I,'Schedule 2A Adjustments'!$N$12,Adjustments!$J:$J,'Schedule 2A Adjustments'!A46)</f>
        <v>0</v>
      </c>
      <c r="P46" s="310">
        <f t="shared" si="3"/>
        <v>0</v>
      </c>
      <c r="Q46" s="68">
        <f>IFERROR(N46*'As-Filed Schedule 1'!$E$103,0)</f>
        <v>0</v>
      </c>
      <c r="R46" s="311">
        <f>IFERROR(P46*'Adjusted Schedule 1'!$E$104,0)</f>
        <v>0</v>
      </c>
      <c r="S46" s="68">
        <f t="shared" si="8"/>
        <v>0</v>
      </c>
      <c r="T46" s="311">
        <f t="shared" si="4"/>
        <v>0</v>
      </c>
      <c r="V46" s="120">
        <f>'As-Filed Schedule 2A'!N46</f>
        <v>0</v>
      </c>
      <c r="W46" s="314">
        <f>SUMIFS(Adjustments!$G:$G,Adjustments!$H:$H,"2A",Adjustments!$I:$I,'Schedule 2A Adjustments'!$V$12,Adjustments!$J:$J,'Schedule 2A Adjustments'!A46)</f>
        <v>0</v>
      </c>
      <c r="X46" s="327">
        <f t="shared" si="5"/>
        <v>0</v>
      </c>
      <c r="Y46" s="120">
        <f>'As-Filed Schedule 2A'!O46</f>
        <v>0</v>
      </c>
      <c r="Z46" s="314">
        <f>SUMIFS(Adjustments!$G:$G,Adjustments!$H:$H,"2A",Adjustments!$I:$I,'Schedule 2A Adjustments'!$Y$12,Adjustments!$J:$J,'Schedule 2A Adjustments'!A46)</f>
        <v>0</v>
      </c>
      <c r="AA46" s="327">
        <f t="shared" si="6"/>
        <v>0</v>
      </c>
    </row>
    <row r="47" spans="1:27" x14ac:dyDescent="0.35">
      <c r="A47" s="24">
        <v>33</v>
      </c>
      <c r="B47" s="513" t="str">
        <f>IF('As-Filed Schedule 2A'!B47:D47=0,"",'As-Filed Schedule 2A'!B47:D47)</f>
        <v/>
      </c>
      <c r="C47" s="513"/>
      <c r="D47" s="513"/>
      <c r="F47" s="117">
        <f>'As-Filed Schedule 2A'!F47</f>
        <v>0</v>
      </c>
      <c r="G47" s="314">
        <f>SUMIFS(Adjustments!$G:$G,Adjustments!$H:$H,"2A",Adjustments!$I:$I,'Schedule 2A Adjustments'!$F$12,Adjustments!$J:$J,'Schedule 2A Adjustments'!A47)</f>
        <v>0</v>
      </c>
      <c r="H47" s="310">
        <f t="shared" si="1"/>
        <v>0</v>
      </c>
      <c r="I47" s="68">
        <f>IFERROR(F47*'As-Filed Schedule 1'!$E$103,0)</f>
        <v>0</v>
      </c>
      <c r="J47" s="311">
        <f>IFERROR(H47*'Adjusted Schedule 1'!$E$104,0)</f>
        <v>0</v>
      </c>
      <c r="K47" s="68">
        <f t="shared" si="7"/>
        <v>0</v>
      </c>
      <c r="L47" s="311">
        <f t="shared" si="2"/>
        <v>0</v>
      </c>
      <c r="N47" s="117">
        <f>'As-Filed Schedule 2A'!J47</f>
        <v>0</v>
      </c>
      <c r="O47" s="314">
        <f>SUMIFS(Adjustments!$G:$G,Adjustments!$H:$H,"2A",Adjustments!$I:$I,'Schedule 2A Adjustments'!$N$12,Adjustments!$J:$J,'Schedule 2A Adjustments'!A47)</f>
        <v>0</v>
      </c>
      <c r="P47" s="310">
        <f t="shared" si="3"/>
        <v>0</v>
      </c>
      <c r="Q47" s="68">
        <f>IFERROR(N47*'As-Filed Schedule 1'!$E$103,0)</f>
        <v>0</v>
      </c>
      <c r="R47" s="311">
        <f>IFERROR(P47*'Adjusted Schedule 1'!$E$104,0)</f>
        <v>0</v>
      </c>
      <c r="S47" s="68">
        <f t="shared" si="8"/>
        <v>0</v>
      </c>
      <c r="T47" s="311">
        <f t="shared" si="4"/>
        <v>0</v>
      </c>
      <c r="V47" s="120">
        <f>'As-Filed Schedule 2A'!N47</f>
        <v>0</v>
      </c>
      <c r="W47" s="314">
        <f>SUMIFS(Adjustments!$G:$G,Adjustments!$H:$H,"2A",Adjustments!$I:$I,'Schedule 2A Adjustments'!$V$12,Adjustments!$J:$J,'Schedule 2A Adjustments'!A47)</f>
        <v>0</v>
      </c>
      <c r="X47" s="327">
        <f t="shared" si="5"/>
        <v>0</v>
      </c>
      <c r="Y47" s="120">
        <f>'As-Filed Schedule 2A'!O47</f>
        <v>0</v>
      </c>
      <c r="Z47" s="314">
        <f>SUMIFS(Adjustments!$G:$G,Adjustments!$H:$H,"2A",Adjustments!$I:$I,'Schedule 2A Adjustments'!$Y$12,Adjustments!$J:$J,'Schedule 2A Adjustments'!A47)</f>
        <v>0</v>
      </c>
      <c r="AA47" s="327">
        <f t="shared" si="6"/>
        <v>0</v>
      </c>
    </row>
    <row r="48" spans="1:27" x14ac:dyDescent="0.35">
      <c r="A48" s="24">
        <v>34</v>
      </c>
      <c r="B48" s="513" t="str">
        <f>IF('As-Filed Schedule 2A'!B48:D48=0,"",'As-Filed Schedule 2A'!B48:D48)</f>
        <v/>
      </c>
      <c r="C48" s="513"/>
      <c r="D48" s="513"/>
      <c r="F48" s="117">
        <f>'As-Filed Schedule 2A'!F48</f>
        <v>0</v>
      </c>
      <c r="G48" s="314">
        <f>SUMIFS(Adjustments!$G:$G,Adjustments!$H:$H,"2A",Adjustments!$I:$I,'Schedule 2A Adjustments'!$F$12,Adjustments!$J:$J,'Schedule 2A Adjustments'!A48)</f>
        <v>0</v>
      </c>
      <c r="H48" s="310">
        <f t="shared" si="1"/>
        <v>0</v>
      </c>
      <c r="I48" s="68">
        <f>IFERROR(F48*'As-Filed Schedule 1'!$E$103,0)</f>
        <v>0</v>
      </c>
      <c r="J48" s="311">
        <f>IFERROR(H48*'Adjusted Schedule 1'!$E$104,0)</f>
        <v>0</v>
      </c>
      <c r="K48" s="68">
        <f t="shared" si="7"/>
        <v>0</v>
      </c>
      <c r="L48" s="311">
        <f t="shared" si="2"/>
        <v>0</v>
      </c>
      <c r="N48" s="117">
        <f>'As-Filed Schedule 2A'!J48</f>
        <v>0</v>
      </c>
      <c r="O48" s="314">
        <f>SUMIFS(Adjustments!$G:$G,Adjustments!$H:$H,"2A",Adjustments!$I:$I,'Schedule 2A Adjustments'!$N$12,Adjustments!$J:$J,'Schedule 2A Adjustments'!A48)</f>
        <v>0</v>
      </c>
      <c r="P48" s="310">
        <f t="shared" si="3"/>
        <v>0</v>
      </c>
      <c r="Q48" s="68">
        <f>IFERROR(N48*'As-Filed Schedule 1'!$E$103,0)</f>
        <v>0</v>
      </c>
      <c r="R48" s="311">
        <f>IFERROR(P48*'Adjusted Schedule 1'!$E$104,0)</f>
        <v>0</v>
      </c>
      <c r="S48" s="68">
        <f t="shared" si="8"/>
        <v>0</v>
      </c>
      <c r="T48" s="311">
        <f t="shared" si="4"/>
        <v>0</v>
      </c>
      <c r="V48" s="120">
        <f>'As-Filed Schedule 2A'!N48</f>
        <v>0</v>
      </c>
      <c r="W48" s="314">
        <f>SUMIFS(Adjustments!$G:$G,Adjustments!$H:$H,"2A",Adjustments!$I:$I,'Schedule 2A Adjustments'!$V$12,Adjustments!$J:$J,'Schedule 2A Adjustments'!A48)</f>
        <v>0</v>
      </c>
      <c r="X48" s="327">
        <f t="shared" si="5"/>
        <v>0</v>
      </c>
      <c r="Y48" s="120">
        <f>'As-Filed Schedule 2A'!O48</f>
        <v>0</v>
      </c>
      <c r="Z48" s="314">
        <f>SUMIFS(Adjustments!$G:$G,Adjustments!$H:$H,"2A",Adjustments!$I:$I,'Schedule 2A Adjustments'!$Y$12,Adjustments!$J:$J,'Schedule 2A Adjustments'!A48)</f>
        <v>0</v>
      </c>
      <c r="AA48" s="327">
        <f t="shared" si="6"/>
        <v>0</v>
      </c>
    </row>
    <row r="49" spans="1:27" x14ac:dyDescent="0.35">
      <c r="A49" s="24">
        <v>35</v>
      </c>
      <c r="B49" s="513" t="str">
        <f>IF('As-Filed Schedule 2A'!B49:D49=0,"",'As-Filed Schedule 2A'!B49:D49)</f>
        <v/>
      </c>
      <c r="C49" s="513"/>
      <c r="D49" s="513"/>
      <c r="F49" s="117">
        <f>'As-Filed Schedule 2A'!F49</f>
        <v>0</v>
      </c>
      <c r="G49" s="314">
        <f>SUMIFS(Adjustments!$G:$G,Adjustments!$H:$H,"2A",Adjustments!$I:$I,'Schedule 2A Adjustments'!$F$12,Adjustments!$J:$J,'Schedule 2A Adjustments'!A49)</f>
        <v>0</v>
      </c>
      <c r="H49" s="310">
        <f t="shared" si="1"/>
        <v>0</v>
      </c>
      <c r="I49" s="68">
        <f>IFERROR(F49*'As-Filed Schedule 1'!$E$103,0)</f>
        <v>0</v>
      </c>
      <c r="J49" s="311">
        <f>IFERROR(H49*'Adjusted Schedule 1'!$E$104,0)</f>
        <v>0</v>
      </c>
      <c r="K49" s="68">
        <f t="shared" si="7"/>
        <v>0</v>
      </c>
      <c r="L49" s="311">
        <f t="shared" si="2"/>
        <v>0</v>
      </c>
      <c r="N49" s="117">
        <f>'As-Filed Schedule 2A'!J49</f>
        <v>0</v>
      </c>
      <c r="O49" s="314">
        <f>SUMIFS(Adjustments!$G:$G,Adjustments!$H:$H,"2A",Adjustments!$I:$I,'Schedule 2A Adjustments'!$N$12,Adjustments!$J:$J,'Schedule 2A Adjustments'!A49)</f>
        <v>0</v>
      </c>
      <c r="P49" s="310">
        <f t="shared" si="3"/>
        <v>0</v>
      </c>
      <c r="Q49" s="68">
        <f>IFERROR(N49*'As-Filed Schedule 1'!$E$103,0)</f>
        <v>0</v>
      </c>
      <c r="R49" s="311">
        <f>IFERROR(P49*'Adjusted Schedule 1'!$E$104,0)</f>
        <v>0</v>
      </c>
      <c r="S49" s="68">
        <f t="shared" si="8"/>
        <v>0</v>
      </c>
      <c r="T49" s="311">
        <f t="shared" si="4"/>
        <v>0</v>
      </c>
      <c r="V49" s="120">
        <f>'As-Filed Schedule 2A'!N49</f>
        <v>0</v>
      </c>
      <c r="W49" s="314">
        <f>SUMIFS(Adjustments!$G:$G,Adjustments!$H:$H,"2A",Adjustments!$I:$I,'Schedule 2A Adjustments'!$V$12,Adjustments!$J:$J,'Schedule 2A Adjustments'!A49)</f>
        <v>0</v>
      </c>
      <c r="X49" s="327">
        <f t="shared" si="5"/>
        <v>0</v>
      </c>
      <c r="Y49" s="120">
        <f>'As-Filed Schedule 2A'!O49</f>
        <v>0</v>
      </c>
      <c r="Z49" s="314">
        <f>SUMIFS(Adjustments!$G:$G,Adjustments!$H:$H,"2A",Adjustments!$I:$I,'Schedule 2A Adjustments'!$Y$12,Adjustments!$J:$J,'Schedule 2A Adjustments'!A49)</f>
        <v>0</v>
      </c>
      <c r="AA49" s="327">
        <f t="shared" si="6"/>
        <v>0</v>
      </c>
    </row>
    <row r="50" spans="1:27" x14ac:dyDescent="0.35">
      <c r="A50" s="24">
        <v>36</v>
      </c>
      <c r="B50" s="513" t="str">
        <f>IF('As-Filed Schedule 2A'!B50:D50=0,"",'As-Filed Schedule 2A'!B50:D50)</f>
        <v/>
      </c>
      <c r="C50" s="513"/>
      <c r="D50" s="513"/>
      <c r="F50" s="117">
        <f>'As-Filed Schedule 2A'!F50</f>
        <v>0</v>
      </c>
      <c r="G50" s="314">
        <f>SUMIFS(Adjustments!$G:$G,Adjustments!$H:$H,"2A",Adjustments!$I:$I,'Schedule 2A Adjustments'!$F$12,Adjustments!$J:$J,'Schedule 2A Adjustments'!A50)</f>
        <v>0</v>
      </c>
      <c r="H50" s="310">
        <f t="shared" si="1"/>
        <v>0</v>
      </c>
      <c r="I50" s="68">
        <f>IFERROR(F50*'As-Filed Schedule 1'!$E$103,0)</f>
        <v>0</v>
      </c>
      <c r="J50" s="311">
        <f>IFERROR(H50*'Adjusted Schedule 1'!$E$104,0)</f>
        <v>0</v>
      </c>
      <c r="K50" s="68">
        <f t="shared" si="7"/>
        <v>0</v>
      </c>
      <c r="L50" s="311">
        <f t="shared" si="2"/>
        <v>0</v>
      </c>
      <c r="N50" s="117">
        <f>'As-Filed Schedule 2A'!J50</f>
        <v>0</v>
      </c>
      <c r="O50" s="314">
        <f>SUMIFS(Adjustments!$G:$G,Adjustments!$H:$H,"2A",Adjustments!$I:$I,'Schedule 2A Adjustments'!$N$12,Adjustments!$J:$J,'Schedule 2A Adjustments'!A50)</f>
        <v>0</v>
      </c>
      <c r="P50" s="310">
        <f t="shared" si="3"/>
        <v>0</v>
      </c>
      <c r="Q50" s="68">
        <f>IFERROR(N50*'As-Filed Schedule 1'!$E$103,0)</f>
        <v>0</v>
      </c>
      <c r="R50" s="311">
        <f>IFERROR(P50*'Adjusted Schedule 1'!$E$104,0)</f>
        <v>0</v>
      </c>
      <c r="S50" s="68">
        <f t="shared" si="8"/>
        <v>0</v>
      </c>
      <c r="T50" s="311">
        <f t="shared" si="4"/>
        <v>0</v>
      </c>
      <c r="V50" s="120">
        <f>'As-Filed Schedule 2A'!N50</f>
        <v>0</v>
      </c>
      <c r="W50" s="314">
        <f>SUMIFS(Adjustments!$G:$G,Adjustments!$H:$H,"2A",Adjustments!$I:$I,'Schedule 2A Adjustments'!$V$12,Adjustments!$J:$J,'Schedule 2A Adjustments'!A50)</f>
        <v>0</v>
      </c>
      <c r="X50" s="327">
        <f t="shared" si="5"/>
        <v>0</v>
      </c>
      <c r="Y50" s="120">
        <f>'As-Filed Schedule 2A'!O50</f>
        <v>0</v>
      </c>
      <c r="Z50" s="314">
        <f>SUMIFS(Adjustments!$G:$G,Adjustments!$H:$H,"2A",Adjustments!$I:$I,'Schedule 2A Adjustments'!$Y$12,Adjustments!$J:$J,'Schedule 2A Adjustments'!A50)</f>
        <v>0</v>
      </c>
      <c r="AA50" s="327">
        <f t="shared" si="6"/>
        <v>0</v>
      </c>
    </row>
    <row r="51" spans="1:27" x14ac:dyDescent="0.35">
      <c r="A51" s="24">
        <v>37</v>
      </c>
      <c r="B51" s="513" t="str">
        <f>IF('As-Filed Schedule 2A'!B51:D51=0,"",'As-Filed Schedule 2A'!B51:D51)</f>
        <v/>
      </c>
      <c r="C51" s="513"/>
      <c r="D51" s="513"/>
      <c r="F51" s="117">
        <f>'As-Filed Schedule 2A'!F51</f>
        <v>0</v>
      </c>
      <c r="G51" s="314">
        <f>SUMIFS(Adjustments!$G:$G,Adjustments!$H:$H,"2A",Adjustments!$I:$I,'Schedule 2A Adjustments'!$F$12,Adjustments!$J:$J,'Schedule 2A Adjustments'!A51)</f>
        <v>0</v>
      </c>
      <c r="H51" s="310">
        <f t="shared" si="1"/>
        <v>0</v>
      </c>
      <c r="I51" s="68">
        <f>IFERROR(F51*'As-Filed Schedule 1'!$E$103,0)</f>
        <v>0</v>
      </c>
      <c r="J51" s="311">
        <f>IFERROR(H51*'Adjusted Schedule 1'!$E$104,0)</f>
        <v>0</v>
      </c>
      <c r="K51" s="68">
        <f t="shared" si="7"/>
        <v>0</v>
      </c>
      <c r="L51" s="311">
        <f t="shared" si="2"/>
        <v>0</v>
      </c>
      <c r="N51" s="117">
        <f>'As-Filed Schedule 2A'!J51</f>
        <v>0</v>
      </c>
      <c r="O51" s="314">
        <f>SUMIFS(Adjustments!$G:$G,Adjustments!$H:$H,"2A",Adjustments!$I:$I,'Schedule 2A Adjustments'!$N$12,Adjustments!$J:$J,'Schedule 2A Adjustments'!A51)</f>
        <v>0</v>
      </c>
      <c r="P51" s="310">
        <f t="shared" si="3"/>
        <v>0</v>
      </c>
      <c r="Q51" s="68">
        <f>IFERROR(N51*'As-Filed Schedule 1'!$E$103,0)</f>
        <v>0</v>
      </c>
      <c r="R51" s="311">
        <f>IFERROR(P51*'Adjusted Schedule 1'!$E$104,0)</f>
        <v>0</v>
      </c>
      <c r="S51" s="68">
        <f t="shared" si="8"/>
        <v>0</v>
      </c>
      <c r="T51" s="311">
        <f t="shared" si="4"/>
        <v>0</v>
      </c>
      <c r="V51" s="120">
        <f>'As-Filed Schedule 2A'!N51</f>
        <v>0</v>
      </c>
      <c r="W51" s="314">
        <f>SUMIFS(Adjustments!$G:$G,Adjustments!$H:$H,"2A",Adjustments!$I:$I,'Schedule 2A Adjustments'!$V$12,Adjustments!$J:$J,'Schedule 2A Adjustments'!A51)</f>
        <v>0</v>
      </c>
      <c r="X51" s="327">
        <f t="shared" si="5"/>
        <v>0</v>
      </c>
      <c r="Y51" s="120">
        <f>'As-Filed Schedule 2A'!O51</f>
        <v>0</v>
      </c>
      <c r="Z51" s="314">
        <f>SUMIFS(Adjustments!$G:$G,Adjustments!$H:$H,"2A",Adjustments!$I:$I,'Schedule 2A Adjustments'!$Y$12,Adjustments!$J:$J,'Schedule 2A Adjustments'!A51)</f>
        <v>0</v>
      </c>
      <c r="AA51" s="327">
        <f t="shared" si="6"/>
        <v>0</v>
      </c>
    </row>
    <row r="52" spans="1:27" x14ac:dyDescent="0.35">
      <c r="A52" s="24">
        <v>38</v>
      </c>
      <c r="B52" s="513" t="str">
        <f>IF('As-Filed Schedule 2A'!B52:D52=0,"",'As-Filed Schedule 2A'!B52:D52)</f>
        <v/>
      </c>
      <c r="C52" s="513"/>
      <c r="D52" s="513"/>
      <c r="F52" s="117">
        <f>'As-Filed Schedule 2A'!F52</f>
        <v>0</v>
      </c>
      <c r="G52" s="314">
        <f>SUMIFS(Adjustments!$G:$G,Adjustments!$H:$H,"2A",Adjustments!$I:$I,'Schedule 2A Adjustments'!$F$12,Adjustments!$J:$J,'Schedule 2A Adjustments'!A52)</f>
        <v>0</v>
      </c>
      <c r="H52" s="310">
        <f t="shared" si="1"/>
        <v>0</v>
      </c>
      <c r="I52" s="68">
        <f>IFERROR(F52*'As-Filed Schedule 1'!$E$103,0)</f>
        <v>0</v>
      </c>
      <c r="J52" s="311">
        <f>IFERROR(H52*'Adjusted Schedule 1'!$E$104,0)</f>
        <v>0</v>
      </c>
      <c r="K52" s="68">
        <f t="shared" si="7"/>
        <v>0</v>
      </c>
      <c r="L52" s="311">
        <f t="shared" si="2"/>
        <v>0</v>
      </c>
      <c r="N52" s="117">
        <f>'As-Filed Schedule 2A'!J52</f>
        <v>0</v>
      </c>
      <c r="O52" s="314">
        <f>SUMIFS(Adjustments!$G:$G,Adjustments!$H:$H,"2A",Adjustments!$I:$I,'Schedule 2A Adjustments'!$N$12,Adjustments!$J:$J,'Schedule 2A Adjustments'!A52)</f>
        <v>0</v>
      </c>
      <c r="P52" s="310">
        <f t="shared" si="3"/>
        <v>0</v>
      </c>
      <c r="Q52" s="68">
        <f>IFERROR(N52*'As-Filed Schedule 1'!$E$103,0)</f>
        <v>0</v>
      </c>
      <c r="R52" s="311">
        <f>IFERROR(P52*'Adjusted Schedule 1'!$E$104,0)</f>
        <v>0</v>
      </c>
      <c r="S52" s="68">
        <f t="shared" si="8"/>
        <v>0</v>
      </c>
      <c r="T52" s="311">
        <f t="shared" si="4"/>
        <v>0</v>
      </c>
      <c r="V52" s="120">
        <f>'As-Filed Schedule 2A'!N52</f>
        <v>0</v>
      </c>
      <c r="W52" s="314">
        <f>SUMIFS(Adjustments!$G:$G,Adjustments!$H:$H,"2A",Adjustments!$I:$I,'Schedule 2A Adjustments'!$V$12,Adjustments!$J:$J,'Schedule 2A Adjustments'!A52)</f>
        <v>0</v>
      </c>
      <c r="X52" s="327">
        <f t="shared" si="5"/>
        <v>0</v>
      </c>
      <c r="Y52" s="120">
        <f>'As-Filed Schedule 2A'!O52</f>
        <v>0</v>
      </c>
      <c r="Z52" s="314">
        <f>SUMIFS(Adjustments!$G:$G,Adjustments!$H:$H,"2A",Adjustments!$I:$I,'Schedule 2A Adjustments'!$Y$12,Adjustments!$J:$J,'Schedule 2A Adjustments'!A52)</f>
        <v>0</v>
      </c>
      <c r="AA52" s="327">
        <f t="shared" si="6"/>
        <v>0</v>
      </c>
    </row>
    <row r="53" spans="1:27" x14ac:dyDescent="0.35">
      <c r="A53" s="24">
        <v>39</v>
      </c>
      <c r="B53" s="513" t="str">
        <f>IF('As-Filed Schedule 2A'!B53:D53=0,"",'As-Filed Schedule 2A'!B53:D53)</f>
        <v/>
      </c>
      <c r="C53" s="513"/>
      <c r="D53" s="513"/>
      <c r="F53" s="117">
        <f>'As-Filed Schedule 2A'!F53</f>
        <v>0</v>
      </c>
      <c r="G53" s="314">
        <f>SUMIFS(Adjustments!$G:$G,Adjustments!$H:$H,"2A",Adjustments!$I:$I,'Schedule 2A Adjustments'!$F$12,Adjustments!$J:$J,'Schedule 2A Adjustments'!A53)</f>
        <v>0</v>
      </c>
      <c r="H53" s="310">
        <f t="shared" si="1"/>
        <v>0</v>
      </c>
      <c r="I53" s="68">
        <f>IFERROR(F53*'As-Filed Schedule 1'!$E$103,0)</f>
        <v>0</v>
      </c>
      <c r="J53" s="311">
        <f>IFERROR(H53*'Adjusted Schedule 1'!$E$104,0)</f>
        <v>0</v>
      </c>
      <c r="K53" s="68">
        <f t="shared" si="7"/>
        <v>0</v>
      </c>
      <c r="L53" s="311">
        <f t="shared" si="2"/>
        <v>0</v>
      </c>
      <c r="N53" s="117">
        <f>'As-Filed Schedule 2A'!J53</f>
        <v>0</v>
      </c>
      <c r="O53" s="314">
        <f>SUMIFS(Adjustments!$G:$G,Adjustments!$H:$H,"2A",Adjustments!$I:$I,'Schedule 2A Adjustments'!$N$12,Adjustments!$J:$J,'Schedule 2A Adjustments'!A53)</f>
        <v>0</v>
      </c>
      <c r="P53" s="310">
        <f t="shared" si="3"/>
        <v>0</v>
      </c>
      <c r="Q53" s="68">
        <f>IFERROR(N53*'As-Filed Schedule 1'!$E$103,0)</f>
        <v>0</v>
      </c>
      <c r="R53" s="311">
        <f>IFERROR(P53*'Adjusted Schedule 1'!$E$104,0)</f>
        <v>0</v>
      </c>
      <c r="S53" s="68">
        <f t="shared" si="8"/>
        <v>0</v>
      </c>
      <c r="T53" s="311">
        <f t="shared" si="4"/>
        <v>0</v>
      </c>
      <c r="V53" s="120">
        <f>'As-Filed Schedule 2A'!N53</f>
        <v>0</v>
      </c>
      <c r="W53" s="314">
        <f>SUMIFS(Adjustments!$G:$G,Adjustments!$H:$H,"2A",Adjustments!$I:$I,'Schedule 2A Adjustments'!$V$12,Adjustments!$J:$J,'Schedule 2A Adjustments'!A53)</f>
        <v>0</v>
      </c>
      <c r="X53" s="327">
        <f t="shared" si="5"/>
        <v>0</v>
      </c>
      <c r="Y53" s="120">
        <f>'As-Filed Schedule 2A'!O53</f>
        <v>0</v>
      </c>
      <c r="Z53" s="314">
        <f>SUMIFS(Adjustments!$G:$G,Adjustments!$H:$H,"2A",Adjustments!$I:$I,'Schedule 2A Adjustments'!$Y$12,Adjustments!$J:$J,'Schedule 2A Adjustments'!A53)</f>
        <v>0</v>
      </c>
      <c r="AA53" s="327">
        <f t="shared" si="6"/>
        <v>0</v>
      </c>
    </row>
    <row r="54" spans="1:27" x14ac:dyDescent="0.35">
      <c r="A54" s="24">
        <v>40</v>
      </c>
      <c r="B54" s="513" t="str">
        <f>IF('As-Filed Schedule 2A'!B54:D54=0,"",'As-Filed Schedule 2A'!B54:D54)</f>
        <v/>
      </c>
      <c r="C54" s="513"/>
      <c r="D54" s="513"/>
      <c r="F54" s="117">
        <f>'As-Filed Schedule 2A'!F54</f>
        <v>0</v>
      </c>
      <c r="G54" s="314">
        <f>SUMIFS(Adjustments!$G:$G,Adjustments!$H:$H,"2A",Adjustments!$I:$I,'Schedule 2A Adjustments'!$F$12,Adjustments!$J:$J,'Schedule 2A Adjustments'!A54)</f>
        <v>0</v>
      </c>
      <c r="H54" s="310">
        <f t="shared" si="1"/>
        <v>0</v>
      </c>
      <c r="I54" s="68">
        <f>IFERROR(F54*'As-Filed Schedule 1'!$E$103,0)</f>
        <v>0</v>
      </c>
      <c r="J54" s="311">
        <f>IFERROR(H54*'Adjusted Schedule 1'!$E$104,0)</f>
        <v>0</v>
      </c>
      <c r="K54" s="68">
        <f t="shared" si="7"/>
        <v>0</v>
      </c>
      <c r="L54" s="311">
        <f t="shared" si="2"/>
        <v>0</v>
      </c>
      <c r="N54" s="117">
        <f>'As-Filed Schedule 2A'!J54</f>
        <v>0</v>
      </c>
      <c r="O54" s="314">
        <f>SUMIFS(Adjustments!$G:$G,Adjustments!$H:$H,"2A",Adjustments!$I:$I,'Schedule 2A Adjustments'!$N$12,Adjustments!$J:$J,'Schedule 2A Adjustments'!A54)</f>
        <v>0</v>
      </c>
      <c r="P54" s="310">
        <f t="shared" si="3"/>
        <v>0</v>
      </c>
      <c r="Q54" s="68">
        <f>IFERROR(N54*'As-Filed Schedule 1'!$E$103,0)</f>
        <v>0</v>
      </c>
      <c r="R54" s="311">
        <f>IFERROR(P54*'Adjusted Schedule 1'!$E$104,0)</f>
        <v>0</v>
      </c>
      <c r="S54" s="68">
        <f t="shared" si="8"/>
        <v>0</v>
      </c>
      <c r="T54" s="311">
        <f t="shared" si="4"/>
        <v>0</v>
      </c>
      <c r="V54" s="120">
        <f>'As-Filed Schedule 2A'!N54</f>
        <v>0</v>
      </c>
      <c r="W54" s="314">
        <f>SUMIFS(Adjustments!$G:$G,Adjustments!$H:$H,"2A",Adjustments!$I:$I,'Schedule 2A Adjustments'!$V$12,Adjustments!$J:$J,'Schedule 2A Adjustments'!A54)</f>
        <v>0</v>
      </c>
      <c r="X54" s="327">
        <f t="shared" si="5"/>
        <v>0</v>
      </c>
      <c r="Y54" s="120">
        <f>'As-Filed Schedule 2A'!O54</f>
        <v>0</v>
      </c>
      <c r="Z54" s="314">
        <f>SUMIFS(Adjustments!$G:$G,Adjustments!$H:$H,"2A",Adjustments!$I:$I,'Schedule 2A Adjustments'!$Y$12,Adjustments!$J:$J,'Schedule 2A Adjustments'!A54)</f>
        <v>0</v>
      </c>
      <c r="AA54" s="327">
        <f t="shared" si="6"/>
        <v>0</v>
      </c>
    </row>
    <row r="55" spans="1:27" x14ac:dyDescent="0.35">
      <c r="A55" s="24">
        <v>41</v>
      </c>
      <c r="B55" s="513" t="str">
        <f>IF('As-Filed Schedule 2A'!B55:D55=0,"",'As-Filed Schedule 2A'!B55:D55)</f>
        <v/>
      </c>
      <c r="C55" s="513"/>
      <c r="D55" s="513"/>
      <c r="F55" s="117">
        <f>'As-Filed Schedule 2A'!F55</f>
        <v>0</v>
      </c>
      <c r="G55" s="314">
        <f>SUMIFS(Adjustments!$G:$G,Adjustments!$H:$H,"2A",Adjustments!$I:$I,'Schedule 2A Adjustments'!$F$12,Adjustments!$J:$J,'Schedule 2A Adjustments'!A55)</f>
        <v>0</v>
      </c>
      <c r="H55" s="310">
        <f t="shared" si="1"/>
        <v>0</v>
      </c>
      <c r="I55" s="68">
        <f>IFERROR(F55*'As-Filed Schedule 1'!$E$103,0)</f>
        <v>0</v>
      </c>
      <c r="J55" s="311">
        <f>IFERROR(H55*'Adjusted Schedule 1'!$E$104,0)</f>
        <v>0</v>
      </c>
      <c r="K55" s="68">
        <f t="shared" si="7"/>
        <v>0</v>
      </c>
      <c r="L55" s="311">
        <f t="shared" si="2"/>
        <v>0</v>
      </c>
      <c r="N55" s="117">
        <f>'As-Filed Schedule 2A'!J55</f>
        <v>0</v>
      </c>
      <c r="O55" s="314">
        <f>SUMIFS(Adjustments!$G:$G,Adjustments!$H:$H,"2A",Adjustments!$I:$I,'Schedule 2A Adjustments'!$N$12,Adjustments!$J:$J,'Schedule 2A Adjustments'!A55)</f>
        <v>0</v>
      </c>
      <c r="P55" s="310">
        <f t="shared" si="3"/>
        <v>0</v>
      </c>
      <c r="Q55" s="68">
        <f>IFERROR(N55*'As-Filed Schedule 1'!$E$103,0)</f>
        <v>0</v>
      </c>
      <c r="R55" s="311">
        <f>IFERROR(P55*'Adjusted Schedule 1'!$E$104,0)</f>
        <v>0</v>
      </c>
      <c r="S55" s="68">
        <f t="shared" si="8"/>
        <v>0</v>
      </c>
      <c r="T55" s="311">
        <f t="shared" si="4"/>
        <v>0</v>
      </c>
      <c r="V55" s="120">
        <f>'As-Filed Schedule 2A'!N55</f>
        <v>0</v>
      </c>
      <c r="W55" s="314">
        <f>SUMIFS(Adjustments!$G:$G,Adjustments!$H:$H,"2A",Adjustments!$I:$I,'Schedule 2A Adjustments'!$V$12,Adjustments!$J:$J,'Schedule 2A Adjustments'!A55)</f>
        <v>0</v>
      </c>
      <c r="X55" s="327">
        <f t="shared" si="5"/>
        <v>0</v>
      </c>
      <c r="Y55" s="120">
        <f>'As-Filed Schedule 2A'!O55</f>
        <v>0</v>
      </c>
      <c r="Z55" s="314">
        <f>SUMIFS(Adjustments!$G:$G,Adjustments!$H:$H,"2A",Adjustments!$I:$I,'Schedule 2A Adjustments'!$Y$12,Adjustments!$J:$J,'Schedule 2A Adjustments'!A55)</f>
        <v>0</v>
      </c>
      <c r="AA55" s="327">
        <f t="shared" si="6"/>
        <v>0</v>
      </c>
    </row>
    <row r="56" spans="1:27" x14ac:dyDescent="0.35">
      <c r="A56" s="24">
        <v>42</v>
      </c>
      <c r="B56" s="513" t="str">
        <f>IF('As-Filed Schedule 2A'!B56:D56=0,"",'As-Filed Schedule 2A'!B56:D56)</f>
        <v/>
      </c>
      <c r="C56" s="513"/>
      <c r="D56" s="513"/>
      <c r="F56" s="117">
        <f>'As-Filed Schedule 2A'!F56</f>
        <v>0</v>
      </c>
      <c r="G56" s="314">
        <f>SUMIFS(Adjustments!$G:$G,Adjustments!$H:$H,"2A",Adjustments!$I:$I,'Schedule 2A Adjustments'!$F$12,Adjustments!$J:$J,'Schedule 2A Adjustments'!A56)</f>
        <v>0</v>
      </c>
      <c r="H56" s="310">
        <f t="shared" si="1"/>
        <v>0</v>
      </c>
      <c r="I56" s="68">
        <f>IFERROR(F56*'As-Filed Schedule 1'!$E$103,0)</f>
        <v>0</v>
      </c>
      <c r="J56" s="311">
        <f>IFERROR(H56*'Adjusted Schedule 1'!$E$104,0)</f>
        <v>0</v>
      </c>
      <c r="K56" s="68">
        <f t="shared" si="7"/>
        <v>0</v>
      </c>
      <c r="L56" s="311">
        <f t="shared" si="2"/>
        <v>0</v>
      </c>
      <c r="N56" s="117">
        <f>'As-Filed Schedule 2A'!J56</f>
        <v>0</v>
      </c>
      <c r="O56" s="314">
        <f>SUMIFS(Adjustments!$G:$G,Adjustments!$H:$H,"2A",Adjustments!$I:$I,'Schedule 2A Adjustments'!$N$12,Adjustments!$J:$J,'Schedule 2A Adjustments'!A56)</f>
        <v>0</v>
      </c>
      <c r="P56" s="310">
        <f t="shared" si="3"/>
        <v>0</v>
      </c>
      <c r="Q56" s="68">
        <f>IFERROR(N56*'As-Filed Schedule 1'!$E$103,0)</f>
        <v>0</v>
      </c>
      <c r="R56" s="311">
        <f>IFERROR(P56*'Adjusted Schedule 1'!$E$104,0)</f>
        <v>0</v>
      </c>
      <c r="S56" s="68">
        <f t="shared" si="8"/>
        <v>0</v>
      </c>
      <c r="T56" s="311">
        <f t="shared" si="4"/>
        <v>0</v>
      </c>
      <c r="V56" s="120">
        <f>'As-Filed Schedule 2A'!N56</f>
        <v>0</v>
      </c>
      <c r="W56" s="314">
        <f>SUMIFS(Adjustments!$G:$G,Adjustments!$H:$H,"2A",Adjustments!$I:$I,'Schedule 2A Adjustments'!$V$12,Adjustments!$J:$J,'Schedule 2A Adjustments'!A56)</f>
        <v>0</v>
      </c>
      <c r="X56" s="327">
        <f t="shared" si="5"/>
        <v>0</v>
      </c>
      <c r="Y56" s="120">
        <f>'As-Filed Schedule 2A'!O56</f>
        <v>0</v>
      </c>
      <c r="Z56" s="314">
        <f>SUMIFS(Adjustments!$G:$G,Adjustments!$H:$H,"2A",Adjustments!$I:$I,'Schedule 2A Adjustments'!$Y$12,Adjustments!$J:$J,'Schedule 2A Adjustments'!A56)</f>
        <v>0</v>
      </c>
      <c r="AA56" s="327">
        <f t="shared" si="6"/>
        <v>0</v>
      </c>
    </row>
    <row r="57" spans="1:27" x14ac:dyDescent="0.35">
      <c r="A57" s="24">
        <v>43</v>
      </c>
      <c r="B57" s="513" t="str">
        <f>IF('As-Filed Schedule 2A'!B57:D57=0,"",'As-Filed Schedule 2A'!B57:D57)</f>
        <v/>
      </c>
      <c r="C57" s="513"/>
      <c r="D57" s="513"/>
      <c r="F57" s="117">
        <f>'As-Filed Schedule 2A'!F57</f>
        <v>0</v>
      </c>
      <c r="G57" s="314">
        <f>SUMIFS(Adjustments!$G:$G,Adjustments!$H:$H,"2A",Adjustments!$I:$I,'Schedule 2A Adjustments'!$F$12,Adjustments!$J:$J,'Schedule 2A Adjustments'!A57)</f>
        <v>0</v>
      </c>
      <c r="H57" s="310">
        <f t="shared" si="1"/>
        <v>0</v>
      </c>
      <c r="I57" s="68">
        <f>IFERROR(F57*'As-Filed Schedule 1'!$E$103,0)</f>
        <v>0</v>
      </c>
      <c r="J57" s="311">
        <f>IFERROR(H57*'Adjusted Schedule 1'!$E$104,0)</f>
        <v>0</v>
      </c>
      <c r="K57" s="68">
        <f t="shared" si="7"/>
        <v>0</v>
      </c>
      <c r="L57" s="311">
        <f t="shared" si="2"/>
        <v>0</v>
      </c>
      <c r="N57" s="117">
        <f>'As-Filed Schedule 2A'!J57</f>
        <v>0</v>
      </c>
      <c r="O57" s="314">
        <f>SUMIFS(Adjustments!$G:$G,Adjustments!$H:$H,"2A",Adjustments!$I:$I,'Schedule 2A Adjustments'!$N$12,Adjustments!$J:$J,'Schedule 2A Adjustments'!A57)</f>
        <v>0</v>
      </c>
      <c r="P57" s="310">
        <f t="shared" si="3"/>
        <v>0</v>
      </c>
      <c r="Q57" s="68">
        <f>IFERROR(N57*'As-Filed Schedule 1'!$E$103,0)</f>
        <v>0</v>
      </c>
      <c r="R57" s="311">
        <f>IFERROR(P57*'Adjusted Schedule 1'!$E$104,0)</f>
        <v>0</v>
      </c>
      <c r="S57" s="68">
        <f t="shared" si="8"/>
        <v>0</v>
      </c>
      <c r="T57" s="311">
        <f t="shared" si="4"/>
        <v>0</v>
      </c>
      <c r="V57" s="120">
        <f>'As-Filed Schedule 2A'!N57</f>
        <v>0</v>
      </c>
      <c r="W57" s="314">
        <f>SUMIFS(Adjustments!$G:$G,Adjustments!$H:$H,"2A",Adjustments!$I:$I,'Schedule 2A Adjustments'!$V$12,Adjustments!$J:$J,'Schedule 2A Adjustments'!A57)</f>
        <v>0</v>
      </c>
      <c r="X57" s="327">
        <f t="shared" si="5"/>
        <v>0</v>
      </c>
      <c r="Y57" s="120">
        <f>'As-Filed Schedule 2A'!O57</f>
        <v>0</v>
      </c>
      <c r="Z57" s="314">
        <f>SUMIFS(Adjustments!$G:$G,Adjustments!$H:$H,"2A",Adjustments!$I:$I,'Schedule 2A Adjustments'!$Y$12,Adjustments!$J:$J,'Schedule 2A Adjustments'!A57)</f>
        <v>0</v>
      </c>
      <c r="AA57" s="327">
        <f t="shared" si="6"/>
        <v>0</v>
      </c>
    </row>
    <row r="58" spans="1:27" x14ac:dyDescent="0.35">
      <c r="A58" s="24">
        <v>44</v>
      </c>
      <c r="B58" s="513" t="str">
        <f>IF('As-Filed Schedule 2A'!B58:D58=0,"",'As-Filed Schedule 2A'!B58:D58)</f>
        <v/>
      </c>
      <c r="C58" s="513"/>
      <c r="D58" s="513"/>
      <c r="F58" s="117">
        <f>'As-Filed Schedule 2A'!F58</f>
        <v>0</v>
      </c>
      <c r="G58" s="314">
        <f>SUMIFS(Adjustments!$G:$G,Adjustments!$H:$H,"2A",Adjustments!$I:$I,'Schedule 2A Adjustments'!$F$12,Adjustments!$J:$J,'Schedule 2A Adjustments'!A58)</f>
        <v>0</v>
      </c>
      <c r="H58" s="310">
        <f t="shared" si="1"/>
        <v>0</v>
      </c>
      <c r="I58" s="68">
        <f>IFERROR(F58*'As-Filed Schedule 1'!$E$103,0)</f>
        <v>0</v>
      </c>
      <c r="J58" s="311">
        <f>IFERROR(H58*'Adjusted Schedule 1'!$E$104,0)</f>
        <v>0</v>
      </c>
      <c r="K58" s="68">
        <f t="shared" si="7"/>
        <v>0</v>
      </c>
      <c r="L58" s="311">
        <f t="shared" si="2"/>
        <v>0</v>
      </c>
      <c r="N58" s="117">
        <f>'As-Filed Schedule 2A'!J58</f>
        <v>0</v>
      </c>
      <c r="O58" s="314">
        <f>SUMIFS(Adjustments!$G:$G,Adjustments!$H:$H,"2A",Adjustments!$I:$I,'Schedule 2A Adjustments'!$N$12,Adjustments!$J:$J,'Schedule 2A Adjustments'!A58)</f>
        <v>0</v>
      </c>
      <c r="P58" s="310">
        <f t="shared" si="3"/>
        <v>0</v>
      </c>
      <c r="Q58" s="68">
        <f>IFERROR(N58*'As-Filed Schedule 1'!$E$103,0)</f>
        <v>0</v>
      </c>
      <c r="R58" s="311">
        <f>IFERROR(P58*'Adjusted Schedule 1'!$E$104,0)</f>
        <v>0</v>
      </c>
      <c r="S58" s="68">
        <f t="shared" si="8"/>
        <v>0</v>
      </c>
      <c r="T58" s="311">
        <f t="shared" si="4"/>
        <v>0</v>
      </c>
      <c r="V58" s="120">
        <f>'As-Filed Schedule 2A'!N58</f>
        <v>0</v>
      </c>
      <c r="W58" s="314">
        <f>SUMIFS(Adjustments!$G:$G,Adjustments!$H:$H,"2A",Adjustments!$I:$I,'Schedule 2A Adjustments'!$V$12,Adjustments!$J:$J,'Schedule 2A Adjustments'!A58)</f>
        <v>0</v>
      </c>
      <c r="X58" s="327">
        <f t="shared" si="5"/>
        <v>0</v>
      </c>
      <c r="Y58" s="120">
        <f>'As-Filed Schedule 2A'!O58</f>
        <v>0</v>
      </c>
      <c r="Z58" s="314">
        <f>SUMIFS(Adjustments!$G:$G,Adjustments!$H:$H,"2A",Adjustments!$I:$I,'Schedule 2A Adjustments'!$Y$12,Adjustments!$J:$J,'Schedule 2A Adjustments'!A58)</f>
        <v>0</v>
      </c>
      <c r="AA58" s="327">
        <f t="shared" si="6"/>
        <v>0</v>
      </c>
    </row>
    <row r="59" spans="1:27" x14ac:dyDescent="0.35">
      <c r="A59" s="24">
        <v>45</v>
      </c>
      <c r="B59" s="513" t="str">
        <f>IF('As-Filed Schedule 2A'!B59:D59=0,"",'As-Filed Schedule 2A'!B59:D59)</f>
        <v/>
      </c>
      <c r="C59" s="513"/>
      <c r="D59" s="513"/>
      <c r="F59" s="117">
        <f>'As-Filed Schedule 2A'!F59</f>
        <v>0</v>
      </c>
      <c r="G59" s="314">
        <f>SUMIFS(Adjustments!$G:$G,Adjustments!$H:$H,"2A",Adjustments!$I:$I,'Schedule 2A Adjustments'!$F$12,Adjustments!$J:$J,'Schedule 2A Adjustments'!A59)</f>
        <v>0</v>
      </c>
      <c r="H59" s="310">
        <f t="shared" si="1"/>
        <v>0</v>
      </c>
      <c r="I59" s="68">
        <f>IFERROR(F59*'As-Filed Schedule 1'!$E$103,0)</f>
        <v>0</v>
      </c>
      <c r="J59" s="311">
        <f>IFERROR(H59*'Adjusted Schedule 1'!$E$104,0)</f>
        <v>0</v>
      </c>
      <c r="K59" s="68">
        <f t="shared" si="7"/>
        <v>0</v>
      </c>
      <c r="L59" s="311">
        <f t="shared" si="2"/>
        <v>0</v>
      </c>
      <c r="N59" s="117">
        <f>'As-Filed Schedule 2A'!J59</f>
        <v>0</v>
      </c>
      <c r="O59" s="314">
        <f>SUMIFS(Adjustments!$G:$G,Adjustments!$H:$H,"2A",Adjustments!$I:$I,'Schedule 2A Adjustments'!$N$12,Adjustments!$J:$J,'Schedule 2A Adjustments'!A59)</f>
        <v>0</v>
      </c>
      <c r="P59" s="310">
        <f t="shared" si="3"/>
        <v>0</v>
      </c>
      <c r="Q59" s="68">
        <f>IFERROR(N59*'As-Filed Schedule 1'!$E$103,0)</f>
        <v>0</v>
      </c>
      <c r="R59" s="311">
        <f>IFERROR(P59*'Adjusted Schedule 1'!$E$104,0)</f>
        <v>0</v>
      </c>
      <c r="S59" s="68">
        <f t="shared" si="8"/>
        <v>0</v>
      </c>
      <c r="T59" s="311">
        <f t="shared" si="4"/>
        <v>0</v>
      </c>
      <c r="V59" s="120">
        <f>'As-Filed Schedule 2A'!N59</f>
        <v>0</v>
      </c>
      <c r="W59" s="314">
        <f>SUMIFS(Adjustments!$G:$G,Adjustments!$H:$H,"2A",Adjustments!$I:$I,'Schedule 2A Adjustments'!$V$12,Adjustments!$J:$J,'Schedule 2A Adjustments'!A59)</f>
        <v>0</v>
      </c>
      <c r="X59" s="327">
        <f t="shared" si="5"/>
        <v>0</v>
      </c>
      <c r="Y59" s="120">
        <f>'As-Filed Schedule 2A'!O59</f>
        <v>0</v>
      </c>
      <c r="Z59" s="314">
        <f>SUMIFS(Adjustments!$G:$G,Adjustments!$H:$H,"2A",Adjustments!$I:$I,'Schedule 2A Adjustments'!$Y$12,Adjustments!$J:$J,'Schedule 2A Adjustments'!A59)</f>
        <v>0</v>
      </c>
      <c r="AA59" s="327">
        <f t="shared" si="6"/>
        <v>0</v>
      </c>
    </row>
    <row r="60" spans="1:27" x14ac:dyDescent="0.35">
      <c r="A60" s="24">
        <v>46</v>
      </c>
      <c r="B60" s="513" t="str">
        <f>IF('As-Filed Schedule 2A'!B60:D60=0,"",'As-Filed Schedule 2A'!B60:D60)</f>
        <v/>
      </c>
      <c r="C60" s="513"/>
      <c r="D60" s="513"/>
      <c r="F60" s="117">
        <f>'As-Filed Schedule 2A'!F60</f>
        <v>0</v>
      </c>
      <c r="G60" s="314">
        <f>SUMIFS(Adjustments!$G:$G,Adjustments!$H:$H,"2A",Adjustments!$I:$I,'Schedule 2A Adjustments'!$F$12,Adjustments!$J:$J,'Schedule 2A Adjustments'!A60)</f>
        <v>0</v>
      </c>
      <c r="H60" s="310">
        <f t="shared" si="1"/>
        <v>0</v>
      </c>
      <c r="I60" s="68">
        <f>IFERROR(F60*'As-Filed Schedule 1'!$E$103,0)</f>
        <v>0</v>
      </c>
      <c r="J60" s="311">
        <f>IFERROR(H60*'Adjusted Schedule 1'!$E$104,0)</f>
        <v>0</v>
      </c>
      <c r="K60" s="68">
        <f t="shared" si="7"/>
        <v>0</v>
      </c>
      <c r="L60" s="311">
        <f t="shared" si="2"/>
        <v>0</v>
      </c>
      <c r="N60" s="117">
        <f>'As-Filed Schedule 2A'!J60</f>
        <v>0</v>
      </c>
      <c r="O60" s="314">
        <f>SUMIFS(Adjustments!$G:$G,Adjustments!$H:$H,"2A",Adjustments!$I:$I,'Schedule 2A Adjustments'!$N$12,Adjustments!$J:$J,'Schedule 2A Adjustments'!A60)</f>
        <v>0</v>
      </c>
      <c r="P60" s="310">
        <f t="shared" si="3"/>
        <v>0</v>
      </c>
      <c r="Q60" s="68">
        <f>IFERROR(N60*'As-Filed Schedule 1'!$E$103,0)</f>
        <v>0</v>
      </c>
      <c r="R60" s="311">
        <f>IFERROR(P60*'Adjusted Schedule 1'!$E$104,0)</f>
        <v>0</v>
      </c>
      <c r="S60" s="68">
        <f t="shared" si="8"/>
        <v>0</v>
      </c>
      <c r="T60" s="311">
        <f t="shared" si="4"/>
        <v>0</v>
      </c>
      <c r="V60" s="120">
        <f>'As-Filed Schedule 2A'!N60</f>
        <v>0</v>
      </c>
      <c r="W60" s="314">
        <f>SUMIFS(Adjustments!$G:$G,Adjustments!$H:$H,"2A",Adjustments!$I:$I,'Schedule 2A Adjustments'!$V$12,Adjustments!$J:$J,'Schedule 2A Adjustments'!A60)</f>
        <v>0</v>
      </c>
      <c r="X60" s="327">
        <f t="shared" si="5"/>
        <v>0</v>
      </c>
      <c r="Y60" s="120">
        <f>'As-Filed Schedule 2A'!O60</f>
        <v>0</v>
      </c>
      <c r="Z60" s="314">
        <f>SUMIFS(Adjustments!$G:$G,Adjustments!$H:$H,"2A",Adjustments!$I:$I,'Schedule 2A Adjustments'!$Y$12,Adjustments!$J:$J,'Schedule 2A Adjustments'!A60)</f>
        <v>0</v>
      </c>
      <c r="AA60" s="327">
        <f t="shared" si="6"/>
        <v>0</v>
      </c>
    </row>
    <row r="61" spans="1:27" x14ac:dyDescent="0.35">
      <c r="A61" s="24">
        <v>47</v>
      </c>
      <c r="B61" s="513" t="str">
        <f>IF('As-Filed Schedule 2A'!B61:D61=0,"",'As-Filed Schedule 2A'!B61:D61)</f>
        <v/>
      </c>
      <c r="C61" s="513"/>
      <c r="D61" s="513"/>
      <c r="F61" s="117">
        <f>'As-Filed Schedule 2A'!F61</f>
        <v>0</v>
      </c>
      <c r="G61" s="314">
        <f>SUMIFS(Adjustments!$G:$G,Adjustments!$H:$H,"2A",Adjustments!$I:$I,'Schedule 2A Adjustments'!$F$12,Adjustments!$J:$J,'Schedule 2A Adjustments'!A61)</f>
        <v>0</v>
      </c>
      <c r="H61" s="310">
        <f t="shared" si="1"/>
        <v>0</v>
      </c>
      <c r="I61" s="68">
        <f>IFERROR(F61*'As-Filed Schedule 1'!$E$103,0)</f>
        <v>0</v>
      </c>
      <c r="J61" s="311">
        <f>IFERROR(H61*'Adjusted Schedule 1'!$E$104,0)</f>
        <v>0</v>
      </c>
      <c r="K61" s="68">
        <f t="shared" si="7"/>
        <v>0</v>
      </c>
      <c r="L61" s="311">
        <f t="shared" si="2"/>
        <v>0</v>
      </c>
      <c r="N61" s="117">
        <f>'As-Filed Schedule 2A'!J61</f>
        <v>0</v>
      </c>
      <c r="O61" s="314">
        <f>SUMIFS(Adjustments!$G:$G,Adjustments!$H:$H,"2A",Adjustments!$I:$I,'Schedule 2A Adjustments'!$N$12,Adjustments!$J:$J,'Schedule 2A Adjustments'!A61)</f>
        <v>0</v>
      </c>
      <c r="P61" s="310">
        <f t="shared" si="3"/>
        <v>0</v>
      </c>
      <c r="Q61" s="68">
        <f>IFERROR(N61*'As-Filed Schedule 1'!$E$103,0)</f>
        <v>0</v>
      </c>
      <c r="R61" s="311">
        <f>IFERROR(P61*'Adjusted Schedule 1'!$E$104,0)</f>
        <v>0</v>
      </c>
      <c r="S61" s="68">
        <f t="shared" si="8"/>
        <v>0</v>
      </c>
      <c r="T61" s="311">
        <f t="shared" si="4"/>
        <v>0</v>
      </c>
      <c r="V61" s="120">
        <f>'As-Filed Schedule 2A'!N61</f>
        <v>0</v>
      </c>
      <c r="W61" s="314">
        <f>SUMIFS(Adjustments!$G:$G,Adjustments!$H:$H,"2A",Adjustments!$I:$I,'Schedule 2A Adjustments'!$V$12,Adjustments!$J:$J,'Schedule 2A Adjustments'!A61)</f>
        <v>0</v>
      </c>
      <c r="X61" s="327">
        <f t="shared" si="5"/>
        <v>0</v>
      </c>
      <c r="Y61" s="120">
        <f>'As-Filed Schedule 2A'!O61</f>
        <v>0</v>
      </c>
      <c r="Z61" s="314">
        <f>SUMIFS(Adjustments!$G:$G,Adjustments!$H:$H,"2A",Adjustments!$I:$I,'Schedule 2A Adjustments'!$Y$12,Adjustments!$J:$J,'Schedule 2A Adjustments'!A61)</f>
        <v>0</v>
      </c>
      <c r="AA61" s="327">
        <f t="shared" si="6"/>
        <v>0</v>
      </c>
    </row>
    <row r="62" spans="1:27" x14ac:dyDescent="0.35">
      <c r="A62" s="24">
        <v>48</v>
      </c>
      <c r="B62" s="513" t="str">
        <f>IF('As-Filed Schedule 2A'!B62:D62=0,"",'As-Filed Schedule 2A'!B62:D62)</f>
        <v/>
      </c>
      <c r="C62" s="513"/>
      <c r="D62" s="513"/>
      <c r="F62" s="117">
        <f>'As-Filed Schedule 2A'!F62</f>
        <v>0</v>
      </c>
      <c r="G62" s="314">
        <f>SUMIFS(Adjustments!$G:$G,Adjustments!$H:$H,"2A",Adjustments!$I:$I,'Schedule 2A Adjustments'!$F$12,Adjustments!$J:$J,'Schedule 2A Adjustments'!A62)</f>
        <v>0</v>
      </c>
      <c r="H62" s="310">
        <f t="shared" si="1"/>
        <v>0</v>
      </c>
      <c r="I62" s="68">
        <f>IFERROR(F62*'As-Filed Schedule 1'!$E$103,0)</f>
        <v>0</v>
      </c>
      <c r="J62" s="311">
        <f>IFERROR(H62*'Adjusted Schedule 1'!$E$104,0)</f>
        <v>0</v>
      </c>
      <c r="K62" s="68">
        <f t="shared" si="7"/>
        <v>0</v>
      </c>
      <c r="L62" s="311">
        <f t="shared" si="2"/>
        <v>0</v>
      </c>
      <c r="N62" s="117">
        <f>'As-Filed Schedule 2A'!J62</f>
        <v>0</v>
      </c>
      <c r="O62" s="314">
        <f>SUMIFS(Adjustments!$G:$G,Adjustments!$H:$H,"2A",Adjustments!$I:$I,'Schedule 2A Adjustments'!$N$12,Adjustments!$J:$J,'Schedule 2A Adjustments'!A62)</f>
        <v>0</v>
      </c>
      <c r="P62" s="310">
        <f t="shared" si="3"/>
        <v>0</v>
      </c>
      <c r="Q62" s="68">
        <f>IFERROR(N62*'As-Filed Schedule 1'!$E$103,0)</f>
        <v>0</v>
      </c>
      <c r="R62" s="311">
        <f>IFERROR(P62*'Adjusted Schedule 1'!$E$104,0)</f>
        <v>0</v>
      </c>
      <c r="S62" s="68">
        <f t="shared" si="8"/>
        <v>0</v>
      </c>
      <c r="T62" s="311">
        <f t="shared" si="4"/>
        <v>0</v>
      </c>
      <c r="V62" s="120">
        <f>'As-Filed Schedule 2A'!N62</f>
        <v>0</v>
      </c>
      <c r="W62" s="314">
        <f>SUMIFS(Adjustments!$G:$G,Adjustments!$H:$H,"2A",Adjustments!$I:$I,'Schedule 2A Adjustments'!$V$12,Adjustments!$J:$J,'Schedule 2A Adjustments'!A62)</f>
        <v>0</v>
      </c>
      <c r="X62" s="327">
        <f t="shared" si="5"/>
        <v>0</v>
      </c>
      <c r="Y62" s="120">
        <f>'As-Filed Schedule 2A'!O62</f>
        <v>0</v>
      </c>
      <c r="Z62" s="314">
        <f>SUMIFS(Adjustments!$G:$G,Adjustments!$H:$H,"2A",Adjustments!$I:$I,'Schedule 2A Adjustments'!$Y$12,Adjustments!$J:$J,'Schedule 2A Adjustments'!A62)</f>
        <v>0</v>
      </c>
      <c r="AA62" s="327">
        <f t="shared" si="6"/>
        <v>0</v>
      </c>
    </row>
    <row r="63" spans="1:27" x14ac:dyDescent="0.35">
      <c r="A63" s="24">
        <v>49</v>
      </c>
      <c r="B63" s="513" t="str">
        <f>IF('As-Filed Schedule 2A'!B63:D63=0,"",'As-Filed Schedule 2A'!B63:D63)</f>
        <v/>
      </c>
      <c r="C63" s="513"/>
      <c r="D63" s="513"/>
      <c r="F63" s="117">
        <f>'As-Filed Schedule 2A'!F63</f>
        <v>0</v>
      </c>
      <c r="G63" s="314">
        <f>SUMIFS(Adjustments!$G:$G,Adjustments!$H:$H,"2A",Adjustments!$I:$I,'Schedule 2A Adjustments'!$F$12,Adjustments!$J:$J,'Schedule 2A Adjustments'!A63)</f>
        <v>0</v>
      </c>
      <c r="H63" s="310">
        <f t="shared" si="1"/>
        <v>0</v>
      </c>
      <c r="I63" s="68">
        <f>IFERROR(F63*'As-Filed Schedule 1'!$E$103,0)</f>
        <v>0</v>
      </c>
      <c r="J63" s="311">
        <f>IFERROR(H63*'Adjusted Schedule 1'!$E$104,0)</f>
        <v>0</v>
      </c>
      <c r="K63" s="68">
        <f t="shared" si="7"/>
        <v>0</v>
      </c>
      <c r="L63" s="311">
        <f t="shared" si="2"/>
        <v>0</v>
      </c>
      <c r="N63" s="117">
        <f>'As-Filed Schedule 2A'!J63</f>
        <v>0</v>
      </c>
      <c r="O63" s="314">
        <f>SUMIFS(Adjustments!$G:$G,Adjustments!$H:$H,"2A",Adjustments!$I:$I,'Schedule 2A Adjustments'!$N$12,Adjustments!$J:$J,'Schedule 2A Adjustments'!A63)</f>
        <v>0</v>
      </c>
      <c r="P63" s="310">
        <f t="shared" si="3"/>
        <v>0</v>
      </c>
      <c r="Q63" s="68">
        <f>IFERROR(N63*'As-Filed Schedule 1'!$E$103,0)</f>
        <v>0</v>
      </c>
      <c r="R63" s="311">
        <f>IFERROR(P63*'Adjusted Schedule 1'!$E$104,0)</f>
        <v>0</v>
      </c>
      <c r="S63" s="68">
        <f t="shared" si="8"/>
        <v>0</v>
      </c>
      <c r="T63" s="311">
        <f t="shared" si="4"/>
        <v>0</v>
      </c>
      <c r="V63" s="120">
        <f>'As-Filed Schedule 2A'!N63</f>
        <v>0</v>
      </c>
      <c r="W63" s="314">
        <f>SUMIFS(Adjustments!$G:$G,Adjustments!$H:$H,"2A",Adjustments!$I:$I,'Schedule 2A Adjustments'!$V$12,Adjustments!$J:$J,'Schedule 2A Adjustments'!A63)</f>
        <v>0</v>
      </c>
      <c r="X63" s="327">
        <f t="shared" si="5"/>
        <v>0</v>
      </c>
      <c r="Y63" s="120">
        <f>'As-Filed Schedule 2A'!O63</f>
        <v>0</v>
      </c>
      <c r="Z63" s="314">
        <f>SUMIFS(Adjustments!$G:$G,Adjustments!$H:$H,"2A",Adjustments!$I:$I,'Schedule 2A Adjustments'!$Y$12,Adjustments!$J:$J,'Schedule 2A Adjustments'!A63)</f>
        <v>0</v>
      </c>
      <c r="AA63" s="327">
        <f t="shared" si="6"/>
        <v>0</v>
      </c>
    </row>
    <row r="64" spans="1:27" x14ac:dyDescent="0.35">
      <c r="A64" s="24">
        <v>50</v>
      </c>
      <c r="B64" s="513" t="str">
        <f>IF('As-Filed Schedule 2A'!B64:D64=0,"",'As-Filed Schedule 2A'!B64:D64)</f>
        <v/>
      </c>
      <c r="C64" s="513"/>
      <c r="D64" s="513"/>
      <c r="F64" s="117">
        <f>'As-Filed Schedule 2A'!F64</f>
        <v>0</v>
      </c>
      <c r="G64" s="314">
        <f>SUMIFS(Adjustments!$G:$G,Adjustments!$H:$H,"2A",Adjustments!$I:$I,'Schedule 2A Adjustments'!$F$12,Adjustments!$J:$J,'Schedule 2A Adjustments'!A64)</f>
        <v>0</v>
      </c>
      <c r="H64" s="310">
        <f t="shared" si="1"/>
        <v>0</v>
      </c>
      <c r="I64" s="68">
        <f>IFERROR(F64*'As-Filed Schedule 1'!$E$103,0)</f>
        <v>0</v>
      </c>
      <c r="J64" s="311">
        <f>IFERROR(H64*'Adjusted Schedule 1'!$E$104,0)</f>
        <v>0</v>
      </c>
      <c r="K64" s="68">
        <f t="shared" si="7"/>
        <v>0</v>
      </c>
      <c r="L64" s="311">
        <f t="shared" si="2"/>
        <v>0</v>
      </c>
      <c r="N64" s="117">
        <f>'As-Filed Schedule 2A'!J64</f>
        <v>0</v>
      </c>
      <c r="O64" s="314">
        <f>SUMIFS(Adjustments!$G:$G,Adjustments!$H:$H,"2A",Adjustments!$I:$I,'Schedule 2A Adjustments'!$N$12,Adjustments!$J:$J,'Schedule 2A Adjustments'!A64)</f>
        <v>0</v>
      </c>
      <c r="P64" s="310">
        <f t="shared" si="3"/>
        <v>0</v>
      </c>
      <c r="Q64" s="68">
        <f>IFERROR(N64*'As-Filed Schedule 1'!$E$103,0)</f>
        <v>0</v>
      </c>
      <c r="R64" s="311">
        <f>IFERROR(P64*'Adjusted Schedule 1'!$E$104,0)</f>
        <v>0</v>
      </c>
      <c r="S64" s="68">
        <f t="shared" si="8"/>
        <v>0</v>
      </c>
      <c r="T64" s="311">
        <f t="shared" si="4"/>
        <v>0</v>
      </c>
      <c r="V64" s="120">
        <f>'As-Filed Schedule 2A'!N64</f>
        <v>0</v>
      </c>
      <c r="W64" s="314">
        <f>SUMIFS(Adjustments!$G:$G,Adjustments!$H:$H,"2A",Adjustments!$I:$I,'Schedule 2A Adjustments'!$V$12,Adjustments!$J:$J,'Schedule 2A Adjustments'!A64)</f>
        <v>0</v>
      </c>
      <c r="X64" s="327">
        <f t="shared" si="5"/>
        <v>0</v>
      </c>
      <c r="Y64" s="120">
        <f>'As-Filed Schedule 2A'!O64</f>
        <v>0</v>
      </c>
      <c r="Z64" s="314">
        <f>SUMIFS(Adjustments!$G:$G,Adjustments!$H:$H,"2A",Adjustments!$I:$I,'Schedule 2A Adjustments'!$Y$12,Adjustments!$J:$J,'Schedule 2A Adjustments'!A64)</f>
        <v>0</v>
      </c>
      <c r="AA64" s="327">
        <f t="shared" si="6"/>
        <v>0</v>
      </c>
    </row>
    <row r="65" spans="1:27" x14ac:dyDescent="0.35">
      <c r="A65" s="24">
        <v>51</v>
      </c>
      <c r="B65" s="513" t="str">
        <f>IF('As-Filed Schedule 2A'!B65:D65=0,"",'As-Filed Schedule 2A'!B65:D65)</f>
        <v/>
      </c>
      <c r="C65" s="513"/>
      <c r="D65" s="513"/>
      <c r="F65" s="117">
        <f>'As-Filed Schedule 2A'!F65</f>
        <v>0</v>
      </c>
      <c r="G65" s="314">
        <f>SUMIFS(Adjustments!$G:$G,Adjustments!$H:$H,"2A",Adjustments!$I:$I,'Schedule 2A Adjustments'!$F$12,Adjustments!$J:$J,'Schedule 2A Adjustments'!A65)</f>
        <v>0</v>
      </c>
      <c r="H65" s="310">
        <f t="shared" si="1"/>
        <v>0</v>
      </c>
      <c r="I65" s="68">
        <f>IFERROR(F65*'As-Filed Schedule 1'!$E$103,0)</f>
        <v>0</v>
      </c>
      <c r="J65" s="311">
        <f>IFERROR(H65*'Adjusted Schedule 1'!$E$104,0)</f>
        <v>0</v>
      </c>
      <c r="K65" s="68">
        <f t="shared" si="7"/>
        <v>0</v>
      </c>
      <c r="L65" s="311">
        <f t="shared" si="2"/>
        <v>0</v>
      </c>
      <c r="N65" s="117">
        <f>'As-Filed Schedule 2A'!J65</f>
        <v>0</v>
      </c>
      <c r="O65" s="314">
        <f>SUMIFS(Adjustments!$G:$G,Adjustments!$H:$H,"2A",Adjustments!$I:$I,'Schedule 2A Adjustments'!$N$12,Adjustments!$J:$J,'Schedule 2A Adjustments'!A65)</f>
        <v>0</v>
      </c>
      <c r="P65" s="310">
        <f t="shared" si="3"/>
        <v>0</v>
      </c>
      <c r="Q65" s="68">
        <f>IFERROR(N65*'As-Filed Schedule 1'!$E$103,0)</f>
        <v>0</v>
      </c>
      <c r="R65" s="311">
        <f>IFERROR(P65*'Adjusted Schedule 1'!$E$104,0)</f>
        <v>0</v>
      </c>
      <c r="S65" s="68">
        <f t="shared" si="8"/>
        <v>0</v>
      </c>
      <c r="T65" s="311">
        <f t="shared" si="4"/>
        <v>0</v>
      </c>
      <c r="V65" s="120">
        <f>'As-Filed Schedule 2A'!N65</f>
        <v>0</v>
      </c>
      <c r="W65" s="314">
        <f>SUMIFS(Adjustments!$G:$G,Adjustments!$H:$H,"2A",Adjustments!$I:$I,'Schedule 2A Adjustments'!$V$12,Adjustments!$J:$J,'Schedule 2A Adjustments'!A65)</f>
        <v>0</v>
      </c>
      <c r="X65" s="327">
        <f t="shared" si="5"/>
        <v>0</v>
      </c>
      <c r="Y65" s="120">
        <f>'As-Filed Schedule 2A'!O65</f>
        <v>0</v>
      </c>
      <c r="Z65" s="314">
        <f>SUMIFS(Adjustments!$G:$G,Adjustments!$H:$H,"2A",Adjustments!$I:$I,'Schedule 2A Adjustments'!$Y$12,Adjustments!$J:$J,'Schedule 2A Adjustments'!A65)</f>
        <v>0</v>
      </c>
      <c r="AA65" s="327">
        <f t="shared" si="6"/>
        <v>0</v>
      </c>
    </row>
    <row r="66" spans="1:27" x14ac:dyDescent="0.35">
      <c r="A66" s="24">
        <v>52</v>
      </c>
      <c r="B66" s="513" t="str">
        <f>IF('As-Filed Schedule 2A'!B66:D66=0,"",'As-Filed Schedule 2A'!B66:D66)</f>
        <v/>
      </c>
      <c r="C66" s="513"/>
      <c r="D66" s="513"/>
      <c r="F66" s="117">
        <f>'As-Filed Schedule 2A'!F66</f>
        <v>0</v>
      </c>
      <c r="G66" s="314">
        <f>SUMIFS(Adjustments!$G:$G,Adjustments!$H:$H,"2A",Adjustments!$I:$I,'Schedule 2A Adjustments'!$F$12,Adjustments!$J:$J,'Schedule 2A Adjustments'!A66)</f>
        <v>0</v>
      </c>
      <c r="H66" s="310">
        <f t="shared" si="1"/>
        <v>0</v>
      </c>
      <c r="I66" s="68">
        <f>IFERROR(F66*'As-Filed Schedule 1'!$E$103,0)</f>
        <v>0</v>
      </c>
      <c r="J66" s="311">
        <f>IFERROR(H66*'Adjusted Schedule 1'!$E$104,0)</f>
        <v>0</v>
      </c>
      <c r="K66" s="68">
        <f t="shared" si="7"/>
        <v>0</v>
      </c>
      <c r="L66" s="311">
        <f t="shared" si="2"/>
        <v>0</v>
      </c>
      <c r="N66" s="117">
        <f>'As-Filed Schedule 2A'!J66</f>
        <v>0</v>
      </c>
      <c r="O66" s="314">
        <f>SUMIFS(Adjustments!$G:$G,Adjustments!$H:$H,"2A",Adjustments!$I:$I,'Schedule 2A Adjustments'!$N$12,Adjustments!$J:$J,'Schedule 2A Adjustments'!A66)</f>
        <v>0</v>
      </c>
      <c r="P66" s="310">
        <f t="shared" si="3"/>
        <v>0</v>
      </c>
      <c r="Q66" s="68">
        <f>IFERROR(N66*'As-Filed Schedule 1'!$E$103,0)</f>
        <v>0</v>
      </c>
      <c r="R66" s="311">
        <f>IFERROR(P66*'Adjusted Schedule 1'!$E$104,0)</f>
        <v>0</v>
      </c>
      <c r="S66" s="68">
        <f t="shared" si="8"/>
        <v>0</v>
      </c>
      <c r="T66" s="311">
        <f t="shared" si="4"/>
        <v>0</v>
      </c>
      <c r="V66" s="120">
        <f>'As-Filed Schedule 2A'!N66</f>
        <v>0</v>
      </c>
      <c r="W66" s="314">
        <f>SUMIFS(Adjustments!$G:$G,Adjustments!$H:$H,"2A",Adjustments!$I:$I,'Schedule 2A Adjustments'!$V$12,Adjustments!$J:$J,'Schedule 2A Adjustments'!A66)</f>
        <v>0</v>
      </c>
      <c r="X66" s="327">
        <f t="shared" si="5"/>
        <v>0</v>
      </c>
      <c r="Y66" s="120">
        <f>'As-Filed Schedule 2A'!O66</f>
        <v>0</v>
      </c>
      <c r="Z66" s="314">
        <f>SUMIFS(Adjustments!$G:$G,Adjustments!$H:$H,"2A",Adjustments!$I:$I,'Schedule 2A Adjustments'!$Y$12,Adjustments!$J:$J,'Schedule 2A Adjustments'!A66)</f>
        <v>0</v>
      </c>
      <c r="AA66" s="327">
        <f t="shared" si="6"/>
        <v>0</v>
      </c>
    </row>
    <row r="67" spans="1:27" x14ac:dyDescent="0.35">
      <c r="A67" s="24">
        <v>53</v>
      </c>
      <c r="B67" s="513" t="str">
        <f>IF('As-Filed Schedule 2A'!B67:D67=0,"",'As-Filed Schedule 2A'!B67:D67)</f>
        <v/>
      </c>
      <c r="C67" s="513"/>
      <c r="D67" s="513"/>
      <c r="F67" s="117">
        <f>'As-Filed Schedule 2A'!F67</f>
        <v>0</v>
      </c>
      <c r="G67" s="314">
        <f>SUMIFS(Adjustments!$G:$G,Adjustments!$H:$H,"2A",Adjustments!$I:$I,'Schedule 2A Adjustments'!$F$12,Adjustments!$J:$J,'Schedule 2A Adjustments'!A67)</f>
        <v>0</v>
      </c>
      <c r="H67" s="310">
        <f t="shared" si="1"/>
        <v>0</v>
      </c>
      <c r="I67" s="68">
        <f>IFERROR(F67*'As-Filed Schedule 1'!$E$103,0)</f>
        <v>0</v>
      </c>
      <c r="J67" s="311">
        <f>IFERROR(H67*'Adjusted Schedule 1'!$E$104,0)</f>
        <v>0</v>
      </c>
      <c r="K67" s="68">
        <f t="shared" si="7"/>
        <v>0</v>
      </c>
      <c r="L67" s="311">
        <f t="shared" si="2"/>
        <v>0</v>
      </c>
      <c r="N67" s="117">
        <f>'As-Filed Schedule 2A'!J67</f>
        <v>0</v>
      </c>
      <c r="O67" s="314">
        <f>SUMIFS(Adjustments!$G:$G,Adjustments!$H:$H,"2A",Adjustments!$I:$I,'Schedule 2A Adjustments'!$N$12,Adjustments!$J:$J,'Schedule 2A Adjustments'!A67)</f>
        <v>0</v>
      </c>
      <c r="P67" s="310">
        <f t="shared" si="3"/>
        <v>0</v>
      </c>
      <c r="Q67" s="68">
        <f>IFERROR(N67*'As-Filed Schedule 1'!$E$103,0)</f>
        <v>0</v>
      </c>
      <c r="R67" s="311">
        <f>IFERROR(P67*'Adjusted Schedule 1'!$E$104,0)</f>
        <v>0</v>
      </c>
      <c r="S67" s="68">
        <f t="shared" si="8"/>
        <v>0</v>
      </c>
      <c r="T67" s="311">
        <f t="shared" si="4"/>
        <v>0</v>
      </c>
      <c r="V67" s="120">
        <f>'As-Filed Schedule 2A'!N67</f>
        <v>0</v>
      </c>
      <c r="W67" s="314">
        <f>SUMIFS(Adjustments!$G:$G,Adjustments!$H:$H,"2A",Adjustments!$I:$I,'Schedule 2A Adjustments'!$V$12,Adjustments!$J:$J,'Schedule 2A Adjustments'!A67)</f>
        <v>0</v>
      </c>
      <c r="X67" s="327">
        <f t="shared" si="5"/>
        <v>0</v>
      </c>
      <c r="Y67" s="120">
        <f>'As-Filed Schedule 2A'!O67</f>
        <v>0</v>
      </c>
      <c r="Z67" s="314">
        <f>SUMIFS(Adjustments!$G:$G,Adjustments!$H:$H,"2A",Adjustments!$I:$I,'Schedule 2A Adjustments'!$Y$12,Adjustments!$J:$J,'Schedule 2A Adjustments'!A67)</f>
        <v>0</v>
      </c>
      <c r="AA67" s="327">
        <f t="shared" si="6"/>
        <v>0</v>
      </c>
    </row>
    <row r="68" spans="1:27" x14ac:dyDescent="0.35">
      <c r="A68" s="24">
        <v>54</v>
      </c>
      <c r="B68" s="513" t="str">
        <f>IF('As-Filed Schedule 2A'!B68:D68=0,"",'As-Filed Schedule 2A'!B68:D68)</f>
        <v/>
      </c>
      <c r="C68" s="513"/>
      <c r="D68" s="513"/>
      <c r="F68" s="117">
        <f>'As-Filed Schedule 2A'!F68</f>
        <v>0</v>
      </c>
      <c r="G68" s="314">
        <f>SUMIFS(Adjustments!$G:$G,Adjustments!$H:$H,"2A",Adjustments!$I:$I,'Schedule 2A Adjustments'!$F$12,Adjustments!$J:$J,'Schedule 2A Adjustments'!A68)</f>
        <v>0</v>
      </c>
      <c r="H68" s="310">
        <f t="shared" si="1"/>
        <v>0</v>
      </c>
      <c r="I68" s="68">
        <f>IFERROR(F68*'As-Filed Schedule 1'!$E$103,0)</f>
        <v>0</v>
      </c>
      <c r="J68" s="311">
        <f>IFERROR(H68*'Adjusted Schedule 1'!$E$104,0)</f>
        <v>0</v>
      </c>
      <c r="K68" s="68">
        <f t="shared" si="7"/>
        <v>0</v>
      </c>
      <c r="L68" s="311">
        <f t="shared" si="2"/>
        <v>0</v>
      </c>
      <c r="N68" s="117">
        <f>'As-Filed Schedule 2A'!J68</f>
        <v>0</v>
      </c>
      <c r="O68" s="314">
        <f>SUMIFS(Adjustments!$G:$G,Adjustments!$H:$H,"2A",Adjustments!$I:$I,'Schedule 2A Adjustments'!$N$12,Adjustments!$J:$J,'Schedule 2A Adjustments'!A68)</f>
        <v>0</v>
      </c>
      <c r="P68" s="310">
        <f t="shared" si="3"/>
        <v>0</v>
      </c>
      <c r="Q68" s="68">
        <f>IFERROR(N68*'As-Filed Schedule 1'!$E$103,0)</f>
        <v>0</v>
      </c>
      <c r="R68" s="311">
        <f>IFERROR(P68*'Adjusted Schedule 1'!$E$104,0)</f>
        <v>0</v>
      </c>
      <c r="S68" s="68">
        <f t="shared" si="8"/>
        <v>0</v>
      </c>
      <c r="T68" s="311">
        <f t="shared" si="4"/>
        <v>0</v>
      </c>
      <c r="V68" s="120">
        <f>'As-Filed Schedule 2A'!N68</f>
        <v>0</v>
      </c>
      <c r="W68" s="314">
        <f>SUMIFS(Adjustments!$G:$G,Adjustments!$H:$H,"2A",Adjustments!$I:$I,'Schedule 2A Adjustments'!$V$12,Adjustments!$J:$J,'Schedule 2A Adjustments'!A68)</f>
        <v>0</v>
      </c>
      <c r="X68" s="327">
        <f t="shared" si="5"/>
        <v>0</v>
      </c>
      <c r="Y68" s="120">
        <f>'As-Filed Schedule 2A'!O68</f>
        <v>0</v>
      </c>
      <c r="Z68" s="314">
        <f>SUMIFS(Adjustments!$G:$G,Adjustments!$H:$H,"2A",Adjustments!$I:$I,'Schedule 2A Adjustments'!$Y$12,Adjustments!$J:$J,'Schedule 2A Adjustments'!A68)</f>
        <v>0</v>
      </c>
      <c r="AA68" s="327">
        <f t="shared" si="6"/>
        <v>0</v>
      </c>
    </row>
    <row r="69" spans="1:27" x14ac:dyDescent="0.35">
      <c r="A69" s="24">
        <v>55</v>
      </c>
      <c r="B69" s="513" t="str">
        <f>IF('As-Filed Schedule 2A'!B69:D69=0,"",'As-Filed Schedule 2A'!B69:D69)</f>
        <v/>
      </c>
      <c r="C69" s="513"/>
      <c r="D69" s="513"/>
      <c r="F69" s="117">
        <f>'As-Filed Schedule 2A'!F69</f>
        <v>0</v>
      </c>
      <c r="G69" s="314">
        <f>SUMIFS(Adjustments!$G:$G,Adjustments!$H:$H,"2A",Adjustments!$I:$I,'Schedule 2A Adjustments'!$F$12,Adjustments!$J:$J,'Schedule 2A Adjustments'!A69)</f>
        <v>0</v>
      </c>
      <c r="H69" s="310">
        <f t="shared" si="1"/>
        <v>0</v>
      </c>
      <c r="I69" s="68">
        <f>IFERROR(F69*'As-Filed Schedule 1'!$E$103,0)</f>
        <v>0</v>
      </c>
      <c r="J69" s="311">
        <f>IFERROR(H69*'Adjusted Schedule 1'!$E$104,0)</f>
        <v>0</v>
      </c>
      <c r="K69" s="68">
        <f t="shared" si="7"/>
        <v>0</v>
      </c>
      <c r="L69" s="311">
        <f t="shared" si="2"/>
        <v>0</v>
      </c>
      <c r="N69" s="117">
        <f>'As-Filed Schedule 2A'!J69</f>
        <v>0</v>
      </c>
      <c r="O69" s="314">
        <f>SUMIFS(Adjustments!$G:$G,Adjustments!$H:$H,"2A",Adjustments!$I:$I,'Schedule 2A Adjustments'!$N$12,Adjustments!$J:$J,'Schedule 2A Adjustments'!A69)</f>
        <v>0</v>
      </c>
      <c r="P69" s="310">
        <f t="shared" si="3"/>
        <v>0</v>
      </c>
      <c r="Q69" s="68">
        <f>IFERROR(N69*'As-Filed Schedule 1'!$E$103,0)</f>
        <v>0</v>
      </c>
      <c r="R69" s="311">
        <f>IFERROR(P69*'Adjusted Schedule 1'!$E$104,0)</f>
        <v>0</v>
      </c>
      <c r="S69" s="68">
        <f t="shared" si="8"/>
        <v>0</v>
      </c>
      <c r="T69" s="311">
        <f t="shared" si="4"/>
        <v>0</v>
      </c>
      <c r="V69" s="120">
        <f>'As-Filed Schedule 2A'!N69</f>
        <v>0</v>
      </c>
      <c r="W69" s="314">
        <f>SUMIFS(Adjustments!$G:$G,Adjustments!$H:$H,"2A",Adjustments!$I:$I,'Schedule 2A Adjustments'!$V$12,Adjustments!$J:$J,'Schedule 2A Adjustments'!A69)</f>
        <v>0</v>
      </c>
      <c r="X69" s="327">
        <f t="shared" si="5"/>
        <v>0</v>
      </c>
      <c r="Y69" s="120">
        <f>'As-Filed Schedule 2A'!O69</f>
        <v>0</v>
      </c>
      <c r="Z69" s="314">
        <f>SUMIFS(Adjustments!$G:$G,Adjustments!$H:$H,"2A",Adjustments!$I:$I,'Schedule 2A Adjustments'!$Y$12,Adjustments!$J:$J,'Schedule 2A Adjustments'!A69)</f>
        <v>0</v>
      </c>
      <c r="AA69" s="327">
        <f t="shared" si="6"/>
        <v>0</v>
      </c>
    </row>
    <row r="70" spans="1:27" x14ac:dyDescent="0.35">
      <c r="A70" s="24">
        <v>56</v>
      </c>
      <c r="B70" s="513" t="str">
        <f>IF('As-Filed Schedule 2A'!B70:D70=0,"",'As-Filed Schedule 2A'!B70:D70)</f>
        <v/>
      </c>
      <c r="C70" s="513"/>
      <c r="D70" s="513"/>
      <c r="F70" s="117">
        <f>'As-Filed Schedule 2A'!F70</f>
        <v>0</v>
      </c>
      <c r="G70" s="314">
        <f>SUMIFS(Adjustments!$G:$G,Adjustments!$H:$H,"2A",Adjustments!$I:$I,'Schedule 2A Adjustments'!$F$12,Adjustments!$J:$J,'Schedule 2A Adjustments'!A70)</f>
        <v>0</v>
      </c>
      <c r="H70" s="310">
        <f t="shared" si="1"/>
        <v>0</v>
      </c>
      <c r="I70" s="68">
        <f>IFERROR(F70*'As-Filed Schedule 1'!$E$103,0)</f>
        <v>0</v>
      </c>
      <c r="J70" s="311">
        <f>IFERROR(H70*'Adjusted Schedule 1'!$E$104,0)</f>
        <v>0</v>
      </c>
      <c r="K70" s="68">
        <f t="shared" si="7"/>
        <v>0</v>
      </c>
      <c r="L70" s="311">
        <f t="shared" si="2"/>
        <v>0</v>
      </c>
      <c r="N70" s="117">
        <f>'As-Filed Schedule 2A'!J70</f>
        <v>0</v>
      </c>
      <c r="O70" s="314">
        <f>SUMIFS(Adjustments!$G:$G,Adjustments!$H:$H,"2A",Adjustments!$I:$I,'Schedule 2A Adjustments'!$N$12,Adjustments!$J:$J,'Schedule 2A Adjustments'!A70)</f>
        <v>0</v>
      </c>
      <c r="P70" s="310">
        <f t="shared" si="3"/>
        <v>0</v>
      </c>
      <c r="Q70" s="68">
        <f>IFERROR(N70*'As-Filed Schedule 1'!$E$103,0)</f>
        <v>0</v>
      </c>
      <c r="R70" s="311">
        <f>IFERROR(P70*'Adjusted Schedule 1'!$E$104,0)</f>
        <v>0</v>
      </c>
      <c r="S70" s="68">
        <f t="shared" si="8"/>
        <v>0</v>
      </c>
      <c r="T70" s="311">
        <f t="shared" si="4"/>
        <v>0</v>
      </c>
      <c r="V70" s="120">
        <f>'As-Filed Schedule 2A'!N70</f>
        <v>0</v>
      </c>
      <c r="W70" s="314">
        <f>SUMIFS(Adjustments!$G:$G,Adjustments!$H:$H,"2A",Adjustments!$I:$I,'Schedule 2A Adjustments'!$V$12,Adjustments!$J:$J,'Schedule 2A Adjustments'!A70)</f>
        <v>0</v>
      </c>
      <c r="X70" s="327">
        <f t="shared" si="5"/>
        <v>0</v>
      </c>
      <c r="Y70" s="120">
        <f>'As-Filed Schedule 2A'!O70</f>
        <v>0</v>
      </c>
      <c r="Z70" s="314">
        <f>SUMIFS(Adjustments!$G:$G,Adjustments!$H:$H,"2A",Adjustments!$I:$I,'Schedule 2A Adjustments'!$Y$12,Adjustments!$J:$J,'Schedule 2A Adjustments'!A70)</f>
        <v>0</v>
      </c>
      <c r="AA70" s="327">
        <f t="shared" si="6"/>
        <v>0</v>
      </c>
    </row>
    <row r="71" spans="1:27" x14ac:dyDescent="0.35">
      <c r="A71" s="24">
        <v>57</v>
      </c>
      <c r="B71" s="513" t="str">
        <f>IF('As-Filed Schedule 2A'!B71:D71=0,"",'As-Filed Schedule 2A'!B71:D71)</f>
        <v/>
      </c>
      <c r="C71" s="513"/>
      <c r="D71" s="513"/>
      <c r="F71" s="117">
        <f>'As-Filed Schedule 2A'!F71</f>
        <v>0</v>
      </c>
      <c r="G71" s="314">
        <f>SUMIFS(Adjustments!$G:$G,Adjustments!$H:$H,"2A",Adjustments!$I:$I,'Schedule 2A Adjustments'!$F$12,Adjustments!$J:$J,'Schedule 2A Adjustments'!A71)</f>
        <v>0</v>
      </c>
      <c r="H71" s="310">
        <f t="shared" si="1"/>
        <v>0</v>
      </c>
      <c r="I71" s="68">
        <f>IFERROR(F71*'As-Filed Schedule 1'!$E$103,0)</f>
        <v>0</v>
      </c>
      <c r="J71" s="311">
        <f>IFERROR(H71*'Adjusted Schedule 1'!$E$104,0)</f>
        <v>0</v>
      </c>
      <c r="K71" s="68">
        <f t="shared" si="7"/>
        <v>0</v>
      </c>
      <c r="L71" s="311">
        <f t="shared" si="2"/>
        <v>0</v>
      </c>
      <c r="N71" s="117">
        <f>'As-Filed Schedule 2A'!J71</f>
        <v>0</v>
      </c>
      <c r="O71" s="314">
        <f>SUMIFS(Adjustments!$G:$G,Adjustments!$H:$H,"2A",Adjustments!$I:$I,'Schedule 2A Adjustments'!$N$12,Adjustments!$J:$J,'Schedule 2A Adjustments'!A71)</f>
        <v>0</v>
      </c>
      <c r="P71" s="310">
        <f t="shared" si="3"/>
        <v>0</v>
      </c>
      <c r="Q71" s="68">
        <f>IFERROR(N71*'As-Filed Schedule 1'!$E$103,0)</f>
        <v>0</v>
      </c>
      <c r="R71" s="311">
        <f>IFERROR(P71*'Adjusted Schedule 1'!$E$104,0)</f>
        <v>0</v>
      </c>
      <c r="S71" s="68">
        <f t="shared" si="8"/>
        <v>0</v>
      </c>
      <c r="T71" s="311">
        <f t="shared" si="4"/>
        <v>0</v>
      </c>
      <c r="V71" s="120">
        <f>'As-Filed Schedule 2A'!N71</f>
        <v>0</v>
      </c>
      <c r="W71" s="314">
        <f>SUMIFS(Adjustments!$G:$G,Adjustments!$H:$H,"2A",Adjustments!$I:$I,'Schedule 2A Adjustments'!$V$12,Adjustments!$J:$J,'Schedule 2A Adjustments'!A71)</f>
        <v>0</v>
      </c>
      <c r="X71" s="327">
        <f t="shared" si="5"/>
        <v>0</v>
      </c>
      <c r="Y71" s="120">
        <f>'As-Filed Schedule 2A'!O71</f>
        <v>0</v>
      </c>
      <c r="Z71" s="314">
        <f>SUMIFS(Adjustments!$G:$G,Adjustments!$H:$H,"2A",Adjustments!$I:$I,'Schedule 2A Adjustments'!$Y$12,Adjustments!$J:$J,'Schedule 2A Adjustments'!A71)</f>
        <v>0</v>
      </c>
      <c r="AA71" s="327">
        <f t="shared" si="6"/>
        <v>0</v>
      </c>
    </row>
    <row r="72" spans="1:27" x14ac:dyDescent="0.35">
      <c r="A72" s="24">
        <v>58</v>
      </c>
      <c r="B72" s="513" t="str">
        <f>IF('As-Filed Schedule 2A'!B72:D72=0,"",'As-Filed Schedule 2A'!B72:D72)</f>
        <v/>
      </c>
      <c r="C72" s="513"/>
      <c r="D72" s="513"/>
      <c r="F72" s="117">
        <f>'As-Filed Schedule 2A'!F72</f>
        <v>0</v>
      </c>
      <c r="G72" s="314">
        <f>SUMIFS(Adjustments!$G:$G,Adjustments!$H:$H,"2A",Adjustments!$I:$I,'Schedule 2A Adjustments'!$F$12,Adjustments!$J:$J,'Schedule 2A Adjustments'!A72)</f>
        <v>0</v>
      </c>
      <c r="H72" s="310">
        <f t="shared" si="1"/>
        <v>0</v>
      </c>
      <c r="I72" s="68">
        <f>IFERROR(F72*'As-Filed Schedule 1'!$E$103,0)</f>
        <v>0</v>
      </c>
      <c r="J72" s="311">
        <f>IFERROR(H72*'Adjusted Schedule 1'!$E$104,0)</f>
        <v>0</v>
      </c>
      <c r="K72" s="68">
        <f t="shared" si="7"/>
        <v>0</v>
      </c>
      <c r="L72" s="311">
        <f t="shared" si="2"/>
        <v>0</v>
      </c>
      <c r="N72" s="117">
        <f>'As-Filed Schedule 2A'!J72</f>
        <v>0</v>
      </c>
      <c r="O72" s="314">
        <f>SUMIFS(Adjustments!$G:$G,Adjustments!$H:$H,"2A",Adjustments!$I:$I,'Schedule 2A Adjustments'!$N$12,Adjustments!$J:$J,'Schedule 2A Adjustments'!A72)</f>
        <v>0</v>
      </c>
      <c r="P72" s="310">
        <f t="shared" si="3"/>
        <v>0</v>
      </c>
      <c r="Q72" s="68">
        <f>IFERROR(N72*'As-Filed Schedule 1'!$E$103,0)</f>
        <v>0</v>
      </c>
      <c r="R72" s="311">
        <f>IFERROR(P72*'Adjusted Schedule 1'!$E$104,0)</f>
        <v>0</v>
      </c>
      <c r="S72" s="68">
        <f t="shared" si="8"/>
        <v>0</v>
      </c>
      <c r="T72" s="311">
        <f t="shared" si="4"/>
        <v>0</v>
      </c>
      <c r="V72" s="120">
        <f>'As-Filed Schedule 2A'!N72</f>
        <v>0</v>
      </c>
      <c r="W72" s="314">
        <f>SUMIFS(Adjustments!$G:$G,Adjustments!$H:$H,"2A",Adjustments!$I:$I,'Schedule 2A Adjustments'!$V$12,Adjustments!$J:$J,'Schedule 2A Adjustments'!A72)</f>
        <v>0</v>
      </c>
      <c r="X72" s="327">
        <f t="shared" si="5"/>
        <v>0</v>
      </c>
      <c r="Y72" s="120">
        <f>'As-Filed Schedule 2A'!O72</f>
        <v>0</v>
      </c>
      <c r="Z72" s="314">
        <f>SUMIFS(Adjustments!$G:$G,Adjustments!$H:$H,"2A",Adjustments!$I:$I,'Schedule 2A Adjustments'!$Y$12,Adjustments!$J:$J,'Schedule 2A Adjustments'!A72)</f>
        <v>0</v>
      </c>
      <c r="AA72" s="327">
        <f t="shared" si="6"/>
        <v>0</v>
      </c>
    </row>
    <row r="73" spans="1:27" x14ac:dyDescent="0.35">
      <c r="A73" s="24">
        <v>59</v>
      </c>
      <c r="F73" s="18">
        <f t="shared" ref="F73:L73" si="9">SUM(F15:F72)</f>
        <v>3838590.9696926791</v>
      </c>
      <c r="G73" s="321">
        <f t="shared" si="9"/>
        <v>0</v>
      </c>
      <c r="H73" s="312">
        <f t="shared" si="9"/>
        <v>3838590.9696926791</v>
      </c>
      <c r="I73" s="18">
        <f t="shared" si="9"/>
        <v>1184907.1842830805</v>
      </c>
      <c r="J73" s="312">
        <f t="shared" si="9"/>
        <v>1184907.1842830805</v>
      </c>
      <c r="K73" s="18">
        <f t="shared" si="9"/>
        <v>5023498.1539757596</v>
      </c>
      <c r="L73" s="312">
        <f t="shared" si="9"/>
        <v>5023498.1539757596</v>
      </c>
      <c r="N73" s="18">
        <f>SUM(N15:N72)</f>
        <v>0</v>
      </c>
      <c r="O73" s="321">
        <f t="shared" ref="O73:P73" si="10">SUM(O15:O72)</f>
        <v>0</v>
      </c>
      <c r="P73" s="312">
        <f t="shared" si="10"/>
        <v>0</v>
      </c>
      <c r="Q73" s="18">
        <f t="shared" ref="Q73" si="11">SUM(Q15:Q72)</f>
        <v>0</v>
      </c>
      <c r="R73" s="312">
        <f>SUM(R15:R72)</f>
        <v>0</v>
      </c>
      <c r="S73" s="18">
        <f>SUM(S15:S72)</f>
        <v>0</v>
      </c>
      <c r="T73" s="312">
        <f>SUM(T15:T72)</f>
        <v>0</v>
      </c>
      <c r="Y73" s="83" t="s">
        <v>313</v>
      </c>
      <c r="Z73" s="332"/>
      <c r="AA73" s="329"/>
    </row>
    <row r="74" spans="1:27" ht="15" thickBot="1" x14ac:dyDescent="0.4">
      <c r="K74" s="37" t="s">
        <v>257</v>
      </c>
      <c r="L74" s="325" t="s">
        <v>257</v>
      </c>
      <c r="S74" s="37" t="s">
        <v>258</v>
      </c>
      <c r="T74" s="325" t="s">
        <v>258</v>
      </c>
    </row>
    <row r="75" spans="1:27" ht="16" thickBot="1" x14ac:dyDescent="0.4">
      <c r="A75" s="24">
        <v>60</v>
      </c>
      <c r="B75" s="143" t="s">
        <v>463</v>
      </c>
      <c r="C75" s="72"/>
      <c r="E75" s="72"/>
      <c r="F75" s="75">
        <f>K73+S73</f>
        <v>5023498.1539757596</v>
      </c>
      <c r="G75"/>
      <c r="H75" s="75">
        <f>L73+T73</f>
        <v>5023498.1539757596</v>
      </c>
      <c r="M75" s="74"/>
      <c r="N75" s="74"/>
      <c r="O75" s="333"/>
      <c r="P75" s="326"/>
      <c r="Q75" s="74"/>
      <c r="R75" s="326"/>
      <c r="S75" s="74"/>
      <c r="T75" s="326"/>
      <c r="V75" s="72"/>
      <c r="W75" s="331"/>
      <c r="X75" s="328"/>
      <c r="Y75" s="72"/>
      <c r="Z75" s="331"/>
      <c r="AA75" s="328"/>
    </row>
    <row r="76" spans="1:27" x14ac:dyDescent="0.35">
      <c r="F76" s="78" t="s">
        <v>500</v>
      </c>
      <c r="H76" s="309" t="s">
        <v>596</v>
      </c>
    </row>
  </sheetData>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Z13:Z14"/>
    <mergeCell ref="AA13:AA14"/>
    <mergeCell ref="W13:W14"/>
    <mergeCell ref="X13:X14"/>
    <mergeCell ref="B19:D19"/>
    <mergeCell ref="B15:D15"/>
    <mergeCell ref="B16:D16"/>
    <mergeCell ref="B17:D17"/>
    <mergeCell ref="B18:D18"/>
    <mergeCell ref="A3:F3"/>
    <mergeCell ref="B12:D12"/>
    <mergeCell ref="B13:D14"/>
    <mergeCell ref="F13:K13"/>
    <mergeCell ref="Y13:Y14"/>
    <mergeCell ref="N13:S13"/>
    <mergeCell ref="V13:V14"/>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s>
  <pageMargins left="0.7" right="0.7" top="0.75" bottom="0.75" header="0.3" footer="0.3"/>
  <pageSetup orientation="portrait" horizontalDpi="1200" verticalDpi="1200"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0"/>
  <dimension ref="A1:AA75"/>
  <sheetViews>
    <sheetView workbookViewId="0"/>
  </sheetViews>
  <sheetFormatPr defaultColWidth="9.1796875" defaultRowHeight="14.5" x14ac:dyDescent="0.35"/>
  <cols>
    <col min="1" max="1" width="9.54296875" customWidth="1"/>
    <col min="2" max="2" width="16" customWidth="1"/>
    <col min="3" max="3" width="22.5429687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4.453125" style="261" customWidth="1"/>
    <col min="24" max="24" width="12.1796875" style="48" customWidth="1"/>
    <col min="25" max="25" width="12" customWidth="1"/>
    <col min="26" max="26" width="15.453125" style="261" customWidth="1"/>
    <col min="27" max="27" width="12" style="48" customWidth="1"/>
  </cols>
  <sheetData>
    <row r="1" spans="1:27" ht="26" x14ac:dyDescent="0.6">
      <c r="A1" s="3" t="s">
        <v>774</v>
      </c>
    </row>
    <row r="2" spans="1:27" ht="21" x14ac:dyDescent="0.5">
      <c r="A2" s="2" t="s">
        <v>772</v>
      </c>
    </row>
    <row r="3" spans="1:27" ht="25" customHeight="1" x14ac:dyDescent="0.5">
      <c r="A3" s="494" t="s">
        <v>755</v>
      </c>
      <c r="B3" s="494"/>
      <c r="C3" s="494"/>
      <c r="D3" s="494"/>
      <c r="E3" s="494"/>
      <c r="F3" s="494"/>
      <c r="G3" s="494"/>
      <c r="H3" s="494"/>
      <c r="I3" s="494"/>
      <c r="J3" s="494"/>
      <c r="K3" s="494"/>
      <c r="L3" s="322"/>
    </row>
    <row r="5" spans="1:27" x14ac:dyDescent="0.35">
      <c r="A5" s="1" t="s">
        <v>773</v>
      </c>
      <c r="C5" s="421" t="str">
        <f>Results!$C$6</f>
        <v>Health Solutions</v>
      </c>
    </row>
    <row r="6" spans="1:27" x14ac:dyDescent="0.35">
      <c r="A6" s="1" t="s">
        <v>0</v>
      </c>
      <c r="C6" s="35">
        <f>Results!$C$7</f>
        <v>45473</v>
      </c>
      <c r="F6" s="35"/>
      <c r="G6" s="320"/>
      <c r="H6" s="60"/>
    </row>
    <row r="8" spans="1:27" x14ac:dyDescent="0.35">
      <c r="A8" s="1" t="s">
        <v>253</v>
      </c>
      <c r="B8" s="1" t="s">
        <v>624</v>
      </c>
      <c r="C8" s="1"/>
      <c r="F8" s="119" t="str">
        <f>'As-Filed Schedule 2B'!F8</f>
        <v>Yes</v>
      </c>
      <c r="G8" s="41" t="s">
        <v>259</v>
      </c>
      <c r="J8" s="336"/>
    </row>
    <row r="10" spans="1:27" x14ac:dyDescent="0.35">
      <c r="A10" s="1" t="s">
        <v>254</v>
      </c>
      <c r="B10" s="1" t="s">
        <v>256</v>
      </c>
      <c r="C10" s="1"/>
    </row>
    <row r="11" spans="1:27" x14ac:dyDescent="0.35">
      <c r="B11" s="334" t="s">
        <v>598</v>
      </c>
    </row>
    <row r="12" spans="1:27" x14ac:dyDescent="0.35">
      <c r="B12" s="508">
        <v>1</v>
      </c>
      <c r="C12" s="508"/>
      <c r="D12" s="508"/>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617</v>
      </c>
      <c r="Y12" s="23">
        <v>9</v>
      </c>
      <c r="Z12" s="256" t="s">
        <v>618</v>
      </c>
      <c r="AA12" s="257" t="s">
        <v>619</v>
      </c>
    </row>
    <row r="13" spans="1:27" x14ac:dyDescent="0.35">
      <c r="B13" s="517" t="s">
        <v>612</v>
      </c>
      <c r="C13" s="518"/>
      <c r="D13" s="519"/>
      <c r="F13" s="511" t="s">
        <v>261</v>
      </c>
      <c r="G13" s="516"/>
      <c r="H13" s="516"/>
      <c r="I13" s="516"/>
      <c r="J13" s="516"/>
      <c r="K13" s="516"/>
      <c r="L13" s="512"/>
      <c r="N13" s="511" t="s">
        <v>262</v>
      </c>
      <c r="O13" s="516"/>
      <c r="P13" s="516"/>
      <c r="Q13" s="516"/>
      <c r="R13" s="516"/>
      <c r="S13" s="516"/>
      <c r="T13" s="512"/>
      <c r="V13" s="514" t="s">
        <v>250</v>
      </c>
      <c r="W13" s="564" t="s">
        <v>620</v>
      </c>
      <c r="X13" s="566" t="s">
        <v>621</v>
      </c>
      <c r="Y13" s="510" t="s">
        <v>312</v>
      </c>
      <c r="Z13" s="568" t="s">
        <v>622</v>
      </c>
      <c r="AA13" s="569" t="s">
        <v>625</v>
      </c>
    </row>
    <row r="14" spans="1:27" ht="55.5" customHeight="1" x14ac:dyDescent="0.35">
      <c r="B14" s="520"/>
      <c r="C14" s="521"/>
      <c r="D14" s="522"/>
      <c r="E14" s="48"/>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U14" s="48"/>
      <c r="V14" s="515"/>
      <c r="W14" s="565"/>
      <c r="X14" s="567"/>
      <c r="Y14" s="510"/>
      <c r="Z14" s="568"/>
      <c r="AA14" s="569"/>
    </row>
    <row r="15" spans="1:27" x14ac:dyDescent="0.35">
      <c r="A15" s="24">
        <v>1</v>
      </c>
      <c r="B15" s="513" t="str">
        <f>IF('As-Filed Schedule 2B'!B15:D15=0,"",'As-Filed Schedule 2B'!B15:D15)</f>
        <v>Care Coordination</v>
      </c>
      <c r="C15" s="513"/>
      <c r="D15" s="513"/>
      <c r="F15" s="117">
        <f>'As-Filed Schedule 2B'!F15</f>
        <v>1422601.4866123446</v>
      </c>
      <c r="G15" s="314">
        <f>SUMIFS(Adjustments!$G:$G,Adjustments!$H:$H,"2B",Adjustments!$I:$I,'Schedule 2B Adjustments'!$F$12,Adjustments!$J:$J,'Schedule 2B Adjustments'!$A15)</f>
        <v>0</v>
      </c>
      <c r="H15" s="310">
        <f>SUM(F15:G15)</f>
        <v>1422601.4866123446</v>
      </c>
      <c r="I15" s="181">
        <f>IFERROR(F15*'As-Filed Schedule 1'!$E$103,0)</f>
        <v>439132.67528832651</v>
      </c>
      <c r="J15" s="311">
        <f>IFERROR(H15*'Adjusted Schedule 1'!$E$104,0)</f>
        <v>439132.67528832651</v>
      </c>
      <c r="K15" s="181">
        <f>SUM(F15,I15)</f>
        <v>1861734.1619006712</v>
      </c>
      <c r="L15" s="311">
        <f>SUM(H15,J15)</f>
        <v>1861734.1619006712</v>
      </c>
      <c r="M15" s="100"/>
      <c r="N15" s="180">
        <f>'As-Filed Schedule 2B'!J15</f>
        <v>0</v>
      </c>
      <c r="O15" s="314">
        <f>SUMIFS(Adjustments!$G:$G,Adjustments!$H:$H,"2B",Adjustments!$I:$I,'Schedule 2B Adjustments'!$N$12,Adjustments!$J:$J,'Schedule 2B Adjustments'!$A15)</f>
        <v>0</v>
      </c>
      <c r="P15" s="310">
        <f>SUM(N15:O15)</f>
        <v>0</v>
      </c>
      <c r="Q15" s="181">
        <f>IFERROR(N15*'As-Filed Schedule 1'!$E$103,0)</f>
        <v>0</v>
      </c>
      <c r="R15" s="311">
        <f>IFERROR(P15*'Adjusted Schedule 1'!$E$104,0)</f>
        <v>0</v>
      </c>
      <c r="S15" s="68">
        <f>SUM(N15,Q15)</f>
        <v>0</v>
      </c>
      <c r="T15" s="311">
        <f>SUM(P15,R15)</f>
        <v>0</v>
      </c>
      <c r="V15" s="120">
        <f>'As-Filed Schedule 2B'!N15</f>
        <v>13.112500000000004</v>
      </c>
      <c r="W15" s="314">
        <f>SUMIFS(Adjustments!$G:$G,Adjustments!$H:$H,"2B",Adjustments!$I:$I,'Schedule 2B Adjustments'!$V$12,Adjustments!$J:$J,'Schedule 2B Adjustments'!$A15)</f>
        <v>0</v>
      </c>
      <c r="X15" s="327">
        <f>SUM(V15:W15)</f>
        <v>13.112500000000004</v>
      </c>
      <c r="Y15" s="120">
        <f>'As-Filed Schedule 2B'!O15</f>
        <v>3747</v>
      </c>
      <c r="Z15" s="314">
        <f>SUMIFS(Adjustments!$G:$G,Adjustments!$H:$H,"2B",Adjustments!$I:$I,'Schedule 2B Adjustments'!$Y$12,Adjustments!$J:$J,'Schedule 2B Adjustments'!$A15)</f>
        <v>0</v>
      </c>
      <c r="AA15" s="327">
        <f>SUM(Y15:Z15)</f>
        <v>3747</v>
      </c>
    </row>
    <row r="16" spans="1:27" x14ac:dyDescent="0.35">
      <c r="A16" s="24">
        <v>2</v>
      </c>
      <c r="B16" s="513" t="str">
        <f>IF('As-Filed Schedule 2B'!B16:D16=0,"",'As-Filed Schedule 2B'!B16:D16)</f>
        <v>Temple Buell Early Childhood grant</v>
      </c>
      <c r="C16" s="513"/>
      <c r="D16" s="513"/>
      <c r="F16" s="117">
        <f>'As-Filed Schedule 2B'!F16</f>
        <v>0</v>
      </c>
      <c r="G16" s="314">
        <f>SUMIFS(Adjustments!$G:$G,Adjustments!$H:$H,"2B",Adjustments!$I:$I,'Schedule 2B Adjustments'!$F$12,Adjustments!$J:$J,'Schedule 2B Adjustments'!$A16)</f>
        <v>0</v>
      </c>
      <c r="H16" s="310">
        <f t="shared" ref="H16:H72" si="0">SUM(F16:G16)</f>
        <v>0</v>
      </c>
      <c r="I16" s="68">
        <f>IFERROR(F16*'As-Filed Schedule 1'!$E$103,0)</f>
        <v>0</v>
      </c>
      <c r="J16" s="311">
        <f>IFERROR(H16*'Adjusted Schedule 1'!$E$104,0)</f>
        <v>0</v>
      </c>
      <c r="K16" s="181">
        <f t="shared" ref="K16:K72" si="1">SUM(F16,I16)</f>
        <v>0</v>
      </c>
      <c r="L16" s="311">
        <f>SUM(H16,J16)</f>
        <v>0</v>
      </c>
      <c r="N16" s="180">
        <f>'As-Filed Schedule 2B'!J16</f>
        <v>186824.56494368202</v>
      </c>
      <c r="O16" s="314">
        <f>SUMIFS(Adjustments!$G:$G,Adjustments!$H:$H,"2B",Adjustments!$I:$I,'Schedule 2B Adjustments'!$N$12,Adjustments!$J:$J,'Schedule 2B Adjustments'!$A16)</f>
        <v>0</v>
      </c>
      <c r="P16" s="310">
        <f t="shared" ref="P16:P72" si="2">SUM(N16:O16)</f>
        <v>186824.56494368202</v>
      </c>
      <c r="Q16" s="68">
        <f>IFERROR(N16*'As-Filed Schedule 1'!$E$103,0)</f>
        <v>57669.538367108915</v>
      </c>
      <c r="R16" s="311">
        <f>IFERROR(P16*'Adjusted Schedule 1'!$E$104,0)</f>
        <v>57669.538367108915</v>
      </c>
      <c r="S16" s="68">
        <f t="shared" ref="S16:S72" si="3">SUM(N16,Q16)</f>
        <v>244494.10331079093</v>
      </c>
      <c r="T16" s="311">
        <f t="shared" ref="T16:T72" si="4">SUM(P16,R16)</f>
        <v>244494.10331079093</v>
      </c>
      <c r="V16" s="120">
        <f>'As-Filed Schedule 2B'!N16</f>
        <v>2.2166666666666668</v>
      </c>
      <c r="W16" s="314">
        <f>SUMIFS(Adjustments!$G:$G,Adjustments!$H:$H,"2B",Adjustments!$I:$I,'Schedule 2B Adjustments'!$V$12,Adjustments!$J:$J,'Schedule 2B Adjustments'!$A16)</f>
        <v>0</v>
      </c>
      <c r="X16" s="327">
        <f t="shared" ref="X16:X72" si="5">SUM(V16:W16)</f>
        <v>2.2166666666666668</v>
      </c>
      <c r="Y16" s="120">
        <f>'As-Filed Schedule 2B'!O16</f>
        <v>37</v>
      </c>
      <c r="Z16" s="314">
        <f>SUMIFS(Adjustments!$G:$G,Adjustments!$H:$H,"2B",Adjustments!$I:$I,'Schedule 2B Adjustments'!$Y$12,Adjustments!$J:$J,'Schedule 2B Adjustments'!$A16)</f>
        <v>0</v>
      </c>
      <c r="AA16" s="327">
        <f t="shared" ref="AA16:AA72" si="6">SUM(Y16:Z16)</f>
        <v>37</v>
      </c>
    </row>
    <row r="17" spans="1:27" x14ac:dyDescent="0.35">
      <c r="A17" s="24">
        <v>3</v>
      </c>
      <c r="B17" s="513" t="str">
        <f>IF('As-Filed Schedule 2B'!B17:D17=0,"",'As-Filed Schedule 2B'!B17:D17)</f>
        <v>Competancy Restoration</v>
      </c>
      <c r="C17" s="513"/>
      <c r="D17" s="513"/>
      <c r="F17" s="117">
        <f>'As-Filed Schedule 2B'!F17</f>
        <v>67986.968693358358</v>
      </c>
      <c r="G17" s="314">
        <f>SUMIFS(Adjustments!$G:$G,Adjustments!$H:$H,"2B",Adjustments!$I:$I,'Schedule 2B Adjustments'!$F$12,Adjustments!$J:$J,'Schedule 2B Adjustments'!$A17)</f>
        <v>0</v>
      </c>
      <c r="H17" s="310">
        <f t="shared" si="0"/>
        <v>67986.968693358358</v>
      </c>
      <c r="I17" s="68">
        <f>IFERROR(F17*'As-Filed Schedule 1'!$E$103,0)</f>
        <v>20986.410971742258</v>
      </c>
      <c r="J17" s="311">
        <f>IFERROR(H17*'Adjusted Schedule 1'!$E$104,0)</f>
        <v>20986.410971742258</v>
      </c>
      <c r="K17" s="181">
        <f t="shared" si="1"/>
        <v>88973.379665100612</v>
      </c>
      <c r="L17" s="311">
        <f>SUM(H17,J17)</f>
        <v>88973.379665100612</v>
      </c>
      <c r="N17" s="180">
        <f>'As-Filed Schedule 2B'!J17</f>
        <v>0</v>
      </c>
      <c r="O17" s="314">
        <f>SUMIFS(Adjustments!$G:$G,Adjustments!$H:$H,"2B",Adjustments!$I:$I,'Schedule 2B Adjustments'!$N$12,Adjustments!$J:$J,'Schedule 2B Adjustments'!$A17)</f>
        <v>0</v>
      </c>
      <c r="P17" s="310">
        <f t="shared" si="2"/>
        <v>0</v>
      </c>
      <c r="Q17" s="68">
        <f>IFERROR(N17*'As-Filed Schedule 1'!$E$103,0)</f>
        <v>0</v>
      </c>
      <c r="R17" s="311">
        <f>IFERROR(P17*'Adjusted Schedule 1'!$E$104,0)</f>
        <v>0</v>
      </c>
      <c r="S17" s="68">
        <f t="shared" si="3"/>
        <v>0</v>
      </c>
      <c r="T17" s="311">
        <f t="shared" si="4"/>
        <v>0</v>
      </c>
      <c r="V17" s="120">
        <f>'As-Filed Schedule 2B'!N17</f>
        <v>0.97166666666666668</v>
      </c>
      <c r="W17" s="314">
        <f>SUMIFS(Adjustments!$G:$G,Adjustments!$H:$H,"2B",Adjustments!$I:$I,'Schedule 2B Adjustments'!$V$12,Adjustments!$J:$J,'Schedule 2B Adjustments'!$A17)</f>
        <v>0</v>
      </c>
      <c r="X17" s="327">
        <f t="shared" si="5"/>
        <v>0.97166666666666668</v>
      </c>
      <c r="Y17" s="120">
        <f>'As-Filed Schedule 2B'!O17</f>
        <v>57</v>
      </c>
      <c r="Z17" s="314">
        <f>SUMIFS(Adjustments!$G:$G,Adjustments!$H:$H,"2B",Adjustments!$I:$I,'Schedule 2B Adjustments'!$Y$12,Adjustments!$J:$J,'Schedule 2B Adjustments'!$A17)</f>
        <v>0</v>
      </c>
      <c r="AA17" s="327">
        <f t="shared" si="6"/>
        <v>57</v>
      </c>
    </row>
    <row r="18" spans="1:27" x14ac:dyDescent="0.35">
      <c r="A18" s="24">
        <v>4</v>
      </c>
      <c r="B18" s="513" t="str">
        <f>IF('As-Filed Schedule 2B'!B18:D18=0,"",'As-Filed Schedule 2B'!B18:D18)</f>
        <v>Housing</v>
      </c>
      <c r="C18" s="513"/>
      <c r="D18" s="513"/>
      <c r="F18" s="117">
        <f>'As-Filed Schedule 2B'!F18</f>
        <v>288184.18304958567</v>
      </c>
      <c r="G18" s="314">
        <f>SUMIFS(Adjustments!$G:$G,Adjustments!$H:$H,"2B",Adjustments!$I:$I,'Schedule 2B Adjustments'!$F$12,Adjustments!$J:$J,'Schedule 2B Adjustments'!$A18)</f>
        <v>0</v>
      </c>
      <c r="H18" s="310">
        <f t="shared" si="0"/>
        <v>288184.18304958567</v>
      </c>
      <c r="I18" s="68">
        <f>IFERROR(F18*'As-Filed Schedule 1'!$E$103,0)</f>
        <v>88957.513730498598</v>
      </c>
      <c r="J18" s="311">
        <f>IFERROR(H18*'Adjusted Schedule 1'!$E$104,0)</f>
        <v>88957.513730498598</v>
      </c>
      <c r="K18" s="181">
        <f t="shared" si="1"/>
        <v>377141.69678008428</v>
      </c>
      <c r="L18" s="311">
        <f t="shared" ref="L18:L72" si="7">SUM(H18,J18)</f>
        <v>377141.69678008428</v>
      </c>
      <c r="N18" s="180">
        <f>'As-Filed Schedule 2B'!J18</f>
        <v>0</v>
      </c>
      <c r="O18" s="314">
        <f>SUMIFS(Adjustments!$G:$G,Adjustments!$H:$H,"2B",Adjustments!$I:$I,'Schedule 2B Adjustments'!$N$12,Adjustments!$J:$J,'Schedule 2B Adjustments'!$A18)</f>
        <v>0</v>
      </c>
      <c r="P18" s="310">
        <f t="shared" si="2"/>
        <v>0</v>
      </c>
      <c r="Q18" s="68">
        <f>IFERROR(N18*'As-Filed Schedule 1'!$E$103,0)</f>
        <v>0</v>
      </c>
      <c r="R18" s="311">
        <f>IFERROR(P18*'Adjusted Schedule 1'!$E$104,0)</f>
        <v>0</v>
      </c>
      <c r="S18" s="68">
        <f t="shared" si="3"/>
        <v>0</v>
      </c>
      <c r="T18" s="311">
        <f t="shared" si="4"/>
        <v>0</v>
      </c>
      <c r="V18" s="120">
        <f>'As-Filed Schedule 2B'!N18</f>
        <v>2.7833333333333332</v>
      </c>
      <c r="W18" s="314">
        <f>SUMIFS(Adjustments!$G:$G,Adjustments!$H:$H,"2B",Adjustments!$I:$I,'Schedule 2B Adjustments'!$V$12,Adjustments!$J:$J,'Schedule 2B Adjustments'!$A18)</f>
        <v>0</v>
      </c>
      <c r="X18" s="327">
        <f t="shared" si="5"/>
        <v>2.7833333333333332</v>
      </c>
      <c r="Y18" s="120">
        <f>'As-Filed Schedule 2B'!O18</f>
        <v>128</v>
      </c>
      <c r="Z18" s="314">
        <f>SUMIFS(Adjustments!$G:$G,Adjustments!$H:$H,"2B",Adjustments!$I:$I,'Schedule 2B Adjustments'!$Y$12,Adjustments!$J:$J,'Schedule 2B Adjustments'!$A18)</f>
        <v>0</v>
      </c>
      <c r="AA18" s="327">
        <f t="shared" si="6"/>
        <v>128</v>
      </c>
    </row>
    <row r="19" spans="1:27" x14ac:dyDescent="0.35">
      <c r="A19" s="24">
        <v>5</v>
      </c>
      <c r="B19" s="513" t="str">
        <f>IF('As-Filed Schedule 2B'!B19:D19=0,"",'As-Filed Schedule 2B'!B19:D19)</f>
        <v/>
      </c>
      <c r="C19" s="513"/>
      <c r="D19" s="513"/>
      <c r="F19" s="117">
        <f>'As-Filed Schedule 2B'!F19</f>
        <v>0</v>
      </c>
      <c r="G19" s="314">
        <f>SUMIFS(Adjustments!$G:$G,Adjustments!$H:$H,"2B",Adjustments!$I:$I,'Schedule 2B Adjustments'!$F$12,Adjustments!$J:$J,'Schedule 2B Adjustments'!$A19)</f>
        <v>0</v>
      </c>
      <c r="H19" s="310">
        <f t="shared" si="0"/>
        <v>0</v>
      </c>
      <c r="I19" s="68">
        <f>IFERROR(F19*'As-Filed Schedule 1'!$E$103,0)</f>
        <v>0</v>
      </c>
      <c r="J19" s="311">
        <f>IFERROR(H19*'Adjusted Schedule 1'!$E$104,0)</f>
        <v>0</v>
      </c>
      <c r="K19" s="181">
        <f>SUM(F19,I19)</f>
        <v>0</v>
      </c>
      <c r="L19" s="311">
        <f t="shared" si="7"/>
        <v>0</v>
      </c>
      <c r="N19" s="180">
        <f>'As-Filed Schedule 2B'!J19</f>
        <v>0</v>
      </c>
      <c r="O19" s="314">
        <f>SUMIFS(Adjustments!$G:$G,Adjustments!$H:$H,"2B",Adjustments!$I:$I,'Schedule 2B Adjustments'!$N$12,Adjustments!$J:$J,'Schedule 2B Adjustments'!$A19)</f>
        <v>0</v>
      </c>
      <c r="P19" s="310">
        <f t="shared" si="2"/>
        <v>0</v>
      </c>
      <c r="Q19" s="68">
        <f>IFERROR(N19*'As-Filed Schedule 1'!$E$103,0)</f>
        <v>0</v>
      </c>
      <c r="R19" s="311">
        <f>IFERROR(P19*'Adjusted Schedule 1'!$E$104,0)</f>
        <v>0</v>
      </c>
      <c r="S19" s="68">
        <f t="shared" si="3"/>
        <v>0</v>
      </c>
      <c r="T19" s="311">
        <f t="shared" si="4"/>
        <v>0</v>
      </c>
      <c r="V19" s="120">
        <f>'As-Filed Schedule 2B'!N19</f>
        <v>0</v>
      </c>
      <c r="W19" s="314">
        <f>SUMIFS(Adjustments!$G:$G,Adjustments!$H:$H,"2B",Adjustments!$I:$I,'Schedule 2B Adjustments'!$V$12,Adjustments!$J:$J,'Schedule 2B Adjustments'!$A19)</f>
        <v>0</v>
      </c>
      <c r="X19" s="327">
        <f t="shared" si="5"/>
        <v>0</v>
      </c>
      <c r="Y19" s="120">
        <f>'As-Filed Schedule 2B'!O19</f>
        <v>0</v>
      </c>
      <c r="Z19" s="314">
        <f>SUMIFS(Adjustments!$G:$G,Adjustments!$H:$H,"2B",Adjustments!$I:$I,'Schedule 2B Adjustments'!$Y$12,Adjustments!$J:$J,'Schedule 2B Adjustments'!$A19)</f>
        <v>0</v>
      </c>
      <c r="AA19" s="327">
        <f t="shared" si="6"/>
        <v>0</v>
      </c>
    </row>
    <row r="20" spans="1:27" x14ac:dyDescent="0.35">
      <c r="A20" s="24">
        <v>6</v>
      </c>
      <c r="B20" s="513" t="str">
        <f>IF('As-Filed Schedule 2B'!B20:D20=0,"",'As-Filed Schedule 2B'!B20:D20)</f>
        <v/>
      </c>
      <c r="C20" s="513"/>
      <c r="D20" s="513"/>
      <c r="F20" s="117">
        <f>'As-Filed Schedule 2B'!F20</f>
        <v>0</v>
      </c>
      <c r="G20" s="314">
        <f>SUMIFS(Adjustments!$G:$G,Adjustments!$H:$H,"2B",Adjustments!$I:$I,'Schedule 2B Adjustments'!$F$12,Adjustments!$J:$J,'Schedule 2B Adjustments'!$A20)</f>
        <v>0</v>
      </c>
      <c r="H20" s="310">
        <f t="shared" si="0"/>
        <v>0</v>
      </c>
      <c r="I20" s="68">
        <f>IFERROR(F20*'As-Filed Schedule 1'!$E$103,0)</f>
        <v>0</v>
      </c>
      <c r="J20" s="311">
        <f>IFERROR(H20*'Adjusted Schedule 1'!$E$104,0)</f>
        <v>0</v>
      </c>
      <c r="K20" s="181">
        <f t="shared" si="1"/>
        <v>0</v>
      </c>
      <c r="L20" s="311">
        <f t="shared" si="7"/>
        <v>0</v>
      </c>
      <c r="N20" s="180">
        <f>'As-Filed Schedule 2B'!J20</f>
        <v>0</v>
      </c>
      <c r="O20" s="314">
        <f>SUMIFS(Adjustments!$G:$G,Adjustments!$H:$H,"2B",Adjustments!$I:$I,'Schedule 2B Adjustments'!$N$12,Adjustments!$J:$J,'Schedule 2B Adjustments'!$A20)</f>
        <v>0</v>
      </c>
      <c r="P20" s="310">
        <f t="shared" si="2"/>
        <v>0</v>
      </c>
      <c r="Q20" s="68">
        <f>IFERROR(N20*'As-Filed Schedule 1'!$E$103,0)</f>
        <v>0</v>
      </c>
      <c r="R20" s="311">
        <f>IFERROR(P20*'Adjusted Schedule 1'!$E$104,0)</f>
        <v>0</v>
      </c>
      <c r="S20" s="68">
        <f t="shared" si="3"/>
        <v>0</v>
      </c>
      <c r="T20" s="311">
        <f>SUM(P20,R20)</f>
        <v>0</v>
      </c>
      <c r="V20" s="120">
        <f>'As-Filed Schedule 2B'!N20</f>
        <v>0</v>
      </c>
      <c r="W20" s="314">
        <f>SUMIFS(Adjustments!$G:$G,Adjustments!$H:$H,"2B",Adjustments!$I:$I,'Schedule 2B Adjustments'!$V$12,Adjustments!$J:$J,'Schedule 2B Adjustments'!$A20)</f>
        <v>0</v>
      </c>
      <c r="X20" s="327">
        <f t="shared" si="5"/>
        <v>0</v>
      </c>
      <c r="Y20" s="120">
        <f>'As-Filed Schedule 2B'!O20</f>
        <v>0</v>
      </c>
      <c r="Z20" s="314">
        <f>SUMIFS(Adjustments!$G:$G,Adjustments!$H:$H,"2B",Adjustments!$I:$I,'Schedule 2B Adjustments'!$Y$12,Adjustments!$J:$J,'Schedule 2B Adjustments'!$A20)</f>
        <v>0</v>
      </c>
      <c r="AA20" s="327">
        <f t="shared" si="6"/>
        <v>0</v>
      </c>
    </row>
    <row r="21" spans="1:27" x14ac:dyDescent="0.35">
      <c r="A21" s="24">
        <v>7</v>
      </c>
      <c r="B21" s="513" t="str">
        <f>IF('As-Filed Schedule 2B'!B21:D21=0,"",'As-Filed Schedule 2B'!B21:D21)</f>
        <v/>
      </c>
      <c r="C21" s="513"/>
      <c r="D21" s="513"/>
      <c r="F21" s="117">
        <f>'As-Filed Schedule 2B'!F21</f>
        <v>0</v>
      </c>
      <c r="G21" s="314">
        <f>SUMIFS(Adjustments!$G:$G,Adjustments!$H:$H,"2B",Adjustments!$I:$I,'Schedule 2B Adjustments'!$F$12,Adjustments!$J:$J,'Schedule 2B Adjustments'!$A21)</f>
        <v>0</v>
      </c>
      <c r="H21" s="310">
        <f t="shared" si="0"/>
        <v>0</v>
      </c>
      <c r="I21" s="68">
        <f>IFERROR(F21*'As-Filed Schedule 1'!$E$103,0)</f>
        <v>0</v>
      </c>
      <c r="J21" s="311">
        <f>IFERROR(H21*'Adjusted Schedule 1'!$E$104,0)</f>
        <v>0</v>
      </c>
      <c r="K21" s="181">
        <f t="shared" si="1"/>
        <v>0</v>
      </c>
      <c r="L21" s="311">
        <f t="shared" si="7"/>
        <v>0</v>
      </c>
      <c r="N21" s="180">
        <f>'As-Filed Schedule 2B'!J21</f>
        <v>0</v>
      </c>
      <c r="O21" s="314">
        <f>SUMIFS(Adjustments!$G:$G,Adjustments!$H:$H,"2B",Adjustments!$I:$I,'Schedule 2B Adjustments'!$N$12,Adjustments!$J:$J,'Schedule 2B Adjustments'!$A21)</f>
        <v>0</v>
      </c>
      <c r="P21" s="310">
        <f t="shared" si="2"/>
        <v>0</v>
      </c>
      <c r="Q21" s="68">
        <f>IFERROR(N21*'As-Filed Schedule 1'!$E$103,0)</f>
        <v>0</v>
      </c>
      <c r="R21" s="311">
        <f>IFERROR(P21*'Adjusted Schedule 1'!$E$104,0)</f>
        <v>0</v>
      </c>
      <c r="S21" s="68">
        <f t="shared" si="3"/>
        <v>0</v>
      </c>
      <c r="T21" s="311">
        <f t="shared" si="4"/>
        <v>0</v>
      </c>
      <c r="V21" s="120">
        <f>'As-Filed Schedule 2B'!N21</f>
        <v>0</v>
      </c>
      <c r="W21" s="314">
        <f>SUMIFS(Adjustments!$G:$G,Adjustments!$H:$H,"2B",Adjustments!$I:$I,'Schedule 2B Adjustments'!$V$12,Adjustments!$J:$J,'Schedule 2B Adjustments'!$A21)</f>
        <v>0</v>
      </c>
      <c r="X21" s="327">
        <f t="shared" si="5"/>
        <v>0</v>
      </c>
      <c r="Y21" s="120">
        <f>'As-Filed Schedule 2B'!O21</f>
        <v>0</v>
      </c>
      <c r="Z21" s="314">
        <f>SUMIFS(Adjustments!$G:$G,Adjustments!$H:$H,"2B",Adjustments!$I:$I,'Schedule 2B Adjustments'!$Y$12,Adjustments!$J:$J,'Schedule 2B Adjustments'!$A21)</f>
        <v>0</v>
      </c>
      <c r="AA21" s="327">
        <f t="shared" si="6"/>
        <v>0</v>
      </c>
    </row>
    <row r="22" spans="1:27" x14ac:dyDescent="0.35">
      <c r="A22" s="24">
        <v>8</v>
      </c>
      <c r="B22" s="513" t="str">
        <f>IF('As-Filed Schedule 2B'!B22:D22=0,"",'As-Filed Schedule 2B'!B22:D22)</f>
        <v/>
      </c>
      <c r="C22" s="513"/>
      <c r="D22" s="513"/>
      <c r="F22" s="117">
        <f>'As-Filed Schedule 2B'!F22</f>
        <v>0</v>
      </c>
      <c r="G22" s="314">
        <f>SUMIFS(Adjustments!$G:$G,Adjustments!$H:$H,"2B",Adjustments!$I:$I,'Schedule 2B Adjustments'!$F$12,Adjustments!$J:$J,'Schedule 2B Adjustments'!$A22)</f>
        <v>0</v>
      </c>
      <c r="H22" s="310">
        <f t="shared" si="0"/>
        <v>0</v>
      </c>
      <c r="I22" s="68">
        <f>IFERROR(F22*'As-Filed Schedule 1'!$E$103,0)</f>
        <v>0</v>
      </c>
      <c r="J22" s="311">
        <f>IFERROR(H22*'Adjusted Schedule 1'!$E$104,0)</f>
        <v>0</v>
      </c>
      <c r="K22" s="181">
        <f t="shared" si="1"/>
        <v>0</v>
      </c>
      <c r="L22" s="311">
        <f t="shared" si="7"/>
        <v>0</v>
      </c>
      <c r="N22" s="180">
        <f>'As-Filed Schedule 2B'!J22</f>
        <v>0</v>
      </c>
      <c r="O22" s="314">
        <f>SUMIFS(Adjustments!$G:$G,Adjustments!$H:$H,"2B",Adjustments!$I:$I,'Schedule 2B Adjustments'!$N$12,Adjustments!$J:$J,'Schedule 2B Adjustments'!$A22)</f>
        <v>0</v>
      </c>
      <c r="P22" s="310">
        <f t="shared" si="2"/>
        <v>0</v>
      </c>
      <c r="Q22" s="68">
        <f>IFERROR(N22*'As-Filed Schedule 1'!$E$103,0)</f>
        <v>0</v>
      </c>
      <c r="R22" s="311">
        <f>IFERROR(P22*'Adjusted Schedule 1'!$E$104,0)</f>
        <v>0</v>
      </c>
      <c r="S22" s="68">
        <f t="shared" si="3"/>
        <v>0</v>
      </c>
      <c r="T22" s="311">
        <f t="shared" si="4"/>
        <v>0</v>
      </c>
      <c r="V22" s="120">
        <f>'As-Filed Schedule 2B'!N22</f>
        <v>0</v>
      </c>
      <c r="W22" s="314">
        <f>SUMIFS(Adjustments!$G:$G,Adjustments!$H:$H,"2B",Adjustments!$I:$I,'Schedule 2B Adjustments'!$V$12,Adjustments!$J:$J,'Schedule 2B Adjustments'!$A22)</f>
        <v>0</v>
      </c>
      <c r="X22" s="327">
        <f t="shared" si="5"/>
        <v>0</v>
      </c>
      <c r="Y22" s="120">
        <f>'As-Filed Schedule 2B'!O22</f>
        <v>0</v>
      </c>
      <c r="Z22" s="314">
        <f>SUMIFS(Adjustments!$G:$G,Adjustments!$H:$H,"2B",Adjustments!$I:$I,'Schedule 2B Adjustments'!$Y$12,Adjustments!$J:$J,'Schedule 2B Adjustments'!$A22)</f>
        <v>0</v>
      </c>
      <c r="AA22" s="327">
        <f t="shared" si="6"/>
        <v>0</v>
      </c>
    </row>
    <row r="23" spans="1:27" x14ac:dyDescent="0.35">
      <c r="A23" s="24">
        <v>9</v>
      </c>
      <c r="B23" s="513" t="str">
        <f>IF('As-Filed Schedule 2B'!B23:D23=0,"",'As-Filed Schedule 2B'!B23:D23)</f>
        <v/>
      </c>
      <c r="C23" s="513"/>
      <c r="D23" s="513"/>
      <c r="F23" s="117">
        <f>'As-Filed Schedule 2B'!F23</f>
        <v>0</v>
      </c>
      <c r="G23" s="314">
        <f>SUMIFS(Adjustments!$G:$G,Adjustments!$H:$H,"2B",Adjustments!$I:$I,'Schedule 2B Adjustments'!$F$12,Adjustments!$J:$J,'Schedule 2B Adjustments'!$A23)</f>
        <v>0</v>
      </c>
      <c r="H23" s="310">
        <f t="shared" si="0"/>
        <v>0</v>
      </c>
      <c r="I23" s="68">
        <f>IFERROR(F23*'As-Filed Schedule 1'!$E$103,0)</f>
        <v>0</v>
      </c>
      <c r="J23" s="311">
        <f>IFERROR(H23*'Adjusted Schedule 1'!$E$104,0)</f>
        <v>0</v>
      </c>
      <c r="K23" s="181">
        <f t="shared" si="1"/>
        <v>0</v>
      </c>
      <c r="L23" s="311">
        <f t="shared" si="7"/>
        <v>0</v>
      </c>
      <c r="N23" s="180">
        <f>'As-Filed Schedule 2B'!J23</f>
        <v>0</v>
      </c>
      <c r="O23" s="314">
        <f>SUMIFS(Adjustments!$G:$G,Adjustments!$H:$H,"2B",Adjustments!$I:$I,'Schedule 2B Adjustments'!$N$12,Adjustments!$J:$J,'Schedule 2B Adjustments'!$A23)</f>
        <v>0</v>
      </c>
      <c r="P23" s="310">
        <f t="shared" si="2"/>
        <v>0</v>
      </c>
      <c r="Q23" s="68">
        <f>IFERROR(N23*'As-Filed Schedule 1'!$E$103,0)</f>
        <v>0</v>
      </c>
      <c r="R23" s="311">
        <f>IFERROR(P23*'Adjusted Schedule 1'!$E$104,0)</f>
        <v>0</v>
      </c>
      <c r="S23" s="68">
        <f t="shared" si="3"/>
        <v>0</v>
      </c>
      <c r="T23" s="311">
        <f t="shared" si="4"/>
        <v>0</v>
      </c>
      <c r="V23" s="120">
        <f>'As-Filed Schedule 2B'!N23</f>
        <v>0</v>
      </c>
      <c r="W23" s="314">
        <f>SUMIFS(Adjustments!$G:$G,Adjustments!$H:$H,"2B",Adjustments!$I:$I,'Schedule 2B Adjustments'!$V$12,Adjustments!$J:$J,'Schedule 2B Adjustments'!$A23)</f>
        <v>0</v>
      </c>
      <c r="X23" s="327">
        <f t="shared" si="5"/>
        <v>0</v>
      </c>
      <c r="Y23" s="120">
        <f>'As-Filed Schedule 2B'!O23</f>
        <v>0</v>
      </c>
      <c r="Z23" s="314">
        <f>SUMIFS(Adjustments!$G:$G,Adjustments!$H:$H,"2B",Adjustments!$I:$I,'Schedule 2B Adjustments'!$Y$12,Adjustments!$J:$J,'Schedule 2B Adjustments'!$A23)</f>
        <v>0</v>
      </c>
      <c r="AA23" s="327">
        <f t="shared" si="6"/>
        <v>0</v>
      </c>
    </row>
    <row r="24" spans="1:27" x14ac:dyDescent="0.35">
      <c r="A24" s="24">
        <v>10</v>
      </c>
      <c r="B24" s="513" t="str">
        <f>IF('As-Filed Schedule 2B'!B24:D24=0,"",'As-Filed Schedule 2B'!B24:D24)</f>
        <v/>
      </c>
      <c r="C24" s="513"/>
      <c r="D24" s="513"/>
      <c r="F24" s="117">
        <f>'As-Filed Schedule 2B'!F24</f>
        <v>0</v>
      </c>
      <c r="G24" s="314">
        <f>SUMIFS(Adjustments!$G:$G,Adjustments!$H:$H,"2B",Adjustments!$I:$I,'Schedule 2B Adjustments'!$F$12,Adjustments!$J:$J,'Schedule 2B Adjustments'!$A24)</f>
        <v>0</v>
      </c>
      <c r="H24" s="310">
        <f t="shared" si="0"/>
        <v>0</v>
      </c>
      <c r="I24" s="68">
        <f>IFERROR(F24*'As-Filed Schedule 1'!$E$103,0)</f>
        <v>0</v>
      </c>
      <c r="J24" s="311">
        <f>IFERROR(H24*'Adjusted Schedule 1'!$E$104,0)</f>
        <v>0</v>
      </c>
      <c r="K24" s="181">
        <f t="shared" si="1"/>
        <v>0</v>
      </c>
      <c r="L24" s="311">
        <f t="shared" si="7"/>
        <v>0</v>
      </c>
      <c r="N24" s="180">
        <f>'As-Filed Schedule 2B'!J24</f>
        <v>0</v>
      </c>
      <c r="O24" s="314">
        <f>SUMIFS(Adjustments!$G:$G,Adjustments!$H:$H,"2B",Adjustments!$I:$I,'Schedule 2B Adjustments'!$N$12,Adjustments!$J:$J,'Schedule 2B Adjustments'!$A24)</f>
        <v>0</v>
      </c>
      <c r="P24" s="310">
        <f t="shared" si="2"/>
        <v>0</v>
      </c>
      <c r="Q24" s="68">
        <f>IFERROR(N24*'As-Filed Schedule 1'!$E$103,0)</f>
        <v>0</v>
      </c>
      <c r="R24" s="311">
        <f>IFERROR(P24*'Adjusted Schedule 1'!$E$104,0)</f>
        <v>0</v>
      </c>
      <c r="S24" s="68">
        <f t="shared" si="3"/>
        <v>0</v>
      </c>
      <c r="T24" s="311">
        <f t="shared" si="4"/>
        <v>0</v>
      </c>
      <c r="V24" s="120">
        <f>'As-Filed Schedule 2B'!N24</f>
        <v>0</v>
      </c>
      <c r="W24" s="314">
        <f>SUMIFS(Adjustments!$G:$G,Adjustments!$H:$H,"2B",Adjustments!$I:$I,'Schedule 2B Adjustments'!$V$12,Adjustments!$J:$J,'Schedule 2B Adjustments'!$A24)</f>
        <v>0</v>
      </c>
      <c r="X24" s="327">
        <f t="shared" si="5"/>
        <v>0</v>
      </c>
      <c r="Y24" s="120">
        <f>'As-Filed Schedule 2B'!O24</f>
        <v>0</v>
      </c>
      <c r="Z24" s="314">
        <f>SUMIFS(Adjustments!$G:$G,Adjustments!$H:$H,"2B",Adjustments!$I:$I,'Schedule 2B Adjustments'!$Y$12,Adjustments!$J:$J,'Schedule 2B Adjustments'!$A24)</f>
        <v>0</v>
      </c>
      <c r="AA24" s="327">
        <f t="shared" si="6"/>
        <v>0</v>
      </c>
    </row>
    <row r="25" spans="1:27" x14ac:dyDescent="0.35">
      <c r="A25" s="24">
        <v>11</v>
      </c>
      <c r="B25" s="513" t="str">
        <f>IF('As-Filed Schedule 2B'!B25:D25=0,"",'As-Filed Schedule 2B'!B25:D25)</f>
        <v/>
      </c>
      <c r="C25" s="513"/>
      <c r="D25" s="513"/>
      <c r="F25" s="117">
        <f>'As-Filed Schedule 2B'!F25</f>
        <v>0</v>
      </c>
      <c r="G25" s="314">
        <f>SUMIFS(Adjustments!$G:$G,Adjustments!$H:$H,"2B",Adjustments!$I:$I,'Schedule 2B Adjustments'!$F$12,Adjustments!$J:$J,'Schedule 2B Adjustments'!$A25)</f>
        <v>0</v>
      </c>
      <c r="H25" s="310">
        <f t="shared" si="0"/>
        <v>0</v>
      </c>
      <c r="I25" s="68">
        <f>IFERROR(F25*'As-Filed Schedule 1'!$E$103,0)</f>
        <v>0</v>
      </c>
      <c r="J25" s="311">
        <f>IFERROR(H25*'Adjusted Schedule 1'!$E$104,0)</f>
        <v>0</v>
      </c>
      <c r="K25" s="181">
        <f t="shared" si="1"/>
        <v>0</v>
      </c>
      <c r="L25" s="311">
        <f t="shared" si="7"/>
        <v>0</v>
      </c>
      <c r="N25" s="180">
        <f>'As-Filed Schedule 2B'!J25</f>
        <v>0</v>
      </c>
      <c r="O25" s="314">
        <f>SUMIFS(Adjustments!$G:$G,Adjustments!$H:$H,"2B",Adjustments!$I:$I,'Schedule 2B Adjustments'!$N$12,Adjustments!$J:$J,'Schedule 2B Adjustments'!$A25)</f>
        <v>0</v>
      </c>
      <c r="P25" s="310">
        <f t="shared" si="2"/>
        <v>0</v>
      </c>
      <c r="Q25" s="68">
        <f>IFERROR(N25*'As-Filed Schedule 1'!$E$103,0)</f>
        <v>0</v>
      </c>
      <c r="R25" s="311">
        <f>IFERROR(P25*'Adjusted Schedule 1'!$E$104,0)</f>
        <v>0</v>
      </c>
      <c r="S25" s="68">
        <f t="shared" si="3"/>
        <v>0</v>
      </c>
      <c r="T25" s="311">
        <f t="shared" si="4"/>
        <v>0</v>
      </c>
      <c r="V25" s="120">
        <f>'As-Filed Schedule 2B'!N25</f>
        <v>0</v>
      </c>
      <c r="W25" s="314">
        <f>SUMIFS(Adjustments!$G:$G,Adjustments!$H:$H,"2B",Adjustments!$I:$I,'Schedule 2B Adjustments'!$V$12,Adjustments!$J:$J,'Schedule 2B Adjustments'!$A25)</f>
        <v>0</v>
      </c>
      <c r="X25" s="327">
        <f t="shared" si="5"/>
        <v>0</v>
      </c>
      <c r="Y25" s="120">
        <f>'As-Filed Schedule 2B'!O25</f>
        <v>0</v>
      </c>
      <c r="Z25" s="314">
        <f>SUMIFS(Adjustments!$G:$G,Adjustments!$H:$H,"2B",Adjustments!$I:$I,'Schedule 2B Adjustments'!$Y$12,Adjustments!$J:$J,'Schedule 2B Adjustments'!$A25)</f>
        <v>0</v>
      </c>
      <c r="AA25" s="327">
        <f t="shared" si="6"/>
        <v>0</v>
      </c>
    </row>
    <row r="26" spans="1:27" x14ac:dyDescent="0.35">
      <c r="A26" s="24">
        <v>12</v>
      </c>
      <c r="B26" s="513" t="str">
        <f>IF('As-Filed Schedule 2B'!B26:D26=0,"",'As-Filed Schedule 2B'!B26:D26)</f>
        <v/>
      </c>
      <c r="C26" s="513"/>
      <c r="D26" s="513"/>
      <c r="F26" s="117">
        <f>'As-Filed Schedule 2B'!F26</f>
        <v>0</v>
      </c>
      <c r="G26" s="314">
        <f>SUMIFS(Adjustments!$G:$G,Adjustments!$H:$H,"2B",Adjustments!$I:$I,'Schedule 2B Adjustments'!$F$12,Adjustments!$J:$J,'Schedule 2B Adjustments'!$A26)</f>
        <v>0</v>
      </c>
      <c r="H26" s="310">
        <f t="shared" si="0"/>
        <v>0</v>
      </c>
      <c r="I26" s="68">
        <f>IFERROR(F26*'As-Filed Schedule 1'!$E$103,0)</f>
        <v>0</v>
      </c>
      <c r="J26" s="311">
        <f>IFERROR(H26*'Adjusted Schedule 1'!$E$104,0)</f>
        <v>0</v>
      </c>
      <c r="K26" s="181">
        <f t="shared" si="1"/>
        <v>0</v>
      </c>
      <c r="L26" s="311">
        <f t="shared" si="7"/>
        <v>0</v>
      </c>
      <c r="N26" s="180">
        <f>'As-Filed Schedule 2B'!J26</f>
        <v>0</v>
      </c>
      <c r="O26" s="314">
        <f>SUMIFS(Adjustments!$G:$G,Adjustments!$H:$H,"2B",Adjustments!$I:$I,'Schedule 2B Adjustments'!$N$12,Adjustments!$J:$J,'Schedule 2B Adjustments'!$A26)</f>
        <v>0</v>
      </c>
      <c r="P26" s="310">
        <f t="shared" si="2"/>
        <v>0</v>
      </c>
      <c r="Q26" s="68">
        <f>IFERROR(N26*'As-Filed Schedule 1'!$E$103,0)</f>
        <v>0</v>
      </c>
      <c r="R26" s="311">
        <f>IFERROR(P26*'Adjusted Schedule 1'!$E$104,0)</f>
        <v>0</v>
      </c>
      <c r="S26" s="68">
        <f t="shared" si="3"/>
        <v>0</v>
      </c>
      <c r="T26" s="311">
        <f t="shared" si="4"/>
        <v>0</v>
      </c>
      <c r="V26" s="120">
        <f>'As-Filed Schedule 2B'!N26</f>
        <v>0</v>
      </c>
      <c r="W26" s="314">
        <f>SUMIFS(Adjustments!$G:$G,Adjustments!$H:$H,"2B",Adjustments!$I:$I,'Schedule 2B Adjustments'!$V$12,Adjustments!$J:$J,'Schedule 2B Adjustments'!$A26)</f>
        <v>0</v>
      </c>
      <c r="X26" s="327">
        <f t="shared" si="5"/>
        <v>0</v>
      </c>
      <c r="Y26" s="120">
        <f>'As-Filed Schedule 2B'!O26</f>
        <v>0</v>
      </c>
      <c r="Z26" s="314">
        <f>SUMIFS(Adjustments!$G:$G,Adjustments!$H:$H,"2B",Adjustments!$I:$I,'Schedule 2B Adjustments'!$Y$12,Adjustments!$J:$J,'Schedule 2B Adjustments'!$A26)</f>
        <v>0</v>
      </c>
      <c r="AA26" s="327">
        <f t="shared" si="6"/>
        <v>0</v>
      </c>
    </row>
    <row r="27" spans="1:27" x14ac:dyDescent="0.35">
      <c r="A27" s="24">
        <v>13</v>
      </c>
      <c r="B27" s="513" t="str">
        <f>IF('As-Filed Schedule 2B'!B27:D27=0,"",'As-Filed Schedule 2B'!B27:D27)</f>
        <v/>
      </c>
      <c r="C27" s="513"/>
      <c r="D27" s="513"/>
      <c r="F27" s="117">
        <f>'As-Filed Schedule 2B'!F27</f>
        <v>0</v>
      </c>
      <c r="G27" s="314">
        <f>SUMIFS(Adjustments!$G:$G,Adjustments!$H:$H,"2B",Adjustments!$I:$I,'Schedule 2B Adjustments'!$F$12,Adjustments!$J:$J,'Schedule 2B Adjustments'!$A27)</f>
        <v>0</v>
      </c>
      <c r="H27" s="310">
        <f t="shared" si="0"/>
        <v>0</v>
      </c>
      <c r="I27" s="68">
        <f>IFERROR(F27*'As-Filed Schedule 1'!$E$103,0)</f>
        <v>0</v>
      </c>
      <c r="J27" s="311">
        <f>IFERROR(H27*'Adjusted Schedule 1'!$E$104,0)</f>
        <v>0</v>
      </c>
      <c r="K27" s="181">
        <f t="shared" si="1"/>
        <v>0</v>
      </c>
      <c r="L27" s="311">
        <f t="shared" si="7"/>
        <v>0</v>
      </c>
      <c r="N27" s="180">
        <f>'As-Filed Schedule 2B'!J27</f>
        <v>0</v>
      </c>
      <c r="O27" s="314">
        <f>SUMIFS(Adjustments!$G:$G,Adjustments!$H:$H,"2B",Adjustments!$I:$I,'Schedule 2B Adjustments'!$N$12,Adjustments!$J:$J,'Schedule 2B Adjustments'!$A27)</f>
        <v>0</v>
      </c>
      <c r="P27" s="310">
        <f t="shared" si="2"/>
        <v>0</v>
      </c>
      <c r="Q27" s="68">
        <f>IFERROR(N27*'As-Filed Schedule 1'!$E$103,0)</f>
        <v>0</v>
      </c>
      <c r="R27" s="311">
        <f>IFERROR(P27*'Adjusted Schedule 1'!$E$104,0)</f>
        <v>0</v>
      </c>
      <c r="S27" s="68">
        <f t="shared" si="3"/>
        <v>0</v>
      </c>
      <c r="T27" s="311">
        <f t="shared" si="4"/>
        <v>0</v>
      </c>
      <c r="V27" s="120">
        <f>'As-Filed Schedule 2B'!N27</f>
        <v>0</v>
      </c>
      <c r="W27" s="314">
        <f>SUMIFS(Adjustments!$G:$G,Adjustments!$H:$H,"2B",Adjustments!$I:$I,'Schedule 2B Adjustments'!$V$12,Adjustments!$J:$J,'Schedule 2B Adjustments'!$A27)</f>
        <v>0</v>
      </c>
      <c r="X27" s="327">
        <f t="shared" si="5"/>
        <v>0</v>
      </c>
      <c r="Y27" s="120">
        <f>'As-Filed Schedule 2B'!O27</f>
        <v>0</v>
      </c>
      <c r="Z27" s="314">
        <f>SUMIFS(Adjustments!$G:$G,Adjustments!$H:$H,"2B",Adjustments!$I:$I,'Schedule 2B Adjustments'!$Y$12,Adjustments!$J:$J,'Schedule 2B Adjustments'!$A27)</f>
        <v>0</v>
      </c>
      <c r="AA27" s="327">
        <f t="shared" si="6"/>
        <v>0</v>
      </c>
    </row>
    <row r="28" spans="1:27" x14ac:dyDescent="0.35">
      <c r="A28" s="24">
        <v>14</v>
      </c>
      <c r="B28" s="513" t="str">
        <f>IF('As-Filed Schedule 2B'!B28:D28=0,"",'As-Filed Schedule 2B'!B28:D28)</f>
        <v/>
      </c>
      <c r="C28" s="513"/>
      <c r="D28" s="513"/>
      <c r="F28" s="117">
        <f>'As-Filed Schedule 2B'!F28</f>
        <v>0</v>
      </c>
      <c r="G28" s="314">
        <f>SUMIFS(Adjustments!$G:$G,Adjustments!$H:$H,"2B",Adjustments!$I:$I,'Schedule 2B Adjustments'!$F$12,Adjustments!$J:$J,'Schedule 2B Adjustments'!$A28)</f>
        <v>0</v>
      </c>
      <c r="H28" s="310">
        <f t="shared" si="0"/>
        <v>0</v>
      </c>
      <c r="I28" s="68">
        <f>IFERROR(F28*'As-Filed Schedule 1'!$E$103,0)</f>
        <v>0</v>
      </c>
      <c r="J28" s="311">
        <f>IFERROR(H28*'Adjusted Schedule 1'!$E$104,0)</f>
        <v>0</v>
      </c>
      <c r="K28" s="181">
        <f t="shared" si="1"/>
        <v>0</v>
      </c>
      <c r="L28" s="311">
        <f>SUM(H28,J28)</f>
        <v>0</v>
      </c>
      <c r="N28" s="180">
        <f>'As-Filed Schedule 2B'!J28</f>
        <v>0</v>
      </c>
      <c r="O28" s="314">
        <f>SUMIFS(Adjustments!$G:$G,Adjustments!$H:$H,"2B",Adjustments!$I:$I,'Schedule 2B Adjustments'!$N$12,Adjustments!$J:$J,'Schedule 2B Adjustments'!$A28)</f>
        <v>0</v>
      </c>
      <c r="P28" s="310">
        <f t="shared" si="2"/>
        <v>0</v>
      </c>
      <c r="Q28" s="68">
        <f>IFERROR(N28*'As-Filed Schedule 1'!$E$103,0)</f>
        <v>0</v>
      </c>
      <c r="R28" s="311">
        <f>IFERROR(P28*'Adjusted Schedule 1'!$E$104,0)</f>
        <v>0</v>
      </c>
      <c r="S28" s="68">
        <f t="shared" si="3"/>
        <v>0</v>
      </c>
      <c r="T28" s="311">
        <f t="shared" si="4"/>
        <v>0</v>
      </c>
      <c r="V28" s="120">
        <f>'As-Filed Schedule 2B'!N28</f>
        <v>0</v>
      </c>
      <c r="W28" s="314">
        <f>SUMIFS(Adjustments!$G:$G,Adjustments!$H:$H,"2B",Adjustments!$I:$I,'Schedule 2B Adjustments'!$V$12,Adjustments!$J:$J,'Schedule 2B Adjustments'!$A28)</f>
        <v>0</v>
      </c>
      <c r="X28" s="327">
        <f t="shared" si="5"/>
        <v>0</v>
      </c>
      <c r="Y28" s="120">
        <f>'As-Filed Schedule 2B'!O28</f>
        <v>0</v>
      </c>
      <c r="Z28" s="314">
        <f>SUMIFS(Adjustments!$G:$G,Adjustments!$H:$H,"2B",Adjustments!$I:$I,'Schedule 2B Adjustments'!$Y$12,Adjustments!$J:$J,'Schedule 2B Adjustments'!$A28)</f>
        <v>0</v>
      </c>
      <c r="AA28" s="327">
        <f t="shared" si="6"/>
        <v>0</v>
      </c>
    </row>
    <row r="29" spans="1:27" x14ac:dyDescent="0.35">
      <c r="A29" s="24">
        <v>15</v>
      </c>
      <c r="B29" s="513" t="str">
        <f>IF('As-Filed Schedule 2B'!B29:D29=0,"",'As-Filed Schedule 2B'!B29:D29)</f>
        <v/>
      </c>
      <c r="C29" s="513"/>
      <c r="D29" s="513"/>
      <c r="F29" s="117">
        <f>'As-Filed Schedule 2B'!F29</f>
        <v>0</v>
      </c>
      <c r="G29" s="314">
        <f>SUMIFS(Adjustments!$G:$G,Adjustments!$H:$H,"2B",Adjustments!$I:$I,'Schedule 2B Adjustments'!$F$12,Adjustments!$J:$J,'Schedule 2B Adjustments'!$A29)</f>
        <v>0</v>
      </c>
      <c r="H29" s="310">
        <f t="shared" si="0"/>
        <v>0</v>
      </c>
      <c r="I29" s="68">
        <f>IFERROR(F29*'As-Filed Schedule 1'!$E$103,0)</f>
        <v>0</v>
      </c>
      <c r="J29" s="311">
        <f>IFERROR(H29*'Adjusted Schedule 1'!$E$104,0)</f>
        <v>0</v>
      </c>
      <c r="K29" s="181">
        <f t="shared" si="1"/>
        <v>0</v>
      </c>
      <c r="L29" s="311">
        <f t="shared" si="7"/>
        <v>0</v>
      </c>
      <c r="N29" s="180">
        <f>'As-Filed Schedule 2B'!J29</f>
        <v>0</v>
      </c>
      <c r="O29" s="314">
        <f>SUMIFS(Adjustments!$G:$G,Adjustments!$H:$H,"2B",Adjustments!$I:$I,'Schedule 2B Adjustments'!$N$12,Adjustments!$J:$J,'Schedule 2B Adjustments'!$A29)</f>
        <v>0</v>
      </c>
      <c r="P29" s="310">
        <f t="shared" si="2"/>
        <v>0</v>
      </c>
      <c r="Q29" s="68">
        <f>IFERROR(N29*'As-Filed Schedule 1'!$E$103,0)</f>
        <v>0</v>
      </c>
      <c r="R29" s="311">
        <f>IFERROR(P29*'Adjusted Schedule 1'!$E$104,0)</f>
        <v>0</v>
      </c>
      <c r="S29" s="68">
        <f t="shared" si="3"/>
        <v>0</v>
      </c>
      <c r="T29" s="311">
        <f t="shared" si="4"/>
        <v>0</v>
      </c>
      <c r="V29" s="120">
        <f>'As-Filed Schedule 2B'!N29</f>
        <v>0</v>
      </c>
      <c r="W29" s="314">
        <f>SUMIFS(Adjustments!$G:$G,Adjustments!$H:$H,"2B",Adjustments!$I:$I,'Schedule 2B Adjustments'!$V$12,Adjustments!$J:$J,'Schedule 2B Adjustments'!$A29)</f>
        <v>0</v>
      </c>
      <c r="X29" s="327">
        <f t="shared" si="5"/>
        <v>0</v>
      </c>
      <c r="Y29" s="120">
        <f>'As-Filed Schedule 2B'!O29</f>
        <v>0</v>
      </c>
      <c r="Z29" s="314">
        <f>SUMIFS(Adjustments!$G:$G,Adjustments!$H:$H,"2B",Adjustments!$I:$I,'Schedule 2B Adjustments'!$Y$12,Adjustments!$J:$J,'Schedule 2B Adjustments'!$A29)</f>
        <v>0</v>
      </c>
      <c r="AA29" s="327">
        <f t="shared" si="6"/>
        <v>0</v>
      </c>
    </row>
    <row r="30" spans="1:27" x14ac:dyDescent="0.35">
      <c r="A30" s="24">
        <v>16</v>
      </c>
      <c r="B30" s="513" t="str">
        <f>IF('As-Filed Schedule 2B'!B30:D30=0,"",'As-Filed Schedule 2B'!B30:D30)</f>
        <v/>
      </c>
      <c r="C30" s="513"/>
      <c r="D30" s="513"/>
      <c r="F30" s="117">
        <f>'As-Filed Schedule 2B'!F30</f>
        <v>0</v>
      </c>
      <c r="G30" s="314">
        <f>SUMIFS(Adjustments!$G:$G,Adjustments!$H:$H,"2B",Adjustments!$I:$I,'Schedule 2B Adjustments'!$F$12,Adjustments!$J:$J,'Schedule 2B Adjustments'!$A30)</f>
        <v>0</v>
      </c>
      <c r="H30" s="310">
        <f t="shared" si="0"/>
        <v>0</v>
      </c>
      <c r="I30" s="68">
        <f>IFERROR(F30*'As-Filed Schedule 1'!$E$103,0)</f>
        <v>0</v>
      </c>
      <c r="J30" s="311">
        <f>IFERROR(H30*'Adjusted Schedule 1'!$E$104,0)</f>
        <v>0</v>
      </c>
      <c r="K30" s="181">
        <f t="shared" si="1"/>
        <v>0</v>
      </c>
      <c r="L30" s="311">
        <f t="shared" si="7"/>
        <v>0</v>
      </c>
      <c r="N30" s="180">
        <f>'As-Filed Schedule 2B'!J30</f>
        <v>0</v>
      </c>
      <c r="O30" s="314">
        <f>SUMIFS(Adjustments!$G:$G,Adjustments!$H:$H,"2B",Adjustments!$I:$I,'Schedule 2B Adjustments'!$N$12,Adjustments!$J:$J,'Schedule 2B Adjustments'!$A30)</f>
        <v>0</v>
      </c>
      <c r="P30" s="310">
        <f t="shared" si="2"/>
        <v>0</v>
      </c>
      <c r="Q30" s="68">
        <f>IFERROR(N30*'As-Filed Schedule 1'!$E$103,0)</f>
        <v>0</v>
      </c>
      <c r="R30" s="311">
        <f>IFERROR(P30*'Adjusted Schedule 1'!$E$104,0)</f>
        <v>0</v>
      </c>
      <c r="S30" s="68">
        <f t="shared" si="3"/>
        <v>0</v>
      </c>
      <c r="T30" s="311">
        <f t="shared" si="4"/>
        <v>0</v>
      </c>
      <c r="V30" s="120">
        <f>'As-Filed Schedule 2B'!N30</f>
        <v>0</v>
      </c>
      <c r="W30" s="314">
        <f>SUMIFS(Adjustments!$G:$G,Adjustments!$H:$H,"2B",Adjustments!$I:$I,'Schedule 2B Adjustments'!$V$12,Adjustments!$J:$J,'Schedule 2B Adjustments'!$A30)</f>
        <v>0</v>
      </c>
      <c r="X30" s="327">
        <f t="shared" si="5"/>
        <v>0</v>
      </c>
      <c r="Y30" s="120">
        <f>'As-Filed Schedule 2B'!O30</f>
        <v>0</v>
      </c>
      <c r="Z30" s="314">
        <f>SUMIFS(Adjustments!$G:$G,Adjustments!$H:$H,"2B",Adjustments!$I:$I,'Schedule 2B Adjustments'!$Y$12,Adjustments!$J:$J,'Schedule 2B Adjustments'!$A30)</f>
        <v>0</v>
      </c>
      <c r="AA30" s="327">
        <f t="shared" si="6"/>
        <v>0</v>
      </c>
    </row>
    <row r="31" spans="1:27" x14ac:dyDescent="0.35">
      <c r="A31" s="24">
        <v>17</v>
      </c>
      <c r="B31" s="513" t="str">
        <f>IF('As-Filed Schedule 2B'!B31:D31=0,"",'As-Filed Schedule 2B'!B31:D31)</f>
        <v/>
      </c>
      <c r="C31" s="513"/>
      <c r="D31" s="513"/>
      <c r="F31" s="117">
        <f>'As-Filed Schedule 2B'!F31</f>
        <v>0</v>
      </c>
      <c r="G31" s="314">
        <f>SUMIFS(Adjustments!$G:$G,Adjustments!$H:$H,"2B",Adjustments!$I:$I,'Schedule 2B Adjustments'!$F$12,Adjustments!$J:$J,'Schedule 2B Adjustments'!$A31)</f>
        <v>0</v>
      </c>
      <c r="H31" s="310">
        <f t="shared" si="0"/>
        <v>0</v>
      </c>
      <c r="I31" s="68">
        <f>IFERROR(F31*'As-Filed Schedule 1'!$E$103,0)</f>
        <v>0</v>
      </c>
      <c r="J31" s="311">
        <f>IFERROR(H31*'Adjusted Schedule 1'!$E$104,0)</f>
        <v>0</v>
      </c>
      <c r="K31" s="181">
        <f t="shared" si="1"/>
        <v>0</v>
      </c>
      <c r="L31" s="311">
        <f t="shared" si="7"/>
        <v>0</v>
      </c>
      <c r="N31" s="180">
        <f>'As-Filed Schedule 2B'!J31</f>
        <v>0</v>
      </c>
      <c r="O31" s="314">
        <f>SUMIFS(Adjustments!$G:$G,Adjustments!$H:$H,"2B",Adjustments!$I:$I,'Schedule 2B Adjustments'!$N$12,Adjustments!$J:$J,'Schedule 2B Adjustments'!$A31)</f>
        <v>0</v>
      </c>
      <c r="P31" s="310">
        <f t="shared" si="2"/>
        <v>0</v>
      </c>
      <c r="Q31" s="68">
        <f>IFERROR(N31*'As-Filed Schedule 1'!$E$103,0)</f>
        <v>0</v>
      </c>
      <c r="R31" s="311">
        <f>IFERROR(P31*'Adjusted Schedule 1'!$E$104,0)</f>
        <v>0</v>
      </c>
      <c r="S31" s="68">
        <f t="shared" si="3"/>
        <v>0</v>
      </c>
      <c r="T31" s="311">
        <f t="shared" si="4"/>
        <v>0</v>
      </c>
      <c r="V31" s="120">
        <f>'As-Filed Schedule 2B'!N31</f>
        <v>0</v>
      </c>
      <c r="W31" s="314">
        <f>SUMIFS(Adjustments!$G:$G,Adjustments!$H:$H,"2B",Adjustments!$I:$I,'Schedule 2B Adjustments'!$V$12,Adjustments!$J:$J,'Schedule 2B Adjustments'!$A31)</f>
        <v>0</v>
      </c>
      <c r="X31" s="327">
        <f t="shared" si="5"/>
        <v>0</v>
      </c>
      <c r="Y31" s="120">
        <f>'As-Filed Schedule 2B'!O31</f>
        <v>0</v>
      </c>
      <c r="Z31" s="314">
        <f>SUMIFS(Adjustments!$G:$G,Adjustments!$H:$H,"2B",Adjustments!$I:$I,'Schedule 2B Adjustments'!$Y$12,Adjustments!$J:$J,'Schedule 2B Adjustments'!$A31)</f>
        <v>0</v>
      </c>
      <c r="AA31" s="327">
        <f t="shared" si="6"/>
        <v>0</v>
      </c>
    </row>
    <row r="32" spans="1:27" x14ac:dyDescent="0.35">
      <c r="A32" s="24">
        <v>18</v>
      </c>
      <c r="B32" s="513" t="str">
        <f>IF('As-Filed Schedule 2B'!B32:D32=0,"",'As-Filed Schedule 2B'!B32:D32)</f>
        <v/>
      </c>
      <c r="C32" s="513"/>
      <c r="D32" s="513"/>
      <c r="F32" s="117">
        <f>'As-Filed Schedule 2B'!F32</f>
        <v>0</v>
      </c>
      <c r="G32" s="314">
        <f>SUMIFS(Adjustments!$G:$G,Adjustments!$H:$H,"2B",Adjustments!$I:$I,'Schedule 2B Adjustments'!$F$12,Adjustments!$J:$J,'Schedule 2B Adjustments'!$A32)</f>
        <v>0</v>
      </c>
      <c r="H32" s="310">
        <f t="shared" si="0"/>
        <v>0</v>
      </c>
      <c r="I32" s="68">
        <f>IFERROR(F32*'As-Filed Schedule 1'!$E$103,0)</f>
        <v>0</v>
      </c>
      <c r="J32" s="311">
        <f>IFERROR(H32*'Adjusted Schedule 1'!$E$104,0)</f>
        <v>0</v>
      </c>
      <c r="K32" s="181">
        <f t="shared" si="1"/>
        <v>0</v>
      </c>
      <c r="L32" s="311">
        <f t="shared" si="7"/>
        <v>0</v>
      </c>
      <c r="N32" s="180">
        <f>'As-Filed Schedule 2B'!J32</f>
        <v>0</v>
      </c>
      <c r="O32" s="314">
        <f>SUMIFS(Adjustments!$G:$G,Adjustments!$H:$H,"2B",Adjustments!$I:$I,'Schedule 2B Adjustments'!$N$12,Adjustments!$J:$J,'Schedule 2B Adjustments'!$A32)</f>
        <v>0</v>
      </c>
      <c r="P32" s="310">
        <f t="shared" si="2"/>
        <v>0</v>
      </c>
      <c r="Q32" s="68">
        <f>IFERROR(N32*'As-Filed Schedule 1'!$E$103,0)</f>
        <v>0</v>
      </c>
      <c r="R32" s="311">
        <f>IFERROR(P32*'Adjusted Schedule 1'!$E$104,0)</f>
        <v>0</v>
      </c>
      <c r="S32" s="68">
        <f t="shared" si="3"/>
        <v>0</v>
      </c>
      <c r="T32" s="311">
        <f t="shared" si="4"/>
        <v>0</v>
      </c>
      <c r="V32" s="120">
        <f>'As-Filed Schedule 2B'!N32</f>
        <v>0</v>
      </c>
      <c r="W32" s="314">
        <f>SUMIFS(Adjustments!$G:$G,Adjustments!$H:$H,"2B",Adjustments!$I:$I,'Schedule 2B Adjustments'!$V$12,Adjustments!$J:$J,'Schedule 2B Adjustments'!$A32)</f>
        <v>0</v>
      </c>
      <c r="X32" s="327">
        <f t="shared" si="5"/>
        <v>0</v>
      </c>
      <c r="Y32" s="120">
        <f>'As-Filed Schedule 2B'!O32</f>
        <v>0</v>
      </c>
      <c r="Z32" s="314">
        <f>SUMIFS(Adjustments!$G:$G,Adjustments!$H:$H,"2B",Adjustments!$I:$I,'Schedule 2B Adjustments'!$Y$12,Adjustments!$J:$J,'Schedule 2B Adjustments'!$A32)</f>
        <v>0</v>
      </c>
      <c r="AA32" s="327">
        <f t="shared" si="6"/>
        <v>0</v>
      </c>
    </row>
    <row r="33" spans="1:27" x14ac:dyDescent="0.35">
      <c r="A33" s="24">
        <v>19</v>
      </c>
      <c r="B33" s="513" t="str">
        <f>IF('As-Filed Schedule 2B'!B33:D33=0,"",'As-Filed Schedule 2B'!B33:D33)</f>
        <v/>
      </c>
      <c r="C33" s="513"/>
      <c r="D33" s="513"/>
      <c r="F33" s="117">
        <f>'As-Filed Schedule 2B'!F33</f>
        <v>0</v>
      </c>
      <c r="G33" s="314">
        <f>SUMIFS(Adjustments!$G:$G,Adjustments!$H:$H,"2B",Adjustments!$I:$I,'Schedule 2B Adjustments'!$F$12,Adjustments!$J:$J,'Schedule 2B Adjustments'!$A33)</f>
        <v>0</v>
      </c>
      <c r="H33" s="310">
        <f t="shared" si="0"/>
        <v>0</v>
      </c>
      <c r="I33" s="68">
        <f>IFERROR(F33*'As-Filed Schedule 1'!$E$103,0)</f>
        <v>0</v>
      </c>
      <c r="J33" s="311">
        <f>IFERROR(H33*'Adjusted Schedule 1'!$E$104,0)</f>
        <v>0</v>
      </c>
      <c r="K33" s="181">
        <f t="shared" si="1"/>
        <v>0</v>
      </c>
      <c r="L33" s="311">
        <f t="shared" si="7"/>
        <v>0</v>
      </c>
      <c r="N33" s="180">
        <f>'As-Filed Schedule 2B'!J33</f>
        <v>0</v>
      </c>
      <c r="O33" s="314">
        <f>SUMIFS(Adjustments!$G:$G,Adjustments!$H:$H,"2B",Adjustments!$I:$I,'Schedule 2B Adjustments'!$N$12,Adjustments!$J:$J,'Schedule 2B Adjustments'!$A33)</f>
        <v>0</v>
      </c>
      <c r="P33" s="310">
        <f t="shared" si="2"/>
        <v>0</v>
      </c>
      <c r="Q33" s="68">
        <f>IFERROR(N33*'As-Filed Schedule 1'!$E$103,0)</f>
        <v>0</v>
      </c>
      <c r="R33" s="311">
        <f>IFERROR(P33*'Adjusted Schedule 1'!$E$104,0)</f>
        <v>0</v>
      </c>
      <c r="S33" s="68">
        <f t="shared" si="3"/>
        <v>0</v>
      </c>
      <c r="T33" s="311">
        <f t="shared" si="4"/>
        <v>0</v>
      </c>
      <c r="V33" s="120">
        <f>'As-Filed Schedule 2B'!N33</f>
        <v>0</v>
      </c>
      <c r="W33" s="314">
        <f>SUMIFS(Adjustments!$G:$G,Adjustments!$H:$H,"2B",Adjustments!$I:$I,'Schedule 2B Adjustments'!$V$12,Adjustments!$J:$J,'Schedule 2B Adjustments'!$A33)</f>
        <v>0</v>
      </c>
      <c r="X33" s="327">
        <f t="shared" si="5"/>
        <v>0</v>
      </c>
      <c r="Y33" s="120">
        <f>'As-Filed Schedule 2B'!O33</f>
        <v>0</v>
      </c>
      <c r="Z33" s="314">
        <f>SUMIFS(Adjustments!$G:$G,Adjustments!$H:$H,"2B",Adjustments!$I:$I,'Schedule 2B Adjustments'!$Y$12,Adjustments!$J:$J,'Schedule 2B Adjustments'!$A33)</f>
        <v>0</v>
      </c>
      <c r="AA33" s="327">
        <f t="shared" si="6"/>
        <v>0</v>
      </c>
    </row>
    <row r="34" spans="1:27" x14ac:dyDescent="0.35">
      <c r="A34" s="24">
        <v>20</v>
      </c>
      <c r="B34" s="513" t="str">
        <f>IF('As-Filed Schedule 2B'!B34:D34=0,"",'As-Filed Schedule 2B'!B34:D34)</f>
        <v/>
      </c>
      <c r="C34" s="513"/>
      <c r="D34" s="513"/>
      <c r="F34" s="117">
        <f>'As-Filed Schedule 2B'!F34</f>
        <v>0</v>
      </c>
      <c r="G34" s="314">
        <f>SUMIFS(Adjustments!$G:$G,Adjustments!$H:$H,"2B",Adjustments!$I:$I,'Schedule 2B Adjustments'!$F$12,Adjustments!$J:$J,'Schedule 2B Adjustments'!$A34)</f>
        <v>0</v>
      </c>
      <c r="H34" s="310">
        <f t="shared" si="0"/>
        <v>0</v>
      </c>
      <c r="I34" s="68">
        <f>IFERROR(F34*'As-Filed Schedule 1'!$E$103,0)</f>
        <v>0</v>
      </c>
      <c r="J34" s="311">
        <f>IFERROR(H34*'Adjusted Schedule 1'!$E$104,0)</f>
        <v>0</v>
      </c>
      <c r="K34" s="181">
        <f t="shared" si="1"/>
        <v>0</v>
      </c>
      <c r="L34" s="311">
        <f t="shared" si="7"/>
        <v>0</v>
      </c>
      <c r="N34" s="180">
        <f>'As-Filed Schedule 2B'!J34</f>
        <v>0</v>
      </c>
      <c r="O34" s="314">
        <f>SUMIFS(Adjustments!$G:$G,Adjustments!$H:$H,"2B",Adjustments!$I:$I,'Schedule 2B Adjustments'!$N$12,Adjustments!$J:$J,'Schedule 2B Adjustments'!$A34)</f>
        <v>0</v>
      </c>
      <c r="P34" s="310">
        <f t="shared" si="2"/>
        <v>0</v>
      </c>
      <c r="Q34" s="68">
        <f>IFERROR(N34*'As-Filed Schedule 1'!$E$103,0)</f>
        <v>0</v>
      </c>
      <c r="R34" s="311">
        <f>IFERROR(P34*'Adjusted Schedule 1'!$E$104,0)</f>
        <v>0</v>
      </c>
      <c r="S34" s="68">
        <f t="shared" si="3"/>
        <v>0</v>
      </c>
      <c r="T34" s="311">
        <f t="shared" si="4"/>
        <v>0</v>
      </c>
      <c r="V34" s="120">
        <f>'As-Filed Schedule 2B'!N34</f>
        <v>0</v>
      </c>
      <c r="W34" s="314">
        <f>SUMIFS(Adjustments!$G:$G,Adjustments!$H:$H,"2B",Adjustments!$I:$I,'Schedule 2B Adjustments'!$V$12,Adjustments!$J:$J,'Schedule 2B Adjustments'!$A34)</f>
        <v>0</v>
      </c>
      <c r="X34" s="327">
        <f t="shared" si="5"/>
        <v>0</v>
      </c>
      <c r="Y34" s="120">
        <f>'As-Filed Schedule 2B'!O34</f>
        <v>0</v>
      </c>
      <c r="Z34" s="314">
        <f>SUMIFS(Adjustments!$G:$G,Adjustments!$H:$H,"2B",Adjustments!$I:$I,'Schedule 2B Adjustments'!$Y$12,Adjustments!$J:$J,'Schedule 2B Adjustments'!$A34)</f>
        <v>0</v>
      </c>
      <c r="AA34" s="327">
        <f t="shared" si="6"/>
        <v>0</v>
      </c>
    </row>
    <row r="35" spans="1:27" x14ac:dyDescent="0.35">
      <c r="A35" s="24">
        <v>21</v>
      </c>
      <c r="B35" s="513" t="str">
        <f>IF('As-Filed Schedule 2B'!B35:D35=0,"",'As-Filed Schedule 2B'!B35:D35)</f>
        <v/>
      </c>
      <c r="C35" s="513"/>
      <c r="D35" s="513"/>
      <c r="F35" s="117">
        <f>'As-Filed Schedule 2B'!F35</f>
        <v>0</v>
      </c>
      <c r="G35" s="314">
        <f>SUMIFS(Adjustments!$G:$G,Adjustments!$H:$H,"2B",Adjustments!$I:$I,'Schedule 2B Adjustments'!$F$12,Adjustments!$J:$J,'Schedule 2B Adjustments'!$A35)</f>
        <v>0</v>
      </c>
      <c r="H35" s="310">
        <f t="shared" si="0"/>
        <v>0</v>
      </c>
      <c r="I35" s="68">
        <f>IFERROR(F35*'As-Filed Schedule 1'!$E$103,0)</f>
        <v>0</v>
      </c>
      <c r="J35" s="311">
        <f>IFERROR(H35*'Adjusted Schedule 1'!$E$104,0)</f>
        <v>0</v>
      </c>
      <c r="K35" s="181">
        <f t="shared" si="1"/>
        <v>0</v>
      </c>
      <c r="L35" s="311">
        <f t="shared" si="7"/>
        <v>0</v>
      </c>
      <c r="N35" s="180">
        <f>'As-Filed Schedule 2B'!J35</f>
        <v>0</v>
      </c>
      <c r="O35" s="314">
        <f>SUMIFS(Adjustments!$G:$G,Adjustments!$H:$H,"2B",Adjustments!$I:$I,'Schedule 2B Adjustments'!$N$12,Adjustments!$J:$J,'Schedule 2B Adjustments'!$A35)</f>
        <v>0</v>
      </c>
      <c r="P35" s="310">
        <f t="shared" si="2"/>
        <v>0</v>
      </c>
      <c r="Q35" s="68">
        <f>IFERROR(N35*'As-Filed Schedule 1'!$E$103,0)</f>
        <v>0</v>
      </c>
      <c r="R35" s="311">
        <f>IFERROR(P35*'Adjusted Schedule 1'!$E$104,0)</f>
        <v>0</v>
      </c>
      <c r="S35" s="68">
        <f t="shared" si="3"/>
        <v>0</v>
      </c>
      <c r="T35" s="311">
        <f t="shared" si="4"/>
        <v>0</v>
      </c>
      <c r="V35" s="120">
        <f>'As-Filed Schedule 2B'!N35</f>
        <v>0</v>
      </c>
      <c r="W35" s="314">
        <f>SUMIFS(Adjustments!$G:$G,Adjustments!$H:$H,"2B",Adjustments!$I:$I,'Schedule 2B Adjustments'!$V$12,Adjustments!$J:$J,'Schedule 2B Adjustments'!$A35)</f>
        <v>0</v>
      </c>
      <c r="X35" s="327">
        <f t="shared" si="5"/>
        <v>0</v>
      </c>
      <c r="Y35" s="120">
        <f>'As-Filed Schedule 2B'!O35</f>
        <v>0</v>
      </c>
      <c r="Z35" s="314">
        <f>SUMIFS(Adjustments!$G:$G,Adjustments!$H:$H,"2B",Adjustments!$I:$I,'Schedule 2B Adjustments'!$Y$12,Adjustments!$J:$J,'Schedule 2B Adjustments'!$A35)</f>
        <v>0</v>
      </c>
      <c r="AA35" s="327">
        <f t="shared" si="6"/>
        <v>0</v>
      </c>
    </row>
    <row r="36" spans="1:27" x14ac:dyDescent="0.35">
      <c r="A36" s="24">
        <v>22</v>
      </c>
      <c r="B36" s="513" t="str">
        <f>IF('As-Filed Schedule 2B'!B36:D36=0,"",'As-Filed Schedule 2B'!B36:D36)</f>
        <v/>
      </c>
      <c r="C36" s="513"/>
      <c r="D36" s="513"/>
      <c r="F36" s="117">
        <f>'As-Filed Schedule 2B'!F36</f>
        <v>0</v>
      </c>
      <c r="G36" s="314">
        <f>SUMIFS(Adjustments!$G:$G,Adjustments!$H:$H,"2B",Adjustments!$I:$I,'Schedule 2B Adjustments'!$F$12,Adjustments!$J:$J,'Schedule 2B Adjustments'!$A36)</f>
        <v>0</v>
      </c>
      <c r="H36" s="310">
        <f t="shared" si="0"/>
        <v>0</v>
      </c>
      <c r="I36" s="68">
        <f>IFERROR(F36*'As-Filed Schedule 1'!$E$103,0)</f>
        <v>0</v>
      </c>
      <c r="J36" s="311">
        <f>IFERROR(H36*'Adjusted Schedule 1'!$E$104,0)</f>
        <v>0</v>
      </c>
      <c r="K36" s="181">
        <f t="shared" si="1"/>
        <v>0</v>
      </c>
      <c r="L36" s="311">
        <f t="shared" si="7"/>
        <v>0</v>
      </c>
      <c r="N36" s="180">
        <f>'As-Filed Schedule 2B'!J36</f>
        <v>0</v>
      </c>
      <c r="O36" s="314">
        <f>SUMIFS(Adjustments!$G:$G,Adjustments!$H:$H,"2B",Adjustments!$I:$I,'Schedule 2B Adjustments'!$N$12,Adjustments!$J:$J,'Schedule 2B Adjustments'!$A36)</f>
        <v>0</v>
      </c>
      <c r="P36" s="310">
        <f t="shared" si="2"/>
        <v>0</v>
      </c>
      <c r="Q36" s="68">
        <f>IFERROR(N36*'As-Filed Schedule 1'!$E$103,0)</f>
        <v>0</v>
      </c>
      <c r="R36" s="311">
        <f>IFERROR(P36*'Adjusted Schedule 1'!$E$104,0)</f>
        <v>0</v>
      </c>
      <c r="S36" s="68">
        <f t="shared" si="3"/>
        <v>0</v>
      </c>
      <c r="T36" s="311">
        <f t="shared" si="4"/>
        <v>0</v>
      </c>
      <c r="V36" s="120">
        <f>'As-Filed Schedule 2B'!N36</f>
        <v>0</v>
      </c>
      <c r="W36" s="314">
        <f>SUMIFS(Adjustments!$G:$G,Adjustments!$H:$H,"2B",Adjustments!$I:$I,'Schedule 2B Adjustments'!$V$12,Adjustments!$J:$J,'Schedule 2B Adjustments'!$A36)</f>
        <v>0</v>
      </c>
      <c r="X36" s="327">
        <f t="shared" si="5"/>
        <v>0</v>
      </c>
      <c r="Y36" s="120">
        <f>'As-Filed Schedule 2B'!O36</f>
        <v>0</v>
      </c>
      <c r="Z36" s="314">
        <f>SUMIFS(Adjustments!$G:$G,Adjustments!$H:$H,"2B",Adjustments!$I:$I,'Schedule 2B Adjustments'!$Y$12,Adjustments!$J:$J,'Schedule 2B Adjustments'!$A36)</f>
        <v>0</v>
      </c>
      <c r="AA36" s="327">
        <f t="shared" si="6"/>
        <v>0</v>
      </c>
    </row>
    <row r="37" spans="1:27" x14ac:dyDescent="0.35">
      <c r="A37" s="24">
        <v>23</v>
      </c>
      <c r="B37" s="513" t="str">
        <f>IF('As-Filed Schedule 2B'!B37:D37=0,"",'As-Filed Schedule 2B'!B37:D37)</f>
        <v/>
      </c>
      <c r="C37" s="513"/>
      <c r="D37" s="513"/>
      <c r="F37" s="117">
        <f>'As-Filed Schedule 2B'!F37</f>
        <v>0</v>
      </c>
      <c r="G37" s="314">
        <f>SUMIFS(Adjustments!$G:$G,Adjustments!$H:$H,"2B",Adjustments!$I:$I,'Schedule 2B Adjustments'!$F$12,Adjustments!$J:$J,'Schedule 2B Adjustments'!$A37)</f>
        <v>0</v>
      </c>
      <c r="H37" s="310">
        <f t="shared" si="0"/>
        <v>0</v>
      </c>
      <c r="I37" s="68">
        <f>IFERROR(F37*'As-Filed Schedule 1'!$E$103,0)</f>
        <v>0</v>
      </c>
      <c r="J37" s="311">
        <f>IFERROR(H37*'Adjusted Schedule 1'!$E$104,0)</f>
        <v>0</v>
      </c>
      <c r="K37" s="181">
        <f t="shared" si="1"/>
        <v>0</v>
      </c>
      <c r="L37" s="311">
        <f t="shared" si="7"/>
        <v>0</v>
      </c>
      <c r="N37" s="180">
        <f>'As-Filed Schedule 2B'!J37</f>
        <v>0</v>
      </c>
      <c r="O37" s="314">
        <f>SUMIFS(Adjustments!$G:$G,Adjustments!$H:$H,"2B",Adjustments!$I:$I,'Schedule 2B Adjustments'!$N$12,Adjustments!$J:$J,'Schedule 2B Adjustments'!$A37)</f>
        <v>0</v>
      </c>
      <c r="P37" s="310">
        <f t="shared" si="2"/>
        <v>0</v>
      </c>
      <c r="Q37" s="68">
        <f>IFERROR(N37*'As-Filed Schedule 1'!$E$103,0)</f>
        <v>0</v>
      </c>
      <c r="R37" s="311">
        <f>IFERROR(P37*'Adjusted Schedule 1'!$E$104,0)</f>
        <v>0</v>
      </c>
      <c r="S37" s="68">
        <f t="shared" si="3"/>
        <v>0</v>
      </c>
      <c r="T37" s="311">
        <f t="shared" si="4"/>
        <v>0</v>
      </c>
      <c r="V37" s="120">
        <f>'As-Filed Schedule 2B'!N37</f>
        <v>0</v>
      </c>
      <c r="W37" s="314">
        <f>SUMIFS(Adjustments!$G:$G,Adjustments!$H:$H,"2B",Adjustments!$I:$I,'Schedule 2B Adjustments'!$V$12,Adjustments!$J:$J,'Schedule 2B Adjustments'!$A37)</f>
        <v>0</v>
      </c>
      <c r="X37" s="327">
        <f t="shared" si="5"/>
        <v>0</v>
      </c>
      <c r="Y37" s="120">
        <f>'As-Filed Schedule 2B'!O37</f>
        <v>0</v>
      </c>
      <c r="Z37" s="314">
        <f>SUMIFS(Adjustments!$G:$G,Adjustments!$H:$H,"2B",Adjustments!$I:$I,'Schedule 2B Adjustments'!$Y$12,Adjustments!$J:$J,'Schedule 2B Adjustments'!$A37)</f>
        <v>0</v>
      </c>
      <c r="AA37" s="327">
        <f t="shared" si="6"/>
        <v>0</v>
      </c>
    </row>
    <row r="38" spans="1:27" x14ac:dyDescent="0.35">
      <c r="A38" s="24">
        <v>24</v>
      </c>
      <c r="B38" s="513" t="str">
        <f>IF('As-Filed Schedule 2B'!B38:D38=0,"",'As-Filed Schedule 2B'!B38:D38)</f>
        <v/>
      </c>
      <c r="C38" s="513"/>
      <c r="D38" s="513"/>
      <c r="F38" s="117">
        <f>'As-Filed Schedule 2B'!F38</f>
        <v>0</v>
      </c>
      <c r="G38" s="314">
        <f>SUMIFS(Adjustments!$G:$G,Adjustments!$H:$H,"2B",Adjustments!$I:$I,'Schedule 2B Adjustments'!$F$12,Adjustments!$J:$J,'Schedule 2B Adjustments'!$A38)</f>
        <v>0</v>
      </c>
      <c r="H38" s="310">
        <f t="shared" si="0"/>
        <v>0</v>
      </c>
      <c r="I38" s="68">
        <f>IFERROR(F38*'As-Filed Schedule 1'!$E$103,0)</f>
        <v>0</v>
      </c>
      <c r="J38" s="311">
        <f>IFERROR(H38*'Adjusted Schedule 1'!$E$104,0)</f>
        <v>0</v>
      </c>
      <c r="K38" s="181">
        <f t="shared" si="1"/>
        <v>0</v>
      </c>
      <c r="L38" s="311">
        <f t="shared" si="7"/>
        <v>0</v>
      </c>
      <c r="N38" s="180">
        <f>'As-Filed Schedule 2B'!J38</f>
        <v>0</v>
      </c>
      <c r="O38" s="314">
        <f>SUMIFS(Adjustments!$G:$G,Adjustments!$H:$H,"2B",Adjustments!$I:$I,'Schedule 2B Adjustments'!$N$12,Adjustments!$J:$J,'Schedule 2B Adjustments'!$A38)</f>
        <v>0</v>
      </c>
      <c r="P38" s="310">
        <f t="shared" si="2"/>
        <v>0</v>
      </c>
      <c r="Q38" s="68">
        <f>IFERROR(N38*'As-Filed Schedule 1'!$E$103,0)</f>
        <v>0</v>
      </c>
      <c r="R38" s="311">
        <f>IFERROR(P38*'Adjusted Schedule 1'!$E$104,0)</f>
        <v>0</v>
      </c>
      <c r="S38" s="68">
        <f t="shared" si="3"/>
        <v>0</v>
      </c>
      <c r="T38" s="311">
        <f t="shared" si="4"/>
        <v>0</v>
      </c>
      <c r="V38" s="120">
        <f>'As-Filed Schedule 2B'!N38</f>
        <v>0</v>
      </c>
      <c r="W38" s="314">
        <f>SUMIFS(Adjustments!$G:$G,Adjustments!$H:$H,"2B",Adjustments!$I:$I,'Schedule 2B Adjustments'!$V$12,Adjustments!$J:$J,'Schedule 2B Adjustments'!$A38)</f>
        <v>0</v>
      </c>
      <c r="X38" s="327">
        <f t="shared" si="5"/>
        <v>0</v>
      </c>
      <c r="Y38" s="120">
        <f>'As-Filed Schedule 2B'!O38</f>
        <v>0</v>
      </c>
      <c r="Z38" s="314">
        <f>SUMIFS(Adjustments!$G:$G,Adjustments!$H:$H,"2B",Adjustments!$I:$I,'Schedule 2B Adjustments'!$Y$12,Adjustments!$J:$J,'Schedule 2B Adjustments'!$A38)</f>
        <v>0</v>
      </c>
      <c r="AA38" s="327">
        <f t="shared" si="6"/>
        <v>0</v>
      </c>
    </row>
    <row r="39" spans="1:27" x14ac:dyDescent="0.35">
      <c r="A39" s="24">
        <v>25</v>
      </c>
      <c r="B39" s="513" t="str">
        <f>IF('As-Filed Schedule 2B'!B39:D39=0,"",'As-Filed Schedule 2B'!B39:D39)</f>
        <v/>
      </c>
      <c r="C39" s="513"/>
      <c r="D39" s="513"/>
      <c r="F39" s="117">
        <f>'As-Filed Schedule 2B'!F39</f>
        <v>0</v>
      </c>
      <c r="G39" s="314">
        <f>SUMIFS(Adjustments!$G:$G,Adjustments!$H:$H,"2B",Adjustments!$I:$I,'Schedule 2B Adjustments'!$F$12,Adjustments!$J:$J,'Schedule 2B Adjustments'!$A39)</f>
        <v>0</v>
      </c>
      <c r="H39" s="310">
        <f t="shared" si="0"/>
        <v>0</v>
      </c>
      <c r="I39" s="68">
        <f>IFERROR(F39*'As-Filed Schedule 1'!$E$103,0)</f>
        <v>0</v>
      </c>
      <c r="J39" s="311">
        <f>IFERROR(H39*'Adjusted Schedule 1'!$E$104,0)</f>
        <v>0</v>
      </c>
      <c r="K39" s="181">
        <f t="shared" si="1"/>
        <v>0</v>
      </c>
      <c r="L39" s="311">
        <f t="shared" si="7"/>
        <v>0</v>
      </c>
      <c r="N39" s="180">
        <f>'As-Filed Schedule 2B'!J39</f>
        <v>0</v>
      </c>
      <c r="O39" s="314">
        <f>SUMIFS(Adjustments!$G:$G,Adjustments!$H:$H,"2B",Adjustments!$I:$I,'Schedule 2B Adjustments'!$N$12,Adjustments!$J:$J,'Schedule 2B Adjustments'!$A39)</f>
        <v>0</v>
      </c>
      <c r="P39" s="310">
        <f t="shared" si="2"/>
        <v>0</v>
      </c>
      <c r="Q39" s="68">
        <f>IFERROR(N39*'As-Filed Schedule 1'!$E$103,0)</f>
        <v>0</v>
      </c>
      <c r="R39" s="311">
        <f>IFERROR(P39*'Adjusted Schedule 1'!$E$104,0)</f>
        <v>0</v>
      </c>
      <c r="S39" s="68">
        <f t="shared" si="3"/>
        <v>0</v>
      </c>
      <c r="T39" s="311">
        <f t="shared" si="4"/>
        <v>0</v>
      </c>
      <c r="V39" s="120">
        <f>'As-Filed Schedule 2B'!N39</f>
        <v>0</v>
      </c>
      <c r="W39" s="314">
        <f>SUMIFS(Adjustments!$G:$G,Adjustments!$H:$H,"2B",Adjustments!$I:$I,'Schedule 2B Adjustments'!$V$12,Adjustments!$J:$J,'Schedule 2B Adjustments'!$A39)</f>
        <v>0</v>
      </c>
      <c r="X39" s="327">
        <f t="shared" si="5"/>
        <v>0</v>
      </c>
      <c r="Y39" s="120">
        <f>'As-Filed Schedule 2B'!O39</f>
        <v>0</v>
      </c>
      <c r="Z39" s="314">
        <f>SUMIFS(Adjustments!$G:$G,Adjustments!$H:$H,"2B",Adjustments!$I:$I,'Schedule 2B Adjustments'!$Y$12,Adjustments!$J:$J,'Schedule 2B Adjustments'!$A39)</f>
        <v>0</v>
      </c>
      <c r="AA39" s="327">
        <f t="shared" si="6"/>
        <v>0</v>
      </c>
    </row>
    <row r="40" spans="1:27" x14ac:dyDescent="0.35">
      <c r="A40" s="24">
        <v>26</v>
      </c>
      <c r="B40" s="513" t="str">
        <f>IF('As-Filed Schedule 2B'!B40:D40=0,"",'As-Filed Schedule 2B'!B40:D40)</f>
        <v/>
      </c>
      <c r="C40" s="513"/>
      <c r="D40" s="513"/>
      <c r="F40" s="117">
        <f>'As-Filed Schedule 2B'!F40</f>
        <v>0</v>
      </c>
      <c r="G40" s="314">
        <f>SUMIFS(Adjustments!$G:$G,Adjustments!$H:$H,"2B",Adjustments!$I:$I,'Schedule 2B Adjustments'!$F$12,Adjustments!$J:$J,'Schedule 2B Adjustments'!$A40)</f>
        <v>0</v>
      </c>
      <c r="H40" s="310">
        <f t="shared" si="0"/>
        <v>0</v>
      </c>
      <c r="I40" s="68">
        <f>IFERROR(F40*'As-Filed Schedule 1'!$E$103,0)</f>
        <v>0</v>
      </c>
      <c r="J40" s="311">
        <f>IFERROR(H40*'Adjusted Schedule 1'!$E$104,0)</f>
        <v>0</v>
      </c>
      <c r="K40" s="181">
        <f t="shared" si="1"/>
        <v>0</v>
      </c>
      <c r="L40" s="311">
        <f t="shared" si="7"/>
        <v>0</v>
      </c>
      <c r="N40" s="180">
        <f>'As-Filed Schedule 2B'!J40</f>
        <v>0</v>
      </c>
      <c r="O40" s="314">
        <f>SUMIFS(Adjustments!$G:$G,Adjustments!$H:$H,"2B",Adjustments!$I:$I,'Schedule 2B Adjustments'!$N$12,Adjustments!$J:$J,'Schedule 2B Adjustments'!$A40)</f>
        <v>0</v>
      </c>
      <c r="P40" s="310">
        <f t="shared" si="2"/>
        <v>0</v>
      </c>
      <c r="Q40" s="68">
        <f>IFERROR(N40*'As-Filed Schedule 1'!$E$103,0)</f>
        <v>0</v>
      </c>
      <c r="R40" s="311">
        <f>IFERROR(P40*'Adjusted Schedule 1'!$E$104,0)</f>
        <v>0</v>
      </c>
      <c r="S40" s="68">
        <f t="shared" si="3"/>
        <v>0</v>
      </c>
      <c r="T40" s="311">
        <f t="shared" si="4"/>
        <v>0</v>
      </c>
      <c r="V40" s="120">
        <f>'As-Filed Schedule 2B'!N40</f>
        <v>0</v>
      </c>
      <c r="W40" s="314">
        <f>SUMIFS(Adjustments!$G:$G,Adjustments!$H:$H,"2B",Adjustments!$I:$I,'Schedule 2B Adjustments'!$V$12,Adjustments!$J:$J,'Schedule 2B Adjustments'!$A40)</f>
        <v>0</v>
      </c>
      <c r="X40" s="327">
        <f t="shared" si="5"/>
        <v>0</v>
      </c>
      <c r="Y40" s="120">
        <f>'As-Filed Schedule 2B'!O40</f>
        <v>0</v>
      </c>
      <c r="Z40" s="314">
        <f>SUMIFS(Adjustments!$G:$G,Adjustments!$H:$H,"2B",Adjustments!$I:$I,'Schedule 2B Adjustments'!$Y$12,Adjustments!$J:$J,'Schedule 2B Adjustments'!$A40)</f>
        <v>0</v>
      </c>
      <c r="AA40" s="327">
        <f t="shared" si="6"/>
        <v>0</v>
      </c>
    </row>
    <row r="41" spans="1:27" x14ac:dyDescent="0.35">
      <c r="A41" s="24">
        <v>27</v>
      </c>
      <c r="B41" s="513" t="str">
        <f>IF('As-Filed Schedule 2B'!B41:D41=0,"",'As-Filed Schedule 2B'!B41:D41)</f>
        <v/>
      </c>
      <c r="C41" s="513"/>
      <c r="D41" s="513"/>
      <c r="F41" s="117">
        <f>'As-Filed Schedule 2B'!F41</f>
        <v>0</v>
      </c>
      <c r="G41" s="314">
        <f>SUMIFS(Adjustments!$G:$G,Adjustments!$H:$H,"2B",Adjustments!$I:$I,'Schedule 2B Adjustments'!$F$12,Adjustments!$J:$J,'Schedule 2B Adjustments'!$A41)</f>
        <v>0</v>
      </c>
      <c r="H41" s="310">
        <f t="shared" si="0"/>
        <v>0</v>
      </c>
      <c r="I41" s="68">
        <f>IFERROR(F41*'As-Filed Schedule 1'!$E$103,0)</f>
        <v>0</v>
      </c>
      <c r="J41" s="311">
        <f>IFERROR(H41*'Adjusted Schedule 1'!$E$104,0)</f>
        <v>0</v>
      </c>
      <c r="K41" s="181">
        <f t="shared" si="1"/>
        <v>0</v>
      </c>
      <c r="L41" s="311">
        <f t="shared" si="7"/>
        <v>0</v>
      </c>
      <c r="N41" s="180">
        <f>'As-Filed Schedule 2B'!J41</f>
        <v>0</v>
      </c>
      <c r="O41" s="314">
        <f>SUMIFS(Adjustments!$G:$G,Adjustments!$H:$H,"2B",Adjustments!$I:$I,'Schedule 2B Adjustments'!$N$12,Adjustments!$J:$J,'Schedule 2B Adjustments'!$A41)</f>
        <v>0</v>
      </c>
      <c r="P41" s="310">
        <f t="shared" si="2"/>
        <v>0</v>
      </c>
      <c r="Q41" s="68">
        <f>IFERROR(N41*'As-Filed Schedule 1'!$E$103,0)</f>
        <v>0</v>
      </c>
      <c r="R41" s="311">
        <f>IFERROR(P41*'Adjusted Schedule 1'!$E$104,0)</f>
        <v>0</v>
      </c>
      <c r="S41" s="68">
        <f t="shared" si="3"/>
        <v>0</v>
      </c>
      <c r="T41" s="311">
        <f t="shared" si="4"/>
        <v>0</v>
      </c>
      <c r="V41" s="120">
        <f>'As-Filed Schedule 2B'!N41</f>
        <v>0</v>
      </c>
      <c r="W41" s="314">
        <f>SUMIFS(Adjustments!$G:$G,Adjustments!$H:$H,"2B",Adjustments!$I:$I,'Schedule 2B Adjustments'!$V$12,Adjustments!$J:$J,'Schedule 2B Adjustments'!$A41)</f>
        <v>0</v>
      </c>
      <c r="X41" s="327">
        <f t="shared" si="5"/>
        <v>0</v>
      </c>
      <c r="Y41" s="120">
        <f>'As-Filed Schedule 2B'!O41</f>
        <v>0</v>
      </c>
      <c r="Z41" s="314">
        <f>SUMIFS(Adjustments!$G:$G,Adjustments!$H:$H,"2B",Adjustments!$I:$I,'Schedule 2B Adjustments'!$Y$12,Adjustments!$J:$J,'Schedule 2B Adjustments'!$A41)</f>
        <v>0</v>
      </c>
      <c r="AA41" s="327">
        <f t="shared" si="6"/>
        <v>0</v>
      </c>
    </row>
    <row r="42" spans="1:27" x14ac:dyDescent="0.35">
      <c r="A42" s="24">
        <v>28</v>
      </c>
      <c r="B42" s="513" t="str">
        <f>IF('As-Filed Schedule 2B'!B42:D42=0,"",'As-Filed Schedule 2B'!B42:D42)</f>
        <v/>
      </c>
      <c r="C42" s="513"/>
      <c r="D42" s="513"/>
      <c r="F42" s="117">
        <f>'As-Filed Schedule 2B'!F42</f>
        <v>0</v>
      </c>
      <c r="G42" s="314">
        <f>SUMIFS(Adjustments!$G:$G,Adjustments!$H:$H,"2B",Adjustments!$I:$I,'Schedule 2B Adjustments'!$F$12,Adjustments!$J:$J,'Schedule 2B Adjustments'!$A42)</f>
        <v>0</v>
      </c>
      <c r="H42" s="310">
        <f t="shared" si="0"/>
        <v>0</v>
      </c>
      <c r="I42" s="68">
        <f>IFERROR(F42*'As-Filed Schedule 1'!$E$103,0)</f>
        <v>0</v>
      </c>
      <c r="J42" s="311">
        <f>IFERROR(H42*'Adjusted Schedule 1'!$E$104,0)</f>
        <v>0</v>
      </c>
      <c r="K42" s="181">
        <f t="shared" si="1"/>
        <v>0</v>
      </c>
      <c r="L42" s="311">
        <f t="shared" si="7"/>
        <v>0</v>
      </c>
      <c r="N42" s="180">
        <f>'As-Filed Schedule 2B'!J42</f>
        <v>0</v>
      </c>
      <c r="O42" s="314">
        <f>SUMIFS(Adjustments!$G:$G,Adjustments!$H:$H,"2B",Adjustments!$I:$I,'Schedule 2B Adjustments'!$N$12,Adjustments!$J:$J,'Schedule 2B Adjustments'!$A42)</f>
        <v>0</v>
      </c>
      <c r="P42" s="310">
        <f t="shared" si="2"/>
        <v>0</v>
      </c>
      <c r="Q42" s="68">
        <f>IFERROR(N42*'As-Filed Schedule 1'!$E$103,0)</f>
        <v>0</v>
      </c>
      <c r="R42" s="311">
        <f>IFERROR(P42*'Adjusted Schedule 1'!$E$104,0)</f>
        <v>0</v>
      </c>
      <c r="S42" s="68">
        <f t="shared" si="3"/>
        <v>0</v>
      </c>
      <c r="T42" s="311">
        <f t="shared" si="4"/>
        <v>0</v>
      </c>
      <c r="V42" s="120">
        <f>'As-Filed Schedule 2B'!N42</f>
        <v>0</v>
      </c>
      <c r="W42" s="314">
        <f>SUMIFS(Adjustments!$G:$G,Adjustments!$H:$H,"2B",Adjustments!$I:$I,'Schedule 2B Adjustments'!$V$12,Adjustments!$J:$J,'Schedule 2B Adjustments'!$A42)</f>
        <v>0</v>
      </c>
      <c r="X42" s="327">
        <f t="shared" si="5"/>
        <v>0</v>
      </c>
      <c r="Y42" s="120">
        <f>'As-Filed Schedule 2B'!O42</f>
        <v>0</v>
      </c>
      <c r="Z42" s="314">
        <f>SUMIFS(Adjustments!$G:$G,Adjustments!$H:$H,"2B",Adjustments!$I:$I,'Schedule 2B Adjustments'!$Y$12,Adjustments!$J:$J,'Schedule 2B Adjustments'!$A42)</f>
        <v>0</v>
      </c>
      <c r="AA42" s="327">
        <f t="shared" si="6"/>
        <v>0</v>
      </c>
    </row>
    <row r="43" spans="1:27" x14ac:dyDescent="0.35">
      <c r="A43" s="24">
        <v>29</v>
      </c>
      <c r="B43" s="513" t="str">
        <f>IF('As-Filed Schedule 2B'!B43:D43=0,"",'As-Filed Schedule 2B'!B43:D43)</f>
        <v/>
      </c>
      <c r="C43" s="513"/>
      <c r="D43" s="513"/>
      <c r="F43" s="117">
        <f>'As-Filed Schedule 2B'!F43</f>
        <v>0</v>
      </c>
      <c r="G43" s="314">
        <f>SUMIFS(Adjustments!$G:$G,Adjustments!$H:$H,"2B",Adjustments!$I:$I,'Schedule 2B Adjustments'!$F$12,Adjustments!$J:$J,'Schedule 2B Adjustments'!$A43)</f>
        <v>0</v>
      </c>
      <c r="H43" s="310">
        <f t="shared" si="0"/>
        <v>0</v>
      </c>
      <c r="I43" s="68">
        <f>IFERROR(F43*'As-Filed Schedule 1'!$E$103,0)</f>
        <v>0</v>
      </c>
      <c r="J43" s="311">
        <f>IFERROR(H43*'Adjusted Schedule 1'!$E$104,0)</f>
        <v>0</v>
      </c>
      <c r="K43" s="181">
        <f t="shared" si="1"/>
        <v>0</v>
      </c>
      <c r="L43" s="311">
        <f t="shared" si="7"/>
        <v>0</v>
      </c>
      <c r="N43" s="180">
        <f>'As-Filed Schedule 2B'!J43</f>
        <v>0</v>
      </c>
      <c r="O43" s="314">
        <f>SUMIFS(Adjustments!$G:$G,Adjustments!$H:$H,"2B",Adjustments!$I:$I,'Schedule 2B Adjustments'!$N$12,Adjustments!$J:$J,'Schedule 2B Adjustments'!$A43)</f>
        <v>0</v>
      </c>
      <c r="P43" s="310">
        <f t="shared" si="2"/>
        <v>0</v>
      </c>
      <c r="Q43" s="68">
        <f>IFERROR(N43*'As-Filed Schedule 1'!$E$103,0)</f>
        <v>0</v>
      </c>
      <c r="R43" s="311">
        <f>IFERROR(P43*'Adjusted Schedule 1'!$E$104,0)</f>
        <v>0</v>
      </c>
      <c r="S43" s="68">
        <f t="shared" si="3"/>
        <v>0</v>
      </c>
      <c r="T43" s="311">
        <f t="shared" si="4"/>
        <v>0</v>
      </c>
      <c r="V43" s="120">
        <f>'As-Filed Schedule 2B'!N43</f>
        <v>0</v>
      </c>
      <c r="W43" s="314">
        <f>SUMIFS(Adjustments!$G:$G,Adjustments!$H:$H,"2B",Adjustments!$I:$I,'Schedule 2B Adjustments'!$V$12,Adjustments!$J:$J,'Schedule 2B Adjustments'!$A43)</f>
        <v>0</v>
      </c>
      <c r="X43" s="327">
        <f t="shared" si="5"/>
        <v>0</v>
      </c>
      <c r="Y43" s="120">
        <f>'As-Filed Schedule 2B'!O43</f>
        <v>0</v>
      </c>
      <c r="Z43" s="314">
        <f>SUMIFS(Adjustments!$G:$G,Adjustments!$H:$H,"2B",Adjustments!$I:$I,'Schedule 2B Adjustments'!$Y$12,Adjustments!$J:$J,'Schedule 2B Adjustments'!$A43)</f>
        <v>0</v>
      </c>
      <c r="AA43" s="327">
        <f t="shared" si="6"/>
        <v>0</v>
      </c>
    </row>
    <row r="44" spans="1:27" x14ac:dyDescent="0.35">
      <c r="A44" s="24">
        <v>30</v>
      </c>
      <c r="B44" s="513" t="str">
        <f>IF('As-Filed Schedule 2B'!B44:D44=0,"",'As-Filed Schedule 2B'!B44:D44)</f>
        <v/>
      </c>
      <c r="C44" s="513"/>
      <c r="D44" s="513"/>
      <c r="F44" s="117">
        <f>'As-Filed Schedule 2B'!F44</f>
        <v>0</v>
      </c>
      <c r="G44" s="314">
        <f>SUMIFS(Adjustments!$G:$G,Adjustments!$H:$H,"2B",Adjustments!$I:$I,'Schedule 2B Adjustments'!$F$12,Adjustments!$J:$J,'Schedule 2B Adjustments'!$A44)</f>
        <v>0</v>
      </c>
      <c r="H44" s="310">
        <f t="shared" si="0"/>
        <v>0</v>
      </c>
      <c r="I44" s="68">
        <f>IFERROR(F44*'As-Filed Schedule 1'!$E$103,0)</f>
        <v>0</v>
      </c>
      <c r="J44" s="311">
        <f>IFERROR(H44*'Adjusted Schedule 1'!$E$104,0)</f>
        <v>0</v>
      </c>
      <c r="K44" s="181">
        <f t="shared" si="1"/>
        <v>0</v>
      </c>
      <c r="L44" s="311">
        <f t="shared" si="7"/>
        <v>0</v>
      </c>
      <c r="N44" s="180">
        <f>'As-Filed Schedule 2B'!J44</f>
        <v>0</v>
      </c>
      <c r="O44" s="314">
        <f>SUMIFS(Adjustments!$G:$G,Adjustments!$H:$H,"2B",Adjustments!$I:$I,'Schedule 2B Adjustments'!$N$12,Adjustments!$J:$J,'Schedule 2B Adjustments'!$A44)</f>
        <v>0</v>
      </c>
      <c r="P44" s="310">
        <f t="shared" si="2"/>
        <v>0</v>
      </c>
      <c r="Q44" s="68">
        <f>IFERROR(N44*'As-Filed Schedule 1'!$E$103,0)</f>
        <v>0</v>
      </c>
      <c r="R44" s="311">
        <f>IFERROR(P44*'Adjusted Schedule 1'!$E$104,0)</f>
        <v>0</v>
      </c>
      <c r="S44" s="68">
        <f t="shared" si="3"/>
        <v>0</v>
      </c>
      <c r="T44" s="311">
        <f t="shared" si="4"/>
        <v>0</v>
      </c>
      <c r="V44" s="120">
        <f>'As-Filed Schedule 2B'!N44</f>
        <v>0</v>
      </c>
      <c r="W44" s="314">
        <f>SUMIFS(Adjustments!$G:$G,Adjustments!$H:$H,"2B",Adjustments!$I:$I,'Schedule 2B Adjustments'!$V$12,Adjustments!$J:$J,'Schedule 2B Adjustments'!$A44)</f>
        <v>0</v>
      </c>
      <c r="X44" s="327">
        <f t="shared" si="5"/>
        <v>0</v>
      </c>
      <c r="Y44" s="120">
        <f>'As-Filed Schedule 2B'!O44</f>
        <v>0</v>
      </c>
      <c r="Z44" s="314">
        <f>SUMIFS(Adjustments!$G:$G,Adjustments!$H:$H,"2B",Adjustments!$I:$I,'Schedule 2B Adjustments'!$Y$12,Adjustments!$J:$J,'Schedule 2B Adjustments'!$A44)</f>
        <v>0</v>
      </c>
      <c r="AA44" s="327">
        <f t="shared" si="6"/>
        <v>0</v>
      </c>
    </row>
    <row r="45" spans="1:27" x14ac:dyDescent="0.35">
      <c r="A45" s="24">
        <v>31</v>
      </c>
      <c r="B45" s="513" t="str">
        <f>IF('As-Filed Schedule 2B'!B45:D45=0,"",'As-Filed Schedule 2B'!B45:D45)</f>
        <v/>
      </c>
      <c r="C45" s="513"/>
      <c r="D45" s="513"/>
      <c r="F45" s="117">
        <f>'As-Filed Schedule 2B'!F45</f>
        <v>0</v>
      </c>
      <c r="G45" s="314">
        <f>SUMIFS(Adjustments!$G:$G,Adjustments!$H:$H,"2B",Adjustments!$I:$I,'Schedule 2B Adjustments'!$F$12,Adjustments!$J:$J,'Schedule 2B Adjustments'!$A45)</f>
        <v>0</v>
      </c>
      <c r="H45" s="310">
        <f t="shared" si="0"/>
        <v>0</v>
      </c>
      <c r="I45" s="68">
        <f>IFERROR(F45*'As-Filed Schedule 1'!$E$103,0)</f>
        <v>0</v>
      </c>
      <c r="J45" s="311">
        <f>IFERROR(H45*'Adjusted Schedule 1'!$E$104,0)</f>
        <v>0</v>
      </c>
      <c r="K45" s="181">
        <f t="shared" si="1"/>
        <v>0</v>
      </c>
      <c r="L45" s="311">
        <f t="shared" si="7"/>
        <v>0</v>
      </c>
      <c r="N45" s="180">
        <f>'As-Filed Schedule 2B'!J45</f>
        <v>0</v>
      </c>
      <c r="O45" s="314">
        <f>SUMIFS(Adjustments!$G:$G,Adjustments!$H:$H,"2B",Adjustments!$I:$I,'Schedule 2B Adjustments'!$N$12,Adjustments!$J:$J,'Schedule 2B Adjustments'!$A45)</f>
        <v>0</v>
      </c>
      <c r="P45" s="310">
        <f t="shared" si="2"/>
        <v>0</v>
      </c>
      <c r="Q45" s="68">
        <f>IFERROR(N45*'As-Filed Schedule 1'!$E$103,0)</f>
        <v>0</v>
      </c>
      <c r="R45" s="311">
        <f>IFERROR(P45*'Adjusted Schedule 1'!$E$104,0)</f>
        <v>0</v>
      </c>
      <c r="S45" s="68">
        <f t="shared" si="3"/>
        <v>0</v>
      </c>
      <c r="T45" s="311">
        <f t="shared" si="4"/>
        <v>0</v>
      </c>
      <c r="V45" s="120">
        <f>'As-Filed Schedule 2B'!N45</f>
        <v>0</v>
      </c>
      <c r="W45" s="314">
        <f>SUMIFS(Adjustments!$G:$G,Adjustments!$H:$H,"2B",Adjustments!$I:$I,'Schedule 2B Adjustments'!$V$12,Adjustments!$J:$J,'Schedule 2B Adjustments'!$A45)</f>
        <v>0</v>
      </c>
      <c r="X45" s="327">
        <f t="shared" si="5"/>
        <v>0</v>
      </c>
      <c r="Y45" s="120">
        <f>'As-Filed Schedule 2B'!O45</f>
        <v>0</v>
      </c>
      <c r="Z45" s="314">
        <f>SUMIFS(Adjustments!$G:$G,Adjustments!$H:$H,"2B",Adjustments!$I:$I,'Schedule 2B Adjustments'!$Y$12,Adjustments!$J:$J,'Schedule 2B Adjustments'!$A45)</f>
        <v>0</v>
      </c>
      <c r="AA45" s="327">
        <f t="shared" si="6"/>
        <v>0</v>
      </c>
    </row>
    <row r="46" spans="1:27" x14ac:dyDescent="0.35">
      <c r="A46" s="24">
        <v>32</v>
      </c>
      <c r="B46" s="513" t="str">
        <f>IF('As-Filed Schedule 2B'!B46:D46=0,"",'As-Filed Schedule 2B'!B46:D46)</f>
        <v/>
      </c>
      <c r="C46" s="513"/>
      <c r="D46" s="513"/>
      <c r="F46" s="117">
        <f>'As-Filed Schedule 2B'!F46</f>
        <v>0</v>
      </c>
      <c r="G46" s="314">
        <f>SUMIFS(Adjustments!$G:$G,Adjustments!$H:$H,"2B",Adjustments!$I:$I,'Schedule 2B Adjustments'!$F$12,Adjustments!$J:$J,'Schedule 2B Adjustments'!$A46)</f>
        <v>0</v>
      </c>
      <c r="H46" s="310">
        <f t="shared" si="0"/>
        <v>0</v>
      </c>
      <c r="I46" s="68">
        <f>IFERROR(F46*'As-Filed Schedule 1'!$E$103,0)</f>
        <v>0</v>
      </c>
      <c r="J46" s="311">
        <f>IFERROR(H46*'Adjusted Schedule 1'!$E$104,0)</f>
        <v>0</v>
      </c>
      <c r="K46" s="181">
        <f t="shared" si="1"/>
        <v>0</v>
      </c>
      <c r="L46" s="311">
        <f t="shared" si="7"/>
        <v>0</v>
      </c>
      <c r="N46" s="180">
        <f>'As-Filed Schedule 2B'!J46</f>
        <v>0</v>
      </c>
      <c r="O46" s="314">
        <f>SUMIFS(Adjustments!$G:$G,Adjustments!$H:$H,"2B",Adjustments!$I:$I,'Schedule 2B Adjustments'!$N$12,Adjustments!$J:$J,'Schedule 2B Adjustments'!$A46)</f>
        <v>0</v>
      </c>
      <c r="P46" s="310">
        <f t="shared" si="2"/>
        <v>0</v>
      </c>
      <c r="Q46" s="68">
        <f>IFERROR(N46*'As-Filed Schedule 1'!$E$103,0)</f>
        <v>0</v>
      </c>
      <c r="R46" s="311">
        <f>IFERROR(P46*'Adjusted Schedule 1'!$E$104,0)</f>
        <v>0</v>
      </c>
      <c r="S46" s="68">
        <f t="shared" si="3"/>
        <v>0</v>
      </c>
      <c r="T46" s="311">
        <f t="shared" si="4"/>
        <v>0</v>
      </c>
      <c r="V46" s="120">
        <f>'As-Filed Schedule 2B'!N46</f>
        <v>0</v>
      </c>
      <c r="W46" s="314">
        <f>SUMIFS(Adjustments!$G:$G,Adjustments!$H:$H,"2B",Adjustments!$I:$I,'Schedule 2B Adjustments'!$V$12,Adjustments!$J:$J,'Schedule 2B Adjustments'!$A46)</f>
        <v>0</v>
      </c>
      <c r="X46" s="327">
        <f t="shared" si="5"/>
        <v>0</v>
      </c>
      <c r="Y46" s="120">
        <f>'As-Filed Schedule 2B'!O46</f>
        <v>0</v>
      </c>
      <c r="Z46" s="314">
        <f>SUMIFS(Adjustments!$G:$G,Adjustments!$H:$H,"2B",Adjustments!$I:$I,'Schedule 2B Adjustments'!$Y$12,Adjustments!$J:$J,'Schedule 2B Adjustments'!$A46)</f>
        <v>0</v>
      </c>
      <c r="AA46" s="327">
        <f t="shared" si="6"/>
        <v>0</v>
      </c>
    </row>
    <row r="47" spans="1:27" x14ac:dyDescent="0.35">
      <c r="A47" s="24">
        <v>33</v>
      </c>
      <c r="B47" s="513" t="str">
        <f>IF('As-Filed Schedule 2B'!B47:D47=0,"",'As-Filed Schedule 2B'!B47:D47)</f>
        <v/>
      </c>
      <c r="C47" s="513"/>
      <c r="D47" s="513"/>
      <c r="F47" s="117">
        <f>'As-Filed Schedule 2B'!F47</f>
        <v>0</v>
      </c>
      <c r="G47" s="314">
        <f>SUMIFS(Adjustments!$G:$G,Adjustments!$H:$H,"2B",Adjustments!$I:$I,'Schedule 2B Adjustments'!$F$12,Adjustments!$J:$J,'Schedule 2B Adjustments'!$A47)</f>
        <v>0</v>
      </c>
      <c r="H47" s="310">
        <f t="shared" si="0"/>
        <v>0</v>
      </c>
      <c r="I47" s="68">
        <f>IFERROR(F47*'As-Filed Schedule 1'!$E$103,0)</f>
        <v>0</v>
      </c>
      <c r="J47" s="311">
        <f>IFERROR(H47*'Adjusted Schedule 1'!$E$104,0)</f>
        <v>0</v>
      </c>
      <c r="K47" s="181">
        <f t="shared" si="1"/>
        <v>0</v>
      </c>
      <c r="L47" s="311">
        <f t="shared" si="7"/>
        <v>0</v>
      </c>
      <c r="N47" s="180">
        <f>'As-Filed Schedule 2B'!J47</f>
        <v>0</v>
      </c>
      <c r="O47" s="314">
        <f>SUMIFS(Adjustments!$G:$G,Adjustments!$H:$H,"2B",Adjustments!$I:$I,'Schedule 2B Adjustments'!$N$12,Adjustments!$J:$J,'Schedule 2B Adjustments'!$A47)</f>
        <v>0</v>
      </c>
      <c r="P47" s="310">
        <f t="shared" si="2"/>
        <v>0</v>
      </c>
      <c r="Q47" s="68">
        <f>IFERROR(N47*'As-Filed Schedule 1'!$E$103,0)</f>
        <v>0</v>
      </c>
      <c r="R47" s="311">
        <f>IFERROR(P47*'Adjusted Schedule 1'!$E$104,0)</f>
        <v>0</v>
      </c>
      <c r="S47" s="68">
        <f t="shared" si="3"/>
        <v>0</v>
      </c>
      <c r="T47" s="311">
        <f t="shared" si="4"/>
        <v>0</v>
      </c>
      <c r="V47" s="120">
        <f>'As-Filed Schedule 2B'!N47</f>
        <v>0</v>
      </c>
      <c r="W47" s="314">
        <f>SUMIFS(Adjustments!$G:$G,Adjustments!$H:$H,"2B",Adjustments!$I:$I,'Schedule 2B Adjustments'!$V$12,Adjustments!$J:$J,'Schedule 2B Adjustments'!$A47)</f>
        <v>0</v>
      </c>
      <c r="X47" s="327">
        <f t="shared" si="5"/>
        <v>0</v>
      </c>
      <c r="Y47" s="120">
        <f>'As-Filed Schedule 2B'!O47</f>
        <v>0</v>
      </c>
      <c r="Z47" s="314">
        <f>SUMIFS(Adjustments!$G:$G,Adjustments!$H:$H,"2B",Adjustments!$I:$I,'Schedule 2B Adjustments'!$Y$12,Adjustments!$J:$J,'Schedule 2B Adjustments'!$A47)</f>
        <v>0</v>
      </c>
      <c r="AA47" s="327">
        <f t="shared" si="6"/>
        <v>0</v>
      </c>
    </row>
    <row r="48" spans="1:27" x14ac:dyDescent="0.35">
      <c r="A48" s="24">
        <v>34</v>
      </c>
      <c r="B48" s="513" t="str">
        <f>IF('As-Filed Schedule 2B'!B48:D48=0,"",'As-Filed Schedule 2B'!B48:D48)</f>
        <v/>
      </c>
      <c r="C48" s="513"/>
      <c r="D48" s="513"/>
      <c r="F48" s="117">
        <f>'As-Filed Schedule 2B'!F48</f>
        <v>0</v>
      </c>
      <c r="G48" s="314">
        <f>SUMIFS(Adjustments!$G:$G,Adjustments!$H:$H,"2B",Adjustments!$I:$I,'Schedule 2B Adjustments'!$F$12,Adjustments!$J:$J,'Schedule 2B Adjustments'!$A48)</f>
        <v>0</v>
      </c>
      <c r="H48" s="310">
        <f t="shared" si="0"/>
        <v>0</v>
      </c>
      <c r="I48" s="68">
        <f>IFERROR(F48*'As-Filed Schedule 1'!$E$103,0)</f>
        <v>0</v>
      </c>
      <c r="J48" s="311">
        <f>IFERROR(H48*'Adjusted Schedule 1'!$E$104,0)</f>
        <v>0</v>
      </c>
      <c r="K48" s="181">
        <f t="shared" si="1"/>
        <v>0</v>
      </c>
      <c r="L48" s="311">
        <f t="shared" si="7"/>
        <v>0</v>
      </c>
      <c r="N48" s="180">
        <f>'As-Filed Schedule 2B'!J48</f>
        <v>0</v>
      </c>
      <c r="O48" s="314">
        <f>SUMIFS(Adjustments!$G:$G,Adjustments!$H:$H,"2B",Adjustments!$I:$I,'Schedule 2B Adjustments'!$N$12,Adjustments!$J:$J,'Schedule 2B Adjustments'!$A48)</f>
        <v>0</v>
      </c>
      <c r="P48" s="310">
        <f t="shared" si="2"/>
        <v>0</v>
      </c>
      <c r="Q48" s="68">
        <f>IFERROR(N48*'As-Filed Schedule 1'!$E$103,0)</f>
        <v>0</v>
      </c>
      <c r="R48" s="311">
        <f>IFERROR(P48*'Adjusted Schedule 1'!$E$104,0)</f>
        <v>0</v>
      </c>
      <c r="S48" s="68">
        <f t="shared" si="3"/>
        <v>0</v>
      </c>
      <c r="T48" s="311">
        <f t="shared" si="4"/>
        <v>0</v>
      </c>
      <c r="V48" s="120">
        <f>'As-Filed Schedule 2B'!N48</f>
        <v>0</v>
      </c>
      <c r="W48" s="314">
        <f>SUMIFS(Adjustments!$G:$G,Adjustments!$H:$H,"2B",Adjustments!$I:$I,'Schedule 2B Adjustments'!$V$12,Adjustments!$J:$J,'Schedule 2B Adjustments'!$A48)</f>
        <v>0</v>
      </c>
      <c r="X48" s="327">
        <f t="shared" si="5"/>
        <v>0</v>
      </c>
      <c r="Y48" s="120">
        <f>'As-Filed Schedule 2B'!O48</f>
        <v>0</v>
      </c>
      <c r="Z48" s="314">
        <f>SUMIFS(Adjustments!$G:$G,Adjustments!$H:$H,"2B",Adjustments!$I:$I,'Schedule 2B Adjustments'!$Y$12,Adjustments!$J:$J,'Schedule 2B Adjustments'!$A48)</f>
        <v>0</v>
      </c>
      <c r="AA48" s="327">
        <f t="shared" si="6"/>
        <v>0</v>
      </c>
    </row>
    <row r="49" spans="1:27" x14ac:dyDescent="0.35">
      <c r="A49" s="24">
        <v>35</v>
      </c>
      <c r="B49" s="513" t="str">
        <f>IF('As-Filed Schedule 2B'!B49:D49=0,"",'As-Filed Schedule 2B'!B49:D49)</f>
        <v/>
      </c>
      <c r="C49" s="513"/>
      <c r="D49" s="513"/>
      <c r="F49" s="117">
        <f>'As-Filed Schedule 2B'!F49</f>
        <v>0</v>
      </c>
      <c r="G49" s="314">
        <f>SUMIFS(Adjustments!$G:$G,Adjustments!$H:$H,"2B",Adjustments!$I:$I,'Schedule 2B Adjustments'!$F$12,Adjustments!$J:$J,'Schedule 2B Adjustments'!$A49)</f>
        <v>0</v>
      </c>
      <c r="H49" s="310">
        <f t="shared" si="0"/>
        <v>0</v>
      </c>
      <c r="I49" s="68">
        <f>IFERROR(F49*'As-Filed Schedule 1'!$E$103,0)</f>
        <v>0</v>
      </c>
      <c r="J49" s="311">
        <f>IFERROR(H49*'Adjusted Schedule 1'!$E$104,0)</f>
        <v>0</v>
      </c>
      <c r="K49" s="181">
        <f t="shared" si="1"/>
        <v>0</v>
      </c>
      <c r="L49" s="311">
        <f t="shared" si="7"/>
        <v>0</v>
      </c>
      <c r="N49" s="180">
        <f>'As-Filed Schedule 2B'!J49</f>
        <v>0</v>
      </c>
      <c r="O49" s="314">
        <f>SUMIFS(Adjustments!$G:$G,Adjustments!$H:$H,"2B",Adjustments!$I:$I,'Schedule 2B Adjustments'!$N$12,Adjustments!$J:$J,'Schedule 2B Adjustments'!$A49)</f>
        <v>0</v>
      </c>
      <c r="P49" s="310">
        <f t="shared" si="2"/>
        <v>0</v>
      </c>
      <c r="Q49" s="68">
        <f>IFERROR(N49*'As-Filed Schedule 1'!$E$103,0)</f>
        <v>0</v>
      </c>
      <c r="R49" s="311">
        <f>IFERROR(P49*'Adjusted Schedule 1'!$E$104,0)</f>
        <v>0</v>
      </c>
      <c r="S49" s="68">
        <f t="shared" si="3"/>
        <v>0</v>
      </c>
      <c r="T49" s="311">
        <f t="shared" si="4"/>
        <v>0</v>
      </c>
      <c r="V49" s="120">
        <f>'As-Filed Schedule 2B'!N49</f>
        <v>0</v>
      </c>
      <c r="W49" s="314">
        <f>SUMIFS(Adjustments!$G:$G,Adjustments!$H:$H,"2B",Adjustments!$I:$I,'Schedule 2B Adjustments'!$V$12,Adjustments!$J:$J,'Schedule 2B Adjustments'!$A49)</f>
        <v>0</v>
      </c>
      <c r="X49" s="327">
        <f t="shared" si="5"/>
        <v>0</v>
      </c>
      <c r="Y49" s="120">
        <f>'As-Filed Schedule 2B'!O49</f>
        <v>0</v>
      </c>
      <c r="Z49" s="314">
        <f>SUMIFS(Adjustments!$G:$G,Adjustments!$H:$H,"2B",Adjustments!$I:$I,'Schedule 2B Adjustments'!$Y$12,Adjustments!$J:$J,'Schedule 2B Adjustments'!$A49)</f>
        <v>0</v>
      </c>
      <c r="AA49" s="327">
        <f t="shared" si="6"/>
        <v>0</v>
      </c>
    </row>
    <row r="50" spans="1:27" x14ac:dyDescent="0.35">
      <c r="A50" s="24">
        <v>36</v>
      </c>
      <c r="B50" s="513" t="str">
        <f>IF('As-Filed Schedule 2B'!B50:D50=0,"",'As-Filed Schedule 2B'!B50:D50)</f>
        <v/>
      </c>
      <c r="C50" s="513"/>
      <c r="D50" s="513"/>
      <c r="F50" s="117">
        <f>'As-Filed Schedule 2B'!F50</f>
        <v>0</v>
      </c>
      <c r="G50" s="314">
        <f>SUMIFS(Adjustments!$G:$G,Adjustments!$H:$H,"2B",Adjustments!$I:$I,'Schedule 2B Adjustments'!$F$12,Adjustments!$J:$J,'Schedule 2B Adjustments'!$A50)</f>
        <v>0</v>
      </c>
      <c r="H50" s="310">
        <f t="shared" si="0"/>
        <v>0</v>
      </c>
      <c r="I50" s="68">
        <f>IFERROR(F50*'As-Filed Schedule 1'!$E$103,0)</f>
        <v>0</v>
      </c>
      <c r="J50" s="311">
        <f>IFERROR(H50*'Adjusted Schedule 1'!$E$104,0)</f>
        <v>0</v>
      </c>
      <c r="K50" s="181">
        <f t="shared" si="1"/>
        <v>0</v>
      </c>
      <c r="L50" s="311">
        <f t="shared" si="7"/>
        <v>0</v>
      </c>
      <c r="N50" s="180">
        <f>'As-Filed Schedule 2B'!J50</f>
        <v>0</v>
      </c>
      <c r="O50" s="314">
        <f>SUMIFS(Adjustments!$G:$G,Adjustments!$H:$H,"2B",Adjustments!$I:$I,'Schedule 2B Adjustments'!$N$12,Adjustments!$J:$J,'Schedule 2B Adjustments'!$A50)</f>
        <v>0</v>
      </c>
      <c r="P50" s="310">
        <f t="shared" si="2"/>
        <v>0</v>
      </c>
      <c r="Q50" s="68">
        <f>IFERROR(N50*'As-Filed Schedule 1'!$E$103,0)</f>
        <v>0</v>
      </c>
      <c r="R50" s="311">
        <f>IFERROR(P50*'Adjusted Schedule 1'!$E$104,0)</f>
        <v>0</v>
      </c>
      <c r="S50" s="68">
        <f t="shared" si="3"/>
        <v>0</v>
      </c>
      <c r="T50" s="311">
        <f t="shared" si="4"/>
        <v>0</v>
      </c>
      <c r="V50" s="120">
        <f>'As-Filed Schedule 2B'!N50</f>
        <v>0</v>
      </c>
      <c r="W50" s="314">
        <f>SUMIFS(Adjustments!$G:$G,Adjustments!$H:$H,"2B",Adjustments!$I:$I,'Schedule 2B Adjustments'!$V$12,Adjustments!$J:$J,'Schedule 2B Adjustments'!$A50)</f>
        <v>0</v>
      </c>
      <c r="X50" s="327">
        <f t="shared" si="5"/>
        <v>0</v>
      </c>
      <c r="Y50" s="120">
        <f>'As-Filed Schedule 2B'!O50</f>
        <v>0</v>
      </c>
      <c r="Z50" s="314">
        <f>SUMIFS(Adjustments!$G:$G,Adjustments!$H:$H,"2B",Adjustments!$I:$I,'Schedule 2B Adjustments'!$Y$12,Adjustments!$J:$J,'Schedule 2B Adjustments'!$A50)</f>
        <v>0</v>
      </c>
      <c r="AA50" s="327">
        <f t="shared" si="6"/>
        <v>0</v>
      </c>
    </row>
    <row r="51" spans="1:27" x14ac:dyDescent="0.35">
      <c r="A51" s="24">
        <v>37</v>
      </c>
      <c r="B51" s="513" t="str">
        <f>IF('As-Filed Schedule 2B'!B51:D51=0,"",'As-Filed Schedule 2B'!B51:D51)</f>
        <v/>
      </c>
      <c r="C51" s="513"/>
      <c r="D51" s="513"/>
      <c r="F51" s="117">
        <f>'As-Filed Schedule 2B'!F51</f>
        <v>0</v>
      </c>
      <c r="G51" s="314">
        <f>SUMIFS(Adjustments!$G:$G,Adjustments!$H:$H,"2B",Adjustments!$I:$I,'Schedule 2B Adjustments'!$F$12,Adjustments!$J:$J,'Schedule 2B Adjustments'!$A51)</f>
        <v>0</v>
      </c>
      <c r="H51" s="310">
        <f t="shared" si="0"/>
        <v>0</v>
      </c>
      <c r="I51" s="68">
        <f>IFERROR(F51*'As-Filed Schedule 1'!$E$103,0)</f>
        <v>0</v>
      </c>
      <c r="J51" s="311">
        <f>IFERROR(H51*'Adjusted Schedule 1'!$E$104,0)</f>
        <v>0</v>
      </c>
      <c r="K51" s="181">
        <f t="shared" si="1"/>
        <v>0</v>
      </c>
      <c r="L51" s="311">
        <f t="shared" si="7"/>
        <v>0</v>
      </c>
      <c r="N51" s="180">
        <f>'As-Filed Schedule 2B'!J51</f>
        <v>0</v>
      </c>
      <c r="O51" s="314">
        <f>SUMIFS(Adjustments!$G:$G,Adjustments!$H:$H,"2B",Adjustments!$I:$I,'Schedule 2B Adjustments'!$N$12,Adjustments!$J:$J,'Schedule 2B Adjustments'!$A51)</f>
        <v>0</v>
      </c>
      <c r="P51" s="310">
        <f t="shared" si="2"/>
        <v>0</v>
      </c>
      <c r="Q51" s="68">
        <f>IFERROR(N51*'As-Filed Schedule 1'!$E$103,0)</f>
        <v>0</v>
      </c>
      <c r="R51" s="311">
        <f>IFERROR(P51*'Adjusted Schedule 1'!$E$104,0)</f>
        <v>0</v>
      </c>
      <c r="S51" s="68">
        <f t="shared" si="3"/>
        <v>0</v>
      </c>
      <c r="T51" s="311">
        <f t="shared" si="4"/>
        <v>0</v>
      </c>
      <c r="V51" s="120">
        <f>'As-Filed Schedule 2B'!N51</f>
        <v>0</v>
      </c>
      <c r="W51" s="314">
        <f>SUMIFS(Adjustments!$G:$G,Adjustments!$H:$H,"2B",Adjustments!$I:$I,'Schedule 2B Adjustments'!$V$12,Adjustments!$J:$J,'Schedule 2B Adjustments'!$A51)</f>
        <v>0</v>
      </c>
      <c r="X51" s="327">
        <f t="shared" si="5"/>
        <v>0</v>
      </c>
      <c r="Y51" s="120">
        <f>'As-Filed Schedule 2B'!O51</f>
        <v>0</v>
      </c>
      <c r="Z51" s="314">
        <f>SUMIFS(Adjustments!$G:$G,Adjustments!$H:$H,"2B",Adjustments!$I:$I,'Schedule 2B Adjustments'!$Y$12,Adjustments!$J:$J,'Schedule 2B Adjustments'!$A51)</f>
        <v>0</v>
      </c>
      <c r="AA51" s="327">
        <f t="shared" si="6"/>
        <v>0</v>
      </c>
    </row>
    <row r="52" spans="1:27" x14ac:dyDescent="0.35">
      <c r="A52" s="24">
        <v>38</v>
      </c>
      <c r="B52" s="513" t="str">
        <f>IF('As-Filed Schedule 2B'!B52:D52=0,"",'As-Filed Schedule 2B'!B52:D52)</f>
        <v/>
      </c>
      <c r="C52" s="513"/>
      <c r="D52" s="513"/>
      <c r="F52" s="117">
        <f>'As-Filed Schedule 2B'!F52</f>
        <v>0</v>
      </c>
      <c r="G52" s="314">
        <f>SUMIFS(Adjustments!$G:$G,Adjustments!$H:$H,"2B",Adjustments!$I:$I,'Schedule 2B Adjustments'!$F$12,Adjustments!$J:$J,'Schedule 2B Adjustments'!$A52)</f>
        <v>0</v>
      </c>
      <c r="H52" s="310">
        <f t="shared" si="0"/>
        <v>0</v>
      </c>
      <c r="I52" s="68">
        <f>IFERROR(F52*'As-Filed Schedule 1'!$E$103,0)</f>
        <v>0</v>
      </c>
      <c r="J52" s="311">
        <f>IFERROR(H52*'Adjusted Schedule 1'!$E$104,0)</f>
        <v>0</v>
      </c>
      <c r="K52" s="181">
        <f t="shared" si="1"/>
        <v>0</v>
      </c>
      <c r="L52" s="311">
        <f t="shared" si="7"/>
        <v>0</v>
      </c>
      <c r="N52" s="180">
        <f>'As-Filed Schedule 2B'!J52</f>
        <v>0</v>
      </c>
      <c r="O52" s="314">
        <f>SUMIFS(Adjustments!$G:$G,Adjustments!$H:$H,"2B",Adjustments!$I:$I,'Schedule 2B Adjustments'!$N$12,Adjustments!$J:$J,'Schedule 2B Adjustments'!$A52)</f>
        <v>0</v>
      </c>
      <c r="P52" s="310">
        <f t="shared" si="2"/>
        <v>0</v>
      </c>
      <c r="Q52" s="68">
        <f>IFERROR(N52*'As-Filed Schedule 1'!$E$103,0)</f>
        <v>0</v>
      </c>
      <c r="R52" s="311">
        <f>IFERROR(P52*'Adjusted Schedule 1'!$E$104,0)</f>
        <v>0</v>
      </c>
      <c r="S52" s="68">
        <f t="shared" si="3"/>
        <v>0</v>
      </c>
      <c r="T52" s="311">
        <f t="shared" si="4"/>
        <v>0</v>
      </c>
      <c r="V52" s="120">
        <f>'As-Filed Schedule 2B'!N52</f>
        <v>0</v>
      </c>
      <c r="W52" s="314">
        <f>SUMIFS(Adjustments!$G:$G,Adjustments!$H:$H,"2B",Adjustments!$I:$I,'Schedule 2B Adjustments'!$V$12,Adjustments!$J:$J,'Schedule 2B Adjustments'!$A52)</f>
        <v>0</v>
      </c>
      <c r="X52" s="327">
        <f t="shared" si="5"/>
        <v>0</v>
      </c>
      <c r="Y52" s="120">
        <f>'As-Filed Schedule 2B'!O52</f>
        <v>0</v>
      </c>
      <c r="Z52" s="314">
        <f>SUMIFS(Adjustments!$G:$G,Adjustments!$H:$H,"2B",Adjustments!$I:$I,'Schedule 2B Adjustments'!$Y$12,Adjustments!$J:$J,'Schedule 2B Adjustments'!$A52)</f>
        <v>0</v>
      </c>
      <c r="AA52" s="327">
        <f t="shared" si="6"/>
        <v>0</v>
      </c>
    </row>
    <row r="53" spans="1:27" x14ac:dyDescent="0.35">
      <c r="A53" s="24">
        <v>39</v>
      </c>
      <c r="B53" s="513" t="str">
        <f>IF('As-Filed Schedule 2B'!B53:D53=0,"",'As-Filed Schedule 2B'!B53:D53)</f>
        <v/>
      </c>
      <c r="C53" s="513"/>
      <c r="D53" s="513"/>
      <c r="F53" s="117">
        <f>'As-Filed Schedule 2B'!F53</f>
        <v>0</v>
      </c>
      <c r="G53" s="314">
        <f>SUMIFS(Adjustments!$G:$G,Adjustments!$H:$H,"2B",Adjustments!$I:$I,'Schedule 2B Adjustments'!$F$12,Adjustments!$J:$J,'Schedule 2B Adjustments'!$A53)</f>
        <v>0</v>
      </c>
      <c r="H53" s="310">
        <f t="shared" si="0"/>
        <v>0</v>
      </c>
      <c r="I53" s="68">
        <f>IFERROR(F53*'As-Filed Schedule 1'!$E$103,0)</f>
        <v>0</v>
      </c>
      <c r="J53" s="311">
        <f>IFERROR(H53*'Adjusted Schedule 1'!$E$104,0)</f>
        <v>0</v>
      </c>
      <c r="K53" s="181">
        <f t="shared" si="1"/>
        <v>0</v>
      </c>
      <c r="L53" s="311">
        <f t="shared" si="7"/>
        <v>0</v>
      </c>
      <c r="N53" s="180">
        <f>'As-Filed Schedule 2B'!J53</f>
        <v>0</v>
      </c>
      <c r="O53" s="314">
        <f>SUMIFS(Adjustments!$G:$G,Adjustments!$H:$H,"2B",Adjustments!$I:$I,'Schedule 2B Adjustments'!$N$12,Adjustments!$J:$J,'Schedule 2B Adjustments'!$A53)</f>
        <v>0</v>
      </c>
      <c r="P53" s="310">
        <f t="shared" si="2"/>
        <v>0</v>
      </c>
      <c r="Q53" s="68">
        <f>IFERROR(N53*'As-Filed Schedule 1'!$E$103,0)</f>
        <v>0</v>
      </c>
      <c r="R53" s="311">
        <f>IFERROR(P53*'Adjusted Schedule 1'!$E$104,0)</f>
        <v>0</v>
      </c>
      <c r="S53" s="68">
        <f t="shared" si="3"/>
        <v>0</v>
      </c>
      <c r="T53" s="311">
        <f t="shared" si="4"/>
        <v>0</v>
      </c>
      <c r="V53" s="120">
        <f>'As-Filed Schedule 2B'!N53</f>
        <v>0</v>
      </c>
      <c r="W53" s="314">
        <f>SUMIFS(Adjustments!$G:$G,Adjustments!$H:$H,"2B",Adjustments!$I:$I,'Schedule 2B Adjustments'!$V$12,Adjustments!$J:$J,'Schedule 2B Adjustments'!$A53)</f>
        <v>0</v>
      </c>
      <c r="X53" s="327">
        <f t="shared" si="5"/>
        <v>0</v>
      </c>
      <c r="Y53" s="120">
        <f>'As-Filed Schedule 2B'!O53</f>
        <v>0</v>
      </c>
      <c r="Z53" s="314">
        <f>SUMIFS(Adjustments!$G:$G,Adjustments!$H:$H,"2B",Adjustments!$I:$I,'Schedule 2B Adjustments'!$Y$12,Adjustments!$J:$J,'Schedule 2B Adjustments'!$A53)</f>
        <v>0</v>
      </c>
      <c r="AA53" s="327">
        <f t="shared" si="6"/>
        <v>0</v>
      </c>
    </row>
    <row r="54" spans="1:27" x14ac:dyDescent="0.35">
      <c r="A54" s="24">
        <v>40</v>
      </c>
      <c r="B54" s="513" t="str">
        <f>IF('As-Filed Schedule 2B'!B54:D54=0,"",'As-Filed Schedule 2B'!B54:D54)</f>
        <v/>
      </c>
      <c r="C54" s="513"/>
      <c r="D54" s="513"/>
      <c r="F54" s="117">
        <f>'As-Filed Schedule 2B'!F54</f>
        <v>0</v>
      </c>
      <c r="G54" s="314">
        <f>SUMIFS(Adjustments!$G:$G,Adjustments!$H:$H,"2B",Adjustments!$I:$I,'Schedule 2B Adjustments'!$F$12,Adjustments!$J:$J,'Schedule 2B Adjustments'!$A54)</f>
        <v>0</v>
      </c>
      <c r="H54" s="310">
        <f t="shared" si="0"/>
        <v>0</v>
      </c>
      <c r="I54" s="68">
        <f>IFERROR(F54*'As-Filed Schedule 1'!$E$103,0)</f>
        <v>0</v>
      </c>
      <c r="J54" s="311">
        <f>IFERROR(H54*'Adjusted Schedule 1'!$E$104,0)</f>
        <v>0</v>
      </c>
      <c r="K54" s="181">
        <f t="shared" si="1"/>
        <v>0</v>
      </c>
      <c r="L54" s="311">
        <f t="shared" si="7"/>
        <v>0</v>
      </c>
      <c r="N54" s="180">
        <f>'As-Filed Schedule 2B'!J54</f>
        <v>0</v>
      </c>
      <c r="O54" s="314">
        <f>SUMIFS(Adjustments!$G:$G,Adjustments!$H:$H,"2B",Adjustments!$I:$I,'Schedule 2B Adjustments'!$N$12,Adjustments!$J:$J,'Schedule 2B Adjustments'!$A54)</f>
        <v>0</v>
      </c>
      <c r="P54" s="310">
        <f t="shared" si="2"/>
        <v>0</v>
      </c>
      <c r="Q54" s="68">
        <f>IFERROR(N54*'As-Filed Schedule 1'!$E$103,0)</f>
        <v>0</v>
      </c>
      <c r="R54" s="311">
        <f>IFERROR(P54*'Adjusted Schedule 1'!$E$104,0)</f>
        <v>0</v>
      </c>
      <c r="S54" s="68">
        <f t="shared" si="3"/>
        <v>0</v>
      </c>
      <c r="T54" s="311">
        <f t="shared" si="4"/>
        <v>0</v>
      </c>
      <c r="V54" s="120">
        <f>'As-Filed Schedule 2B'!N54</f>
        <v>0</v>
      </c>
      <c r="W54" s="314">
        <f>SUMIFS(Adjustments!$G:$G,Adjustments!$H:$H,"2B",Adjustments!$I:$I,'Schedule 2B Adjustments'!$V$12,Adjustments!$J:$J,'Schedule 2B Adjustments'!$A54)</f>
        <v>0</v>
      </c>
      <c r="X54" s="327">
        <f t="shared" si="5"/>
        <v>0</v>
      </c>
      <c r="Y54" s="120">
        <f>'As-Filed Schedule 2B'!O54</f>
        <v>0</v>
      </c>
      <c r="Z54" s="314">
        <f>SUMIFS(Adjustments!$G:$G,Adjustments!$H:$H,"2B",Adjustments!$I:$I,'Schedule 2B Adjustments'!$Y$12,Adjustments!$J:$J,'Schedule 2B Adjustments'!$A54)</f>
        <v>0</v>
      </c>
      <c r="AA54" s="327">
        <f t="shared" si="6"/>
        <v>0</v>
      </c>
    </row>
    <row r="55" spans="1:27" x14ac:dyDescent="0.35">
      <c r="A55" s="24">
        <v>41</v>
      </c>
      <c r="B55" s="513" t="str">
        <f>IF('As-Filed Schedule 2B'!B55:D55=0,"",'As-Filed Schedule 2B'!B55:D55)</f>
        <v/>
      </c>
      <c r="C55" s="513"/>
      <c r="D55" s="513"/>
      <c r="F55" s="117">
        <f>'As-Filed Schedule 2B'!F55</f>
        <v>0</v>
      </c>
      <c r="G55" s="314">
        <f>SUMIFS(Adjustments!$G:$G,Adjustments!$H:$H,"2B",Adjustments!$I:$I,'Schedule 2B Adjustments'!$F$12,Adjustments!$J:$J,'Schedule 2B Adjustments'!$A55)</f>
        <v>0</v>
      </c>
      <c r="H55" s="310">
        <f t="shared" si="0"/>
        <v>0</v>
      </c>
      <c r="I55" s="68">
        <f>IFERROR(F55*'As-Filed Schedule 1'!$E$103,0)</f>
        <v>0</v>
      </c>
      <c r="J55" s="311">
        <f>IFERROR(H55*'Adjusted Schedule 1'!$E$104,0)</f>
        <v>0</v>
      </c>
      <c r="K55" s="181">
        <f t="shared" si="1"/>
        <v>0</v>
      </c>
      <c r="L55" s="311">
        <f t="shared" si="7"/>
        <v>0</v>
      </c>
      <c r="N55" s="180">
        <f>'As-Filed Schedule 2B'!J55</f>
        <v>0</v>
      </c>
      <c r="O55" s="314">
        <f>SUMIFS(Adjustments!$G:$G,Adjustments!$H:$H,"2B",Adjustments!$I:$I,'Schedule 2B Adjustments'!$N$12,Adjustments!$J:$J,'Schedule 2B Adjustments'!$A55)</f>
        <v>0</v>
      </c>
      <c r="P55" s="310">
        <f t="shared" si="2"/>
        <v>0</v>
      </c>
      <c r="Q55" s="68">
        <f>IFERROR(N55*'As-Filed Schedule 1'!$E$103,0)</f>
        <v>0</v>
      </c>
      <c r="R55" s="311">
        <f>IFERROR(P55*'Adjusted Schedule 1'!$E$104,0)</f>
        <v>0</v>
      </c>
      <c r="S55" s="68">
        <f t="shared" si="3"/>
        <v>0</v>
      </c>
      <c r="T55" s="311">
        <f t="shared" si="4"/>
        <v>0</v>
      </c>
      <c r="V55" s="120">
        <f>'As-Filed Schedule 2B'!N55</f>
        <v>0</v>
      </c>
      <c r="W55" s="314">
        <f>SUMIFS(Adjustments!$G:$G,Adjustments!$H:$H,"2B",Adjustments!$I:$I,'Schedule 2B Adjustments'!$V$12,Adjustments!$J:$J,'Schedule 2B Adjustments'!$A55)</f>
        <v>0</v>
      </c>
      <c r="X55" s="327">
        <f t="shared" si="5"/>
        <v>0</v>
      </c>
      <c r="Y55" s="120">
        <f>'As-Filed Schedule 2B'!O55</f>
        <v>0</v>
      </c>
      <c r="Z55" s="314">
        <f>SUMIFS(Adjustments!$G:$G,Adjustments!$H:$H,"2B",Adjustments!$I:$I,'Schedule 2B Adjustments'!$Y$12,Adjustments!$J:$J,'Schedule 2B Adjustments'!$A55)</f>
        <v>0</v>
      </c>
      <c r="AA55" s="327">
        <f t="shared" si="6"/>
        <v>0</v>
      </c>
    </row>
    <row r="56" spans="1:27" x14ac:dyDescent="0.35">
      <c r="A56" s="24">
        <v>42</v>
      </c>
      <c r="B56" s="513" t="str">
        <f>IF('As-Filed Schedule 2B'!B56:D56=0,"",'As-Filed Schedule 2B'!B56:D56)</f>
        <v/>
      </c>
      <c r="C56" s="513"/>
      <c r="D56" s="513"/>
      <c r="F56" s="117">
        <f>'As-Filed Schedule 2B'!F56</f>
        <v>0</v>
      </c>
      <c r="G56" s="314">
        <f>SUMIFS(Adjustments!$G:$G,Adjustments!$H:$H,"2B",Adjustments!$I:$I,'Schedule 2B Adjustments'!$F$12,Adjustments!$J:$J,'Schedule 2B Adjustments'!$A56)</f>
        <v>0</v>
      </c>
      <c r="H56" s="310">
        <f t="shared" si="0"/>
        <v>0</v>
      </c>
      <c r="I56" s="68">
        <f>IFERROR(F56*'As-Filed Schedule 1'!$E$103,0)</f>
        <v>0</v>
      </c>
      <c r="J56" s="311">
        <f>IFERROR(H56*'Adjusted Schedule 1'!$E$104,0)</f>
        <v>0</v>
      </c>
      <c r="K56" s="181">
        <f t="shared" si="1"/>
        <v>0</v>
      </c>
      <c r="L56" s="311">
        <f t="shared" si="7"/>
        <v>0</v>
      </c>
      <c r="N56" s="180">
        <f>'As-Filed Schedule 2B'!J56</f>
        <v>0</v>
      </c>
      <c r="O56" s="314">
        <f>SUMIFS(Adjustments!$G:$G,Adjustments!$H:$H,"2B",Adjustments!$I:$I,'Schedule 2B Adjustments'!$N$12,Adjustments!$J:$J,'Schedule 2B Adjustments'!$A56)</f>
        <v>0</v>
      </c>
      <c r="P56" s="310">
        <f t="shared" si="2"/>
        <v>0</v>
      </c>
      <c r="Q56" s="68">
        <f>IFERROR(N56*'As-Filed Schedule 1'!$E$103,0)</f>
        <v>0</v>
      </c>
      <c r="R56" s="311">
        <f>IFERROR(P56*'Adjusted Schedule 1'!$E$104,0)</f>
        <v>0</v>
      </c>
      <c r="S56" s="68">
        <f t="shared" si="3"/>
        <v>0</v>
      </c>
      <c r="T56" s="311">
        <f t="shared" si="4"/>
        <v>0</v>
      </c>
      <c r="V56" s="120">
        <f>'As-Filed Schedule 2B'!N56</f>
        <v>0</v>
      </c>
      <c r="W56" s="314">
        <f>SUMIFS(Adjustments!$G:$G,Adjustments!$H:$H,"2B",Adjustments!$I:$I,'Schedule 2B Adjustments'!$V$12,Adjustments!$J:$J,'Schedule 2B Adjustments'!$A56)</f>
        <v>0</v>
      </c>
      <c r="X56" s="327">
        <f t="shared" si="5"/>
        <v>0</v>
      </c>
      <c r="Y56" s="120">
        <f>'As-Filed Schedule 2B'!O56</f>
        <v>0</v>
      </c>
      <c r="Z56" s="314">
        <f>SUMIFS(Adjustments!$G:$G,Adjustments!$H:$H,"2B",Adjustments!$I:$I,'Schedule 2B Adjustments'!$Y$12,Adjustments!$J:$J,'Schedule 2B Adjustments'!$A56)</f>
        <v>0</v>
      </c>
      <c r="AA56" s="327">
        <f t="shared" si="6"/>
        <v>0</v>
      </c>
    </row>
    <row r="57" spans="1:27" x14ac:dyDescent="0.35">
      <c r="A57" s="24">
        <v>43</v>
      </c>
      <c r="B57" s="513" t="str">
        <f>IF('As-Filed Schedule 2B'!B57:D57=0,"",'As-Filed Schedule 2B'!B57:D57)</f>
        <v/>
      </c>
      <c r="C57" s="513"/>
      <c r="D57" s="513"/>
      <c r="F57" s="117">
        <f>'As-Filed Schedule 2B'!F57</f>
        <v>0</v>
      </c>
      <c r="G57" s="314">
        <f>SUMIFS(Adjustments!$G:$G,Adjustments!$H:$H,"2B",Adjustments!$I:$I,'Schedule 2B Adjustments'!$F$12,Adjustments!$J:$J,'Schedule 2B Adjustments'!$A57)</f>
        <v>0</v>
      </c>
      <c r="H57" s="310">
        <f t="shared" si="0"/>
        <v>0</v>
      </c>
      <c r="I57" s="68">
        <f>IFERROR(F57*'As-Filed Schedule 1'!$E$103,0)</f>
        <v>0</v>
      </c>
      <c r="J57" s="311">
        <f>IFERROR(H57*'Adjusted Schedule 1'!$E$104,0)</f>
        <v>0</v>
      </c>
      <c r="K57" s="181">
        <f t="shared" si="1"/>
        <v>0</v>
      </c>
      <c r="L57" s="311">
        <f t="shared" si="7"/>
        <v>0</v>
      </c>
      <c r="N57" s="180">
        <f>'As-Filed Schedule 2B'!J57</f>
        <v>0</v>
      </c>
      <c r="O57" s="314">
        <f>SUMIFS(Adjustments!$G:$G,Adjustments!$H:$H,"2B",Adjustments!$I:$I,'Schedule 2B Adjustments'!$N$12,Adjustments!$J:$J,'Schedule 2B Adjustments'!$A57)</f>
        <v>0</v>
      </c>
      <c r="P57" s="310">
        <f t="shared" si="2"/>
        <v>0</v>
      </c>
      <c r="Q57" s="68">
        <f>IFERROR(N57*'As-Filed Schedule 1'!$E$103,0)</f>
        <v>0</v>
      </c>
      <c r="R57" s="311">
        <f>IFERROR(P57*'Adjusted Schedule 1'!$E$104,0)</f>
        <v>0</v>
      </c>
      <c r="S57" s="68">
        <f t="shared" si="3"/>
        <v>0</v>
      </c>
      <c r="T57" s="311">
        <f t="shared" si="4"/>
        <v>0</v>
      </c>
      <c r="V57" s="120">
        <f>'As-Filed Schedule 2B'!N57</f>
        <v>0</v>
      </c>
      <c r="W57" s="314">
        <f>SUMIFS(Adjustments!$G:$G,Adjustments!$H:$H,"2B",Adjustments!$I:$I,'Schedule 2B Adjustments'!$V$12,Adjustments!$J:$J,'Schedule 2B Adjustments'!$A57)</f>
        <v>0</v>
      </c>
      <c r="X57" s="327">
        <f t="shared" si="5"/>
        <v>0</v>
      </c>
      <c r="Y57" s="120">
        <f>'As-Filed Schedule 2B'!O57</f>
        <v>0</v>
      </c>
      <c r="Z57" s="314">
        <f>SUMIFS(Adjustments!$G:$G,Adjustments!$H:$H,"2B",Adjustments!$I:$I,'Schedule 2B Adjustments'!$Y$12,Adjustments!$J:$J,'Schedule 2B Adjustments'!$A57)</f>
        <v>0</v>
      </c>
      <c r="AA57" s="327">
        <f t="shared" si="6"/>
        <v>0</v>
      </c>
    </row>
    <row r="58" spans="1:27" x14ac:dyDescent="0.35">
      <c r="A58" s="24">
        <v>44</v>
      </c>
      <c r="B58" s="513" t="str">
        <f>IF('As-Filed Schedule 2B'!B58:D58=0,"",'As-Filed Schedule 2B'!B58:D58)</f>
        <v/>
      </c>
      <c r="C58" s="513"/>
      <c r="D58" s="513"/>
      <c r="F58" s="117">
        <f>'As-Filed Schedule 2B'!F58</f>
        <v>0</v>
      </c>
      <c r="G58" s="314">
        <f>SUMIFS(Adjustments!$G:$G,Adjustments!$H:$H,"2B",Adjustments!$I:$I,'Schedule 2B Adjustments'!$F$12,Adjustments!$J:$J,'Schedule 2B Adjustments'!$A58)</f>
        <v>0</v>
      </c>
      <c r="H58" s="310">
        <f t="shared" si="0"/>
        <v>0</v>
      </c>
      <c r="I58" s="68">
        <f>IFERROR(F58*'As-Filed Schedule 1'!$E$103,0)</f>
        <v>0</v>
      </c>
      <c r="J58" s="311">
        <f>IFERROR(H58*'Adjusted Schedule 1'!$E$104,0)</f>
        <v>0</v>
      </c>
      <c r="K58" s="181">
        <f t="shared" si="1"/>
        <v>0</v>
      </c>
      <c r="L58" s="311">
        <f t="shared" si="7"/>
        <v>0</v>
      </c>
      <c r="N58" s="180">
        <f>'As-Filed Schedule 2B'!J58</f>
        <v>0</v>
      </c>
      <c r="O58" s="314">
        <f>SUMIFS(Adjustments!$G:$G,Adjustments!$H:$H,"2B",Adjustments!$I:$I,'Schedule 2B Adjustments'!$N$12,Adjustments!$J:$J,'Schedule 2B Adjustments'!$A58)</f>
        <v>0</v>
      </c>
      <c r="P58" s="310">
        <f t="shared" si="2"/>
        <v>0</v>
      </c>
      <c r="Q58" s="68">
        <f>IFERROR(N58*'As-Filed Schedule 1'!$E$103,0)</f>
        <v>0</v>
      </c>
      <c r="R58" s="311">
        <f>IFERROR(P58*'Adjusted Schedule 1'!$E$104,0)</f>
        <v>0</v>
      </c>
      <c r="S58" s="68">
        <f t="shared" si="3"/>
        <v>0</v>
      </c>
      <c r="T58" s="311">
        <f t="shared" si="4"/>
        <v>0</v>
      </c>
      <c r="V58" s="120">
        <f>'As-Filed Schedule 2B'!N58</f>
        <v>0</v>
      </c>
      <c r="W58" s="314">
        <f>SUMIFS(Adjustments!$G:$G,Adjustments!$H:$H,"2B",Adjustments!$I:$I,'Schedule 2B Adjustments'!$V$12,Adjustments!$J:$J,'Schedule 2B Adjustments'!$A58)</f>
        <v>0</v>
      </c>
      <c r="X58" s="327">
        <f t="shared" si="5"/>
        <v>0</v>
      </c>
      <c r="Y58" s="120">
        <f>'As-Filed Schedule 2B'!O58</f>
        <v>0</v>
      </c>
      <c r="Z58" s="314">
        <f>SUMIFS(Adjustments!$G:$G,Adjustments!$H:$H,"2B",Adjustments!$I:$I,'Schedule 2B Adjustments'!$Y$12,Adjustments!$J:$J,'Schedule 2B Adjustments'!$A58)</f>
        <v>0</v>
      </c>
      <c r="AA58" s="327">
        <f t="shared" si="6"/>
        <v>0</v>
      </c>
    </row>
    <row r="59" spans="1:27" x14ac:dyDescent="0.35">
      <c r="A59" s="24">
        <v>45</v>
      </c>
      <c r="B59" s="513" t="str">
        <f>IF('As-Filed Schedule 2B'!B59:D59=0,"",'As-Filed Schedule 2B'!B59:D59)</f>
        <v/>
      </c>
      <c r="C59" s="513"/>
      <c r="D59" s="513"/>
      <c r="F59" s="117">
        <f>'As-Filed Schedule 2B'!F59</f>
        <v>0</v>
      </c>
      <c r="G59" s="314">
        <f>SUMIFS(Adjustments!$G:$G,Adjustments!$H:$H,"2B",Adjustments!$I:$I,'Schedule 2B Adjustments'!$F$12,Adjustments!$J:$J,'Schedule 2B Adjustments'!$A59)</f>
        <v>0</v>
      </c>
      <c r="H59" s="310">
        <f t="shared" si="0"/>
        <v>0</v>
      </c>
      <c r="I59" s="68">
        <f>IFERROR(F59*'As-Filed Schedule 1'!$E$103,0)</f>
        <v>0</v>
      </c>
      <c r="J59" s="311">
        <f>IFERROR(H59*'Adjusted Schedule 1'!$E$104,0)</f>
        <v>0</v>
      </c>
      <c r="K59" s="181">
        <f t="shared" si="1"/>
        <v>0</v>
      </c>
      <c r="L59" s="311">
        <f t="shared" si="7"/>
        <v>0</v>
      </c>
      <c r="N59" s="180">
        <f>'As-Filed Schedule 2B'!J59</f>
        <v>0</v>
      </c>
      <c r="O59" s="314">
        <f>SUMIFS(Adjustments!$G:$G,Adjustments!$H:$H,"2B",Adjustments!$I:$I,'Schedule 2B Adjustments'!$N$12,Adjustments!$J:$J,'Schedule 2B Adjustments'!$A59)</f>
        <v>0</v>
      </c>
      <c r="P59" s="310">
        <f t="shared" si="2"/>
        <v>0</v>
      </c>
      <c r="Q59" s="68">
        <f>IFERROR(N59*'As-Filed Schedule 1'!$E$103,0)</f>
        <v>0</v>
      </c>
      <c r="R59" s="311">
        <f>IFERROR(P59*'Adjusted Schedule 1'!$E$104,0)</f>
        <v>0</v>
      </c>
      <c r="S59" s="68">
        <f t="shared" si="3"/>
        <v>0</v>
      </c>
      <c r="T59" s="311">
        <f t="shared" si="4"/>
        <v>0</v>
      </c>
      <c r="V59" s="120">
        <f>'As-Filed Schedule 2B'!N59</f>
        <v>0</v>
      </c>
      <c r="W59" s="314">
        <f>SUMIFS(Adjustments!$G:$G,Adjustments!$H:$H,"2B",Adjustments!$I:$I,'Schedule 2B Adjustments'!$V$12,Adjustments!$J:$J,'Schedule 2B Adjustments'!$A59)</f>
        <v>0</v>
      </c>
      <c r="X59" s="327">
        <f t="shared" si="5"/>
        <v>0</v>
      </c>
      <c r="Y59" s="120">
        <f>'As-Filed Schedule 2B'!O59</f>
        <v>0</v>
      </c>
      <c r="Z59" s="314">
        <f>SUMIFS(Adjustments!$G:$G,Adjustments!$H:$H,"2B",Adjustments!$I:$I,'Schedule 2B Adjustments'!$Y$12,Adjustments!$J:$J,'Schedule 2B Adjustments'!$A59)</f>
        <v>0</v>
      </c>
      <c r="AA59" s="327">
        <f t="shared" si="6"/>
        <v>0</v>
      </c>
    </row>
    <row r="60" spans="1:27" x14ac:dyDescent="0.35">
      <c r="A60" s="24">
        <v>46</v>
      </c>
      <c r="B60" s="513" t="str">
        <f>IF('As-Filed Schedule 2B'!B60:D60=0,"",'As-Filed Schedule 2B'!B60:D60)</f>
        <v/>
      </c>
      <c r="C60" s="513"/>
      <c r="D60" s="513"/>
      <c r="F60" s="117">
        <f>'As-Filed Schedule 2B'!F60</f>
        <v>0</v>
      </c>
      <c r="G60" s="314">
        <f>SUMIFS(Adjustments!$G:$G,Adjustments!$H:$H,"2B",Adjustments!$I:$I,'Schedule 2B Adjustments'!$F$12,Adjustments!$J:$J,'Schedule 2B Adjustments'!$A60)</f>
        <v>0</v>
      </c>
      <c r="H60" s="310">
        <f t="shared" si="0"/>
        <v>0</v>
      </c>
      <c r="I60" s="68">
        <f>IFERROR(F60*'As-Filed Schedule 1'!$E$103,0)</f>
        <v>0</v>
      </c>
      <c r="J60" s="311">
        <f>IFERROR(H60*'Adjusted Schedule 1'!$E$104,0)</f>
        <v>0</v>
      </c>
      <c r="K60" s="181">
        <f t="shared" si="1"/>
        <v>0</v>
      </c>
      <c r="L60" s="311">
        <f t="shared" si="7"/>
        <v>0</v>
      </c>
      <c r="N60" s="180">
        <f>'As-Filed Schedule 2B'!J60</f>
        <v>0</v>
      </c>
      <c r="O60" s="314">
        <f>SUMIFS(Adjustments!$G:$G,Adjustments!$H:$H,"2B",Adjustments!$I:$I,'Schedule 2B Adjustments'!$N$12,Adjustments!$J:$J,'Schedule 2B Adjustments'!$A60)</f>
        <v>0</v>
      </c>
      <c r="P60" s="310">
        <f t="shared" si="2"/>
        <v>0</v>
      </c>
      <c r="Q60" s="68">
        <f>IFERROR(N60*'As-Filed Schedule 1'!$E$103,0)</f>
        <v>0</v>
      </c>
      <c r="R60" s="311">
        <f>IFERROR(P60*'Adjusted Schedule 1'!$E$104,0)</f>
        <v>0</v>
      </c>
      <c r="S60" s="68">
        <f t="shared" si="3"/>
        <v>0</v>
      </c>
      <c r="T60" s="311">
        <f t="shared" si="4"/>
        <v>0</v>
      </c>
      <c r="V60" s="120">
        <f>'As-Filed Schedule 2B'!N60</f>
        <v>0</v>
      </c>
      <c r="W60" s="314">
        <f>SUMIFS(Adjustments!$G:$G,Adjustments!$H:$H,"2B",Adjustments!$I:$I,'Schedule 2B Adjustments'!$V$12,Adjustments!$J:$J,'Schedule 2B Adjustments'!$A60)</f>
        <v>0</v>
      </c>
      <c r="X60" s="327">
        <f t="shared" si="5"/>
        <v>0</v>
      </c>
      <c r="Y60" s="120">
        <f>'As-Filed Schedule 2B'!O60</f>
        <v>0</v>
      </c>
      <c r="Z60" s="314">
        <f>SUMIFS(Adjustments!$G:$G,Adjustments!$H:$H,"2B",Adjustments!$I:$I,'Schedule 2B Adjustments'!$Y$12,Adjustments!$J:$J,'Schedule 2B Adjustments'!$A60)</f>
        <v>0</v>
      </c>
      <c r="AA60" s="327">
        <f t="shared" si="6"/>
        <v>0</v>
      </c>
    </row>
    <row r="61" spans="1:27" x14ac:dyDescent="0.35">
      <c r="A61" s="24">
        <v>47</v>
      </c>
      <c r="B61" s="513" t="str">
        <f>IF('As-Filed Schedule 2B'!B61:D61=0,"",'As-Filed Schedule 2B'!B61:D61)</f>
        <v/>
      </c>
      <c r="C61" s="513"/>
      <c r="D61" s="513"/>
      <c r="F61" s="117">
        <f>'As-Filed Schedule 2B'!F61</f>
        <v>0</v>
      </c>
      <c r="G61" s="314">
        <f>SUMIFS(Adjustments!$G:$G,Adjustments!$H:$H,"2B",Adjustments!$I:$I,'Schedule 2B Adjustments'!$F$12,Adjustments!$J:$J,'Schedule 2B Adjustments'!$A61)</f>
        <v>0</v>
      </c>
      <c r="H61" s="310">
        <f t="shared" si="0"/>
        <v>0</v>
      </c>
      <c r="I61" s="68">
        <f>IFERROR(F61*'As-Filed Schedule 1'!$E$103,0)</f>
        <v>0</v>
      </c>
      <c r="J61" s="311">
        <f>IFERROR(H61*'Adjusted Schedule 1'!$E$104,0)</f>
        <v>0</v>
      </c>
      <c r="K61" s="181">
        <f t="shared" si="1"/>
        <v>0</v>
      </c>
      <c r="L61" s="311">
        <f t="shared" si="7"/>
        <v>0</v>
      </c>
      <c r="N61" s="180">
        <f>'As-Filed Schedule 2B'!J61</f>
        <v>0</v>
      </c>
      <c r="O61" s="314">
        <f>SUMIFS(Adjustments!$G:$G,Adjustments!$H:$H,"2B",Adjustments!$I:$I,'Schedule 2B Adjustments'!$N$12,Adjustments!$J:$J,'Schedule 2B Adjustments'!$A61)</f>
        <v>0</v>
      </c>
      <c r="P61" s="310">
        <f t="shared" si="2"/>
        <v>0</v>
      </c>
      <c r="Q61" s="68">
        <f>IFERROR(N61*'As-Filed Schedule 1'!$E$103,0)</f>
        <v>0</v>
      </c>
      <c r="R61" s="311">
        <f>IFERROR(P61*'Adjusted Schedule 1'!$E$104,0)</f>
        <v>0</v>
      </c>
      <c r="S61" s="68">
        <f t="shared" si="3"/>
        <v>0</v>
      </c>
      <c r="T61" s="311">
        <f t="shared" si="4"/>
        <v>0</v>
      </c>
      <c r="V61" s="120">
        <f>'As-Filed Schedule 2B'!N61</f>
        <v>0</v>
      </c>
      <c r="W61" s="314">
        <f>SUMIFS(Adjustments!$G:$G,Adjustments!$H:$H,"2B",Adjustments!$I:$I,'Schedule 2B Adjustments'!$V$12,Adjustments!$J:$J,'Schedule 2B Adjustments'!$A61)</f>
        <v>0</v>
      </c>
      <c r="X61" s="327">
        <f t="shared" si="5"/>
        <v>0</v>
      </c>
      <c r="Y61" s="120">
        <f>'As-Filed Schedule 2B'!O61</f>
        <v>0</v>
      </c>
      <c r="Z61" s="314">
        <f>SUMIFS(Adjustments!$G:$G,Adjustments!$H:$H,"2B",Adjustments!$I:$I,'Schedule 2B Adjustments'!$Y$12,Adjustments!$J:$J,'Schedule 2B Adjustments'!$A61)</f>
        <v>0</v>
      </c>
      <c r="AA61" s="327">
        <f t="shared" si="6"/>
        <v>0</v>
      </c>
    </row>
    <row r="62" spans="1:27" x14ac:dyDescent="0.35">
      <c r="A62" s="24">
        <v>48</v>
      </c>
      <c r="B62" s="513" t="str">
        <f>IF('As-Filed Schedule 2B'!B62:D62=0,"",'As-Filed Schedule 2B'!B62:D62)</f>
        <v/>
      </c>
      <c r="C62" s="513"/>
      <c r="D62" s="513"/>
      <c r="F62" s="117">
        <f>'As-Filed Schedule 2B'!F62</f>
        <v>0</v>
      </c>
      <c r="G62" s="314">
        <f>SUMIFS(Adjustments!$G:$G,Adjustments!$H:$H,"2B",Adjustments!$I:$I,'Schedule 2B Adjustments'!$F$12,Adjustments!$J:$J,'Schedule 2B Adjustments'!$A62)</f>
        <v>0</v>
      </c>
      <c r="H62" s="310">
        <f t="shared" si="0"/>
        <v>0</v>
      </c>
      <c r="I62" s="68">
        <f>IFERROR(F62*'As-Filed Schedule 1'!$E$103,0)</f>
        <v>0</v>
      </c>
      <c r="J62" s="311">
        <f>IFERROR(H62*'Adjusted Schedule 1'!$E$104,0)</f>
        <v>0</v>
      </c>
      <c r="K62" s="181">
        <f t="shared" si="1"/>
        <v>0</v>
      </c>
      <c r="L62" s="311">
        <f t="shared" si="7"/>
        <v>0</v>
      </c>
      <c r="N62" s="180">
        <f>'As-Filed Schedule 2B'!J62</f>
        <v>0</v>
      </c>
      <c r="O62" s="314">
        <f>SUMIFS(Adjustments!$G:$G,Adjustments!$H:$H,"2B",Adjustments!$I:$I,'Schedule 2B Adjustments'!$N$12,Adjustments!$J:$J,'Schedule 2B Adjustments'!$A62)</f>
        <v>0</v>
      </c>
      <c r="P62" s="310">
        <f t="shared" si="2"/>
        <v>0</v>
      </c>
      <c r="Q62" s="68">
        <f>IFERROR(N62*'As-Filed Schedule 1'!$E$103,0)</f>
        <v>0</v>
      </c>
      <c r="R62" s="311">
        <f>IFERROR(P62*'Adjusted Schedule 1'!$E$104,0)</f>
        <v>0</v>
      </c>
      <c r="S62" s="68">
        <f t="shared" si="3"/>
        <v>0</v>
      </c>
      <c r="T62" s="311">
        <f t="shared" si="4"/>
        <v>0</v>
      </c>
      <c r="V62" s="120">
        <f>'As-Filed Schedule 2B'!N62</f>
        <v>0</v>
      </c>
      <c r="W62" s="314">
        <f>SUMIFS(Adjustments!$G:$G,Adjustments!$H:$H,"2B",Adjustments!$I:$I,'Schedule 2B Adjustments'!$V$12,Adjustments!$J:$J,'Schedule 2B Adjustments'!$A62)</f>
        <v>0</v>
      </c>
      <c r="X62" s="327">
        <f t="shared" si="5"/>
        <v>0</v>
      </c>
      <c r="Y62" s="120">
        <f>'As-Filed Schedule 2B'!O62</f>
        <v>0</v>
      </c>
      <c r="Z62" s="314">
        <f>SUMIFS(Adjustments!$G:$G,Adjustments!$H:$H,"2B",Adjustments!$I:$I,'Schedule 2B Adjustments'!$Y$12,Adjustments!$J:$J,'Schedule 2B Adjustments'!$A62)</f>
        <v>0</v>
      </c>
      <c r="AA62" s="327">
        <f t="shared" si="6"/>
        <v>0</v>
      </c>
    </row>
    <row r="63" spans="1:27" x14ac:dyDescent="0.35">
      <c r="A63" s="24">
        <v>49</v>
      </c>
      <c r="B63" s="513" t="str">
        <f>IF('As-Filed Schedule 2B'!B63:D63=0,"",'As-Filed Schedule 2B'!B63:D63)</f>
        <v/>
      </c>
      <c r="C63" s="513"/>
      <c r="D63" s="513"/>
      <c r="F63" s="117">
        <f>'As-Filed Schedule 2B'!F63</f>
        <v>0</v>
      </c>
      <c r="G63" s="314">
        <f>SUMIFS(Adjustments!$G:$G,Adjustments!$H:$H,"2B",Adjustments!$I:$I,'Schedule 2B Adjustments'!$F$12,Adjustments!$J:$J,'Schedule 2B Adjustments'!$A63)</f>
        <v>0</v>
      </c>
      <c r="H63" s="310">
        <f t="shared" si="0"/>
        <v>0</v>
      </c>
      <c r="I63" s="68">
        <f>IFERROR(F63*'As-Filed Schedule 1'!$E$103,0)</f>
        <v>0</v>
      </c>
      <c r="J63" s="311">
        <f>IFERROR(H63*'Adjusted Schedule 1'!$E$104,0)</f>
        <v>0</v>
      </c>
      <c r="K63" s="181">
        <f t="shared" si="1"/>
        <v>0</v>
      </c>
      <c r="L63" s="311">
        <f t="shared" si="7"/>
        <v>0</v>
      </c>
      <c r="N63" s="180">
        <f>'As-Filed Schedule 2B'!J63</f>
        <v>0</v>
      </c>
      <c r="O63" s="314">
        <f>SUMIFS(Adjustments!$G:$G,Adjustments!$H:$H,"2B",Adjustments!$I:$I,'Schedule 2B Adjustments'!$N$12,Adjustments!$J:$J,'Schedule 2B Adjustments'!$A63)</f>
        <v>0</v>
      </c>
      <c r="P63" s="310">
        <f t="shared" si="2"/>
        <v>0</v>
      </c>
      <c r="Q63" s="68">
        <f>IFERROR(N63*'As-Filed Schedule 1'!$E$103,0)</f>
        <v>0</v>
      </c>
      <c r="R63" s="311">
        <f>IFERROR(P63*'Adjusted Schedule 1'!$E$104,0)</f>
        <v>0</v>
      </c>
      <c r="S63" s="68">
        <f t="shared" si="3"/>
        <v>0</v>
      </c>
      <c r="T63" s="311">
        <f t="shared" si="4"/>
        <v>0</v>
      </c>
      <c r="V63" s="120">
        <f>'As-Filed Schedule 2B'!N63</f>
        <v>0</v>
      </c>
      <c r="W63" s="314">
        <f>SUMIFS(Adjustments!$G:$G,Adjustments!$H:$H,"2B",Adjustments!$I:$I,'Schedule 2B Adjustments'!$V$12,Adjustments!$J:$J,'Schedule 2B Adjustments'!$A63)</f>
        <v>0</v>
      </c>
      <c r="X63" s="327">
        <f t="shared" si="5"/>
        <v>0</v>
      </c>
      <c r="Y63" s="120">
        <f>'As-Filed Schedule 2B'!O63</f>
        <v>0</v>
      </c>
      <c r="Z63" s="314">
        <f>SUMIFS(Adjustments!$G:$G,Adjustments!$H:$H,"2B",Adjustments!$I:$I,'Schedule 2B Adjustments'!$Y$12,Adjustments!$J:$J,'Schedule 2B Adjustments'!$A63)</f>
        <v>0</v>
      </c>
      <c r="AA63" s="327">
        <f t="shared" si="6"/>
        <v>0</v>
      </c>
    </row>
    <row r="64" spans="1:27" x14ac:dyDescent="0.35">
      <c r="A64" s="24">
        <v>50</v>
      </c>
      <c r="B64" s="513" t="str">
        <f>IF('As-Filed Schedule 2B'!B64:D64=0,"",'As-Filed Schedule 2B'!B64:D64)</f>
        <v/>
      </c>
      <c r="C64" s="513"/>
      <c r="D64" s="513"/>
      <c r="F64" s="117">
        <f>'As-Filed Schedule 2B'!F64</f>
        <v>0</v>
      </c>
      <c r="G64" s="314">
        <f>SUMIFS(Adjustments!$G:$G,Adjustments!$H:$H,"2B",Adjustments!$I:$I,'Schedule 2B Adjustments'!$F$12,Adjustments!$J:$J,'Schedule 2B Adjustments'!$A64)</f>
        <v>0</v>
      </c>
      <c r="H64" s="310">
        <f t="shared" si="0"/>
        <v>0</v>
      </c>
      <c r="I64" s="68">
        <f>IFERROR(F64*'As-Filed Schedule 1'!$E$103,0)</f>
        <v>0</v>
      </c>
      <c r="J64" s="311">
        <f>IFERROR(H64*'Adjusted Schedule 1'!$E$104,0)</f>
        <v>0</v>
      </c>
      <c r="K64" s="181">
        <f t="shared" si="1"/>
        <v>0</v>
      </c>
      <c r="L64" s="311">
        <f t="shared" si="7"/>
        <v>0</v>
      </c>
      <c r="N64" s="180">
        <f>'As-Filed Schedule 2B'!J64</f>
        <v>0</v>
      </c>
      <c r="O64" s="314">
        <f>SUMIFS(Adjustments!$G:$G,Adjustments!$H:$H,"2B",Adjustments!$I:$I,'Schedule 2B Adjustments'!$N$12,Adjustments!$J:$J,'Schedule 2B Adjustments'!$A64)</f>
        <v>0</v>
      </c>
      <c r="P64" s="310">
        <f t="shared" si="2"/>
        <v>0</v>
      </c>
      <c r="Q64" s="68">
        <f>IFERROR(N64*'As-Filed Schedule 1'!$E$103,0)</f>
        <v>0</v>
      </c>
      <c r="R64" s="311">
        <f>IFERROR(P64*'Adjusted Schedule 1'!$E$104,0)</f>
        <v>0</v>
      </c>
      <c r="S64" s="68">
        <f t="shared" si="3"/>
        <v>0</v>
      </c>
      <c r="T64" s="311">
        <f t="shared" si="4"/>
        <v>0</v>
      </c>
      <c r="V64" s="120">
        <f>'As-Filed Schedule 2B'!N64</f>
        <v>0</v>
      </c>
      <c r="W64" s="314">
        <f>SUMIFS(Adjustments!$G:$G,Adjustments!$H:$H,"2B",Adjustments!$I:$I,'Schedule 2B Adjustments'!$V$12,Adjustments!$J:$J,'Schedule 2B Adjustments'!$A64)</f>
        <v>0</v>
      </c>
      <c r="X64" s="327">
        <f t="shared" si="5"/>
        <v>0</v>
      </c>
      <c r="Y64" s="120">
        <f>'As-Filed Schedule 2B'!O64</f>
        <v>0</v>
      </c>
      <c r="Z64" s="314">
        <f>SUMIFS(Adjustments!$G:$G,Adjustments!$H:$H,"2B",Adjustments!$I:$I,'Schedule 2B Adjustments'!$Y$12,Adjustments!$J:$J,'Schedule 2B Adjustments'!$A64)</f>
        <v>0</v>
      </c>
      <c r="AA64" s="327">
        <f t="shared" si="6"/>
        <v>0</v>
      </c>
    </row>
    <row r="65" spans="1:27" x14ac:dyDescent="0.35">
      <c r="A65" s="24">
        <v>51</v>
      </c>
      <c r="B65" s="513" t="str">
        <f>IF('As-Filed Schedule 2B'!B65:D65=0,"",'As-Filed Schedule 2B'!B65:D65)</f>
        <v/>
      </c>
      <c r="C65" s="513"/>
      <c r="D65" s="513"/>
      <c r="F65" s="117">
        <f>'As-Filed Schedule 2B'!F65</f>
        <v>0</v>
      </c>
      <c r="G65" s="314">
        <f>SUMIFS(Adjustments!$G:$G,Adjustments!$H:$H,"2B",Adjustments!$I:$I,'Schedule 2B Adjustments'!$F$12,Adjustments!$J:$J,'Schedule 2B Adjustments'!$A65)</f>
        <v>0</v>
      </c>
      <c r="H65" s="310">
        <f t="shared" si="0"/>
        <v>0</v>
      </c>
      <c r="I65" s="68">
        <f>IFERROR(F65*'As-Filed Schedule 1'!$E$103,0)</f>
        <v>0</v>
      </c>
      <c r="J65" s="311">
        <f>IFERROR(H65*'Adjusted Schedule 1'!$E$104,0)</f>
        <v>0</v>
      </c>
      <c r="K65" s="181">
        <f t="shared" si="1"/>
        <v>0</v>
      </c>
      <c r="L65" s="311">
        <f t="shared" si="7"/>
        <v>0</v>
      </c>
      <c r="N65" s="180">
        <f>'As-Filed Schedule 2B'!J65</f>
        <v>0</v>
      </c>
      <c r="O65" s="314">
        <f>SUMIFS(Adjustments!$G:$G,Adjustments!$H:$H,"2B",Adjustments!$I:$I,'Schedule 2B Adjustments'!$N$12,Adjustments!$J:$J,'Schedule 2B Adjustments'!$A65)</f>
        <v>0</v>
      </c>
      <c r="P65" s="310">
        <f t="shared" si="2"/>
        <v>0</v>
      </c>
      <c r="Q65" s="68">
        <f>IFERROR(N65*'As-Filed Schedule 1'!$E$103,0)</f>
        <v>0</v>
      </c>
      <c r="R65" s="311">
        <f>IFERROR(P65*'Adjusted Schedule 1'!$E$104,0)</f>
        <v>0</v>
      </c>
      <c r="S65" s="68">
        <f t="shared" si="3"/>
        <v>0</v>
      </c>
      <c r="T65" s="311">
        <f t="shared" si="4"/>
        <v>0</v>
      </c>
      <c r="V65" s="120">
        <f>'As-Filed Schedule 2B'!N65</f>
        <v>0</v>
      </c>
      <c r="W65" s="314">
        <f>SUMIFS(Adjustments!$G:$G,Adjustments!$H:$H,"2B",Adjustments!$I:$I,'Schedule 2B Adjustments'!$V$12,Adjustments!$J:$J,'Schedule 2B Adjustments'!$A65)</f>
        <v>0</v>
      </c>
      <c r="X65" s="327">
        <f t="shared" si="5"/>
        <v>0</v>
      </c>
      <c r="Y65" s="120">
        <f>'As-Filed Schedule 2B'!O65</f>
        <v>0</v>
      </c>
      <c r="Z65" s="314">
        <f>SUMIFS(Adjustments!$G:$G,Adjustments!$H:$H,"2B",Adjustments!$I:$I,'Schedule 2B Adjustments'!$Y$12,Adjustments!$J:$J,'Schedule 2B Adjustments'!$A65)</f>
        <v>0</v>
      </c>
      <c r="AA65" s="327">
        <f t="shared" si="6"/>
        <v>0</v>
      </c>
    </row>
    <row r="66" spans="1:27" x14ac:dyDescent="0.35">
      <c r="A66" s="24">
        <v>52</v>
      </c>
      <c r="B66" s="513" t="str">
        <f>IF('As-Filed Schedule 2B'!B66:D66=0,"",'As-Filed Schedule 2B'!B66:D66)</f>
        <v/>
      </c>
      <c r="C66" s="513"/>
      <c r="D66" s="513"/>
      <c r="F66" s="117">
        <f>'As-Filed Schedule 2B'!F66</f>
        <v>0</v>
      </c>
      <c r="G66" s="314">
        <f>SUMIFS(Adjustments!$G:$G,Adjustments!$H:$H,"2B",Adjustments!$I:$I,'Schedule 2B Adjustments'!$F$12,Adjustments!$J:$J,'Schedule 2B Adjustments'!$A66)</f>
        <v>0</v>
      </c>
      <c r="H66" s="310">
        <f t="shared" si="0"/>
        <v>0</v>
      </c>
      <c r="I66" s="68">
        <f>IFERROR(F66*'As-Filed Schedule 1'!$E$103,0)</f>
        <v>0</v>
      </c>
      <c r="J66" s="311">
        <f>IFERROR(H66*'Adjusted Schedule 1'!$E$104,0)</f>
        <v>0</v>
      </c>
      <c r="K66" s="181">
        <f t="shared" si="1"/>
        <v>0</v>
      </c>
      <c r="L66" s="311">
        <f t="shared" si="7"/>
        <v>0</v>
      </c>
      <c r="N66" s="180">
        <f>'As-Filed Schedule 2B'!J66</f>
        <v>0</v>
      </c>
      <c r="O66" s="314">
        <f>SUMIFS(Adjustments!$G:$G,Adjustments!$H:$H,"2B",Adjustments!$I:$I,'Schedule 2B Adjustments'!$N$12,Adjustments!$J:$J,'Schedule 2B Adjustments'!$A66)</f>
        <v>0</v>
      </c>
      <c r="P66" s="310">
        <f t="shared" si="2"/>
        <v>0</v>
      </c>
      <c r="Q66" s="68">
        <f>IFERROR(N66*'As-Filed Schedule 1'!$E$103,0)</f>
        <v>0</v>
      </c>
      <c r="R66" s="311">
        <f>IFERROR(P66*'Adjusted Schedule 1'!$E$104,0)</f>
        <v>0</v>
      </c>
      <c r="S66" s="68">
        <f t="shared" si="3"/>
        <v>0</v>
      </c>
      <c r="T66" s="311">
        <f t="shared" si="4"/>
        <v>0</v>
      </c>
      <c r="V66" s="120">
        <f>'As-Filed Schedule 2B'!N66</f>
        <v>0</v>
      </c>
      <c r="W66" s="314">
        <f>SUMIFS(Adjustments!$G:$G,Adjustments!$H:$H,"2B",Adjustments!$I:$I,'Schedule 2B Adjustments'!$V$12,Adjustments!$J:$J,'Schedule 2B Adjustments'!$A66)</f>
        <v>0</v>
      </c>
      <c r="X66" s="327">
        <f t="shared" si="5"/>
        <v>0</v>
      </c>
      <c r="Y66" s="120">
        <f>'As-Filed Schedule 2B'!O66</f>
        <v>0</v>
      </c>
      <c r="Z66" s="314">
        <f>SUMIFS(Adjustments!$G:$G,Adjustments!$H:$H,"2B",Adjustments!$I:$I,'Schedule 2B Adjustments'!$Y$12,Adjustments!$J:$J,'Schedule 2B Adjustments'!$A66)</f>
        <v>0</v>
      </c>
      <c r="AA66" s="327">
        <f t="shared" si="6"/>
        <v>0</v>
      </c>
    </row>
    <row r="67" spans="1:27" x14ac:dyDescent="0.35">
      <c r="A67" s="24">
        <v>53</v>
      </c>
      <c r="B67" s="513" t="str">
        <f>IF('As-Filed Schedule 2B'!B67:D67=0,"",'As-Filed Schedule 2B'!B67:D67)</f>
        <v/>
      </c>
      <c r="C67" s="513"/>
      <c r="D67" s="513"/>
      <c r="F67" s="117">
        <f>'As-Filed Schedule 2B'!F67</f>
        <v>0</v>
      </c>
      <c r="G67" s="314">
        <f>SUMIFS(Adjustments!$G:$G,Adjustments!$H:$H,"2B",Adjustments!$I:$I,'Schedule 2B Adjustments'!$F$12,Adjustments!$J:$J,'Schedule 2B Adjustments'!$A67)</f>
        <v>0</v>
      </c>
      <c r="H67" s="310">
        <f t="shared" si="0"/>
        <v>0</v>
      </c>
      <c r="I67" s="68">
        <f>IFERROR(F67*'As-Filed Schedule 1'!$E$103,0)</f>
        <v>0</v>
      </c>
      <c r="J67" s="311">
        <f>IFERROR(H67*'Adjusted Schedule 1'!$E$104,0)</f>
        <v>0</v>
      </c>
      <c r="K67" s="181">
        <f t="shared" si="1"/>
        <v>0</v>
      </c>
      <c r="L67" s="311">
        <f t="shared" si="7"/>
        <v>0</v>
      </c>
      <c r="N67" s="180">
        <f>'As-Filed Schedule 2B'!J67</f>
        <v>0</v>
      </c>
      <c r="O67" s="314">
        <f>SUMIFS(Adjustments!$G:$G,Adjustments!$H:$H,"2B",Adjustments!$I:$I,'Schedule 2B Adjustments'!$N$12,Adjustments!$J:$J,'Schedule 2B Adjustments'!$A67)</f>
        <v>0</v>
      </c>
      <c r="P67" s="310">
        <f t="shared" si="2"/>
        <v>0</v>
      </c>
      <c r="Q67" s="68">
        <f>IFERROR(N67*'As-Filed Schedule 1'!$E$103,0)</f>
        <v>0</v>
      </c>
      <c r="R67" s="311">
        <f>IFERROR(P67*'Adjusted Schedule 1'!$E$104,0)</f>
        <v>0</v>
      </c>
      <c r="S67" s="68">
        <f t="shared" si="3"/>
        <v>0</v>
      </c>
      <c r="T67" s="311">
        <f t="shared" si="4"/>
        <v>0</v>
      </c>
      <c r="V67" s="120">
        <f>'As-Filed Schedule 2B'!N67</f>
        <v>0</v>
      </c>
      <c r="W67" s="314">
        <f>SUMIFS(Adjustments!$G:$G,Adjustments!$H:$H,"2B",Adjustments!$I:$I,'Schedule 2B Adjustments'!$V$12,Adjustments!$J:$J,'Schedule 2B Adjustments'!$A67)</f>
        <v>0</v>
      </c>
      <c r="X67" s="327">
        <f t="shared" si="5"/>
        <v>0</v>
      </c>
      <c r="Y67" s="120">
        <f>'As-Filed Schedule 2B'!O67</f>
        <v>0</v>
      </c>
      <c r="Z67" s="314">
        <f>SUMIFS(Adjustments!$G:$G,Adjustments!$H:$H,"2B",Adjustments!$I:$I,'Schedule 2B Adjustments'!$Y$12,Adjustments!$J:$J,'Schedule 2B Adjustments'!$A67)</f>
        <v>0</v>
      </c>
      <c r="AA67" s="327">
        <f t="shared" si="6"/>
        <v>0</v>
      </c>
    </row>
    <row r="68" spans="1:27" x14ac:dyDescent="0.35">
      <c r="A68" s="24">
        <v>54</v>
      </c>
      <c r="B68" s="513" t="str">
        <f>IF('As-Filed Schedule 2B'!B68:D68=0,"",'As-Filed Schedule 2B'!B68:D68)</f>
        <v/>
      </c>
      <c r="C68" s="513"/>
      <c r="D68" s="513"/>
      <c r="F68" s="117">
        <f>'As-Filed Schedule 2B'!F68</f>
        <v>0</v>
      </c>
      <c r="G68" s="314">
        <f>SUMIFS(Adjustments!$G:$G,Adjustments!$H:$H,"2B",Adjustments!$I:$I,'Schedule 2B Adjustments'!$F$12,Adjustments!$J:$J,'Schedule 2B Adjustments'!$A68)</f>
        <v>0</v>
      </c>
      <c r="H68" s="310">
        <f t="shared" si="0"/>
        <v>0</v>
      </c>
      <c r="I68" s="68">
        <f>IFERROR(F68*'As-Filed Schedule 1'!$E$103,0)</f>
        <v>0</v>
      </c>
      <c r="J68" s="311">
        <f>IFERROR(H68*'Adjusted Schedule 1'!$E$104,0)</f>
        <v>0</v>
      </c>
      <c r="K68" s="181">
        <f t="shared" si="1"/>
        <v>0</v>
      </c>
      <c r="L68" s="311">
        <f t="shared" si="7"/>
        <v>0</v>
      </c>
      <c r="N68" s="180">
        <f>'As-Filed Schedule 2B'!J68</f>
        <v>0</v>
      </c>
      <c r="O68" s="314">
        <f>SUMIFS(Adjustments!$G:$G,Adjustments!$H:$H,"2B",Adjustments!$I:$I,'Schedule 2B Adjustments'!$N$12,Adjustments!$J:$J,'Schedule 2B Adjustments'!$A68)</f>
        <v>0</v>
      </c>
      <c r="P68" s="310">
        <f t="shared" si="2"/>
        <v>0</v>
      </c>
      <c r="Q68" s="68">
        <f>IFERROR(N68*'As-Filed Schedule 1'!$E$103,0)</f>
        <v>0</v>
      </c>
      <c r="R68" s="311">
        <f>IFERROR(P68*'Adjusted Schedule 1'!$E$104,0)</f>
        <v>0</v>
      </c>
      <c r="S68" s="68">
        <f t="shared" si="3"/>
        <v>0</v>
      </c>
      <c r="T68" s="311">
        <f t="shared" si="4"/>
        <v>0</v>
      </c>
      <c r="V68" s="120">
        <f>'As-Filed Schedule 2B'!N68</f>
        <v>0</v>
      </c>
      <c r="W68" s="314">
        <f>SUMIFS(Adjustments!$G:$G,Adjustments!$H:$H,"2B",Adjustments!$I:$I,'Schedule 2B Adjustments'!$V$12,Adjustments!$J:$J,'Schedule 2B Adjustments'!$A68)</f>
        <v>0</v>
      </c>
      <c r="X68" s="327">
        <f t="shared" si="5"/>
        <v>0</v>
      </c>
      <c r="Y68" s="120">
        <f>'As-Filed Schedule 2B'!O68</f>
        <v>0</v>
      </c>
      <c r="Z68" s="314">
        <f>SUMIFS(Adjustments!$G:$G,Adjustments!$H:$H,"2B",Adjustments!$I:$I,'Schedule 2B Adjustments'!$Y$12,Adjustments!$J:$J,'Schedule 2B Adjustments'!$A68)</f>
        <v>0</v>
      </c>
      <c r="AA68" s="327">
        <f t="shared" si="6"/>
        <v>0</v>
      </c>
    </row>
    <row r="69" spans="1:27" x14ac:dyDescent="0.35">
      <c r="A69" s="24">
        <v>55</v>
      </c>
      <c r="B69" s="513" t="str">
        <f>IF('As-Filed Schedule 2B'!B69:D69=0,"",'As-Filed Schedule 2B'!B69:D69)</f>
        <v/>
      </c>
      <c r="C69" s="513"/>
      <c r="D69" s="513"/>
      <c r="F69" s="117">
        <f>'As-Filed Schedule 2B'!F69</f>
        <v>0</v>
      </c>
      <c r="G69" s="314">
        <f>SUMIFS(Adjustments!$G:$G,Adjustments!$H:$H,"2B",Adjustments!$I:$I,'Schedule 2B Adjustments'!$F$12,Adjustments!$J:$J,'Schedule 2B Adjustments'!$A69)</f>
        <v>0</v>
      </c>
      <c r="H69" s="310">
        <f t="shared" si="0"/>
        <v>0</v>
      </c>
      <c r="I69" s="68">
        <f>IFERROR(F69*'As-Filed Schedule 1'!$E$103,0)</f>
        <v>0</v>
      </c>
      <c r="J69" s="311">
        <f>IFERROR(H69*'Adjusted Schedule 1'!$E$104,0)</f>
        <v>0</v>
      </c>
      <c r="K69" s="181">
        <f t="shared" si="1"/>
        <v>0</v>
      </c>
      <c r="L69" s="311">
        <f t="shared" si="7"/>
        <v>0</v>
      </c>
      <c r="N69" s="180">
        <f>'As-Filed Schedule 2B'!J69</f>
        <v>0</v>
      </c>
      <c r="O69" s="314">
        <f>SUMIFS(Adjustments!$G:$G,Adjustments!$H:$H,"2B",Adjustments!$I:$I,'Schedule 2B Adjustments'!$N$12,Adjustments!$J:$J,'Schedule 2B Adjustments'!$A69)</f>
        <v>0</v>
      </c>
      <c r="P69" s="310">
        <f t="shared" si="2"/>
        <v>0</v>
      </c>
      <c r="Q69" s="68">
        <f>IFERROR(N69*'As-Filed Schedule 1'!$E$103,0)</f>
        <v>0</v>
      </c>
      <c r="R69" s="311">
        <f>IFERROR(P69*'Adjusted Schedule 1'!$E$104,0)</f>
        <v>0</v>
      </c>
      <c r="S69" s="68">
        <f t="shared" si="3"/>
        <v>0</v>
      </c>
      <c r="T69" s="311">
        <f t="shared" si="4"/>
        <v>0</v>
      </c>
      <c r="V69" s="120">
        <f>'As-Filed Schedule 2B'!N69</f>
        <v>0</v>
      </c>
      <c r="W69" s="314">
        <f>SUMIFS(Adjustments!$G:$G,Adjustments!$H:$H,"2B",Adjustments!$I:$I,'Schedule 2B Adjustments'!$V$12,Adjustments!$J:$J,'Schedule 2B Adjustments'!$A69)</f>
        <v>0</v>
      </c>
      <c r="X69" s="327">
        <f t="shared" si="5"/>
        <v>0</v>
      </c>
      <c r="Y69" s="120">
        <f>'As-Filed Schedule 2B'!O69</f>
        <v>0</v>
      </c>
      <c r="Z69" s="314">
        <f>SUMIFS(Adjustments!$G:$G,Adjustments!$H:$H,"2B",Adjustments!$I:$I,'Schedule 2B Adjustments'!$Y$12,Adjustments!$J:$J,'Schedule 2B Adjustments'!$A69)</f>
        <v>0</v>
      </c>
      <c r="AA69" s="327">
        <f t="shared" si="6"/>
        <v>0</v>
      </c>
    </row>
    <row r="70" spans="1:27" x14ac:dyDescent="0.35">
      <c r="A70" s="24">
        <v>56</v>
      </c>
      <c r="B70" s="513" t="str">
        <f>IF('As-Filed Schedule 2B'!B70:D70=0,"",'As-Filed Schedule 2B'!B70:D70)</f>
        <v/>
      </c>
      <c r="C70" s="513"/>
      <c r="D70" s="513"/>
      <c r="F70" s="117">
        <f>'As-Filed Schedule 2B'!F70</f>
        <v>0</v>
      </c>
      <c r="G70" s="314">
        <f>SUMIFS(Adjustments!$G:$G,Adjustments!$H:$H,"2B",Adjustments!$I:$I,'Schedule 2B Adjustments'!$F$12,Adjustments!$J:$J,'Schedule 2B Adjustments'!$A70)</f>
        <v>0</v>
      </c>
      <c r="H70" s="310">
        <f t="shared" si="0"/>
        <v>0</v>
      </c>
      <c r="I70" s="68">
        <f>IFERROR(F70*'As-Filed Schedule 1'!$E$103,0)</f>
        <v>0</v>
      </c>
      <c r="J70" s="311">
        <f>IFERROR(H70*'Adjusted Schedule 1'!$E$104,0)</f>
        <v>0</v>
      </c>
      <c r="K70" s="181">
        <f t="shared" si="1"/>
        <v>0</v>
      </c>
      <c r="L70" s="311">
        <f t="shared" si="7"/>
        <v>0</v>
      </c>
      <c r="N70" s="180">
        <f>'As-Filed Schedule 2B'!J70</f>
        <v>0</v>
      </c>
      <c r="O70" s="314">
        <f>SUMIFS(Adjustments!$G:$G,Adjustments!$H:$H,"2B",Adjustments!$I:$I,'Schedule 2B Adjustments'!$N$12,Adjustments!$J:$J,'Schedule 2B Adjustments'!$A70)</f>
        <v>0</v>
      </c>
      <c r="P70" s="310">
        <f t="shared" si="2"/>
        <v>0</v>
      </c>
      <c r="Q70" s="68">
        <f>IFERROR(N70*'As-Filed Schedule 1'!$E$103,0)</f>
        <v>0</v>
      </c>
      <c r="R70" s="311">
        <f>IFERROR(P70*'Adjusted Schedule 1'!$E$104,0)</f>
        <v>0</v>
      </c>
      <c r="S70" s="68">
        <f t="shared" si="3"/>
        <v>0</v>
      </c>
      <c r="T70" s="311">
        <f t="shared" si="4"/>
        <v>0</v>
      </c>
      <c r="V70" s="120">
        <f>'As-Filed Schedule 2B'!N70</f>
        <v>0</v>
      </c>
      <c r="W70" s="314">
        <f>SUMIFS(Adjustments!$G:$G,Adjustments!$H:$H,"2B",Adjustments!$I:$I,'Schedule 2B Adjustments'!$V$12,Adjustments!$J:$J,'Schedule 2B Adjustments'!$A70)</f>
        <v>0</v>
      </c>
      <c r="X70" s="327">
        <f t="shared" si="5"/>
        <v>0</v>
      </c>
      <c r="Y70" s="120">
        <f>'As-Filed Schedule 2B'!O70</f>
        <v>0</v>
      </c>
      <c r="Z70" s="314">
        <f>SUMIFS(Adjustments!$G:$G,Adjustments!$H:$H,"2B",Adjustments!$I:$I,'Schedule 2B Adjustments'!$Y$12,Adjustments!$J:$J,'Schedule 2B Adjustments'!$A70)</f>
        <v>0</v>
      </c>
      <c r="AA70" s="327">
        <f t="shared" si="6"/>
        <v>0</v>
      </c>
    </row>
    <row r="71" spans="1:27" x14ac:dyDescent="0.35">
      <c r="A71" s="24">
        <v>57</v>
      </c>
      <c r="B71" s="513" t="str">
        <f>IF('As-Filed Schedule 2B'!B71:D71=0,"",'As-Filed Schedule 2B'!B71:D71)</f>
        <v/>
      </c>
      <c r="C71" s="513"/>
      <c r="D71" s="513"/>
      <c r="F71" s="117">
        <f>'As-Filed Schedule 2B'!F71</f>
        <v>0</v>
      </c>
      <c r="G71" s="314">
        <f>SUMIFS(Adjustments!$G:$G,Adjustments!$H:$H,"2B",Adjustments!$I:$I,'Schedule 2B Adjustments'!$F$12,Adjustments!$J:$J,'Schedule 2B Adjustments'!$A71)</f>
        <v>0</v>
      </c>
      <c r="H71" s="310">
        <f t="shared" si="0"/>
        <v>0</v>
      </c>
      <c r="I71" s="68">
        <f>IFERROR(F71*'As-Filed Schedule 1'!$E$103,0)</f>
        <v>0</v>
      </c>
      <c r="J71" s="311">
        <f>IFERROR(H71*'Adjusted Schedule 1'!$E$104,0)</f>
        <v>0</v>
      </c>
      <c r="K71" s="181">
        <f t="shared" si="1"/>
        <v>0</v>
      </c>
      <c r="L71" s="311">
        <f t="shared" si="7"/>
        <v>0</v>
      </c>
      <c r="N71" s="180">
        <f>'As-Filed Schedule 2B'!J71</f>
        <v>0</v>
      </c>
      <c r="O71" s="314">
        <f>SUMIFS(Adjustments!$G:$G,Adjustments!$H:$H,"2B",Adjustments!$I:$I,'Schedule 2B Adjustments'!$N$12,Adjustments!$J:$J,'Schedule 2B Adjustments'!$A71)</f>
        <v>0</v>
      </c>
      <c r="P71" s="310">
        <f t="shared" si="2"/>
        <v>0</v>
      </c>
      <c r="Q71" s="68">
        <f>IFERROR(N71*'As-Filed Schedule 1'!$E$103,0)</f>
        <v>0</v>
      </c>
      <c r="R71" s="311">
        <f>IFERROR(P71*'Adjusted Schedule 1'!$E$104,0)</f>
        <v>0</v>
      </c>
      <c r="S71" s="68">
        <f t="shared" si="3"/>
        <v>0</v>
      </c>
      <c r="T71" s="311">
        <f t="shared" si="4"/>
        <v>0</v>
      </c>
      <c r="V71" s="120">
        <f>'As-Filed Schedule 2B'!N71</f>
        <v>0</v>
      </c>
      <c r="W71" s="314">
        <f>SUMIFS(Adjustments!$G:$G,Adjustments!$H:$H,"2B",Adjustments!$I:$I,'Schedule 2B Adjustments'!$V$12,Adjustments!$J:$J,'Schedule 2B Adjustments'!$A71)</f>
        <v>0</v>
      </c>
      <c r="X71" s="327">
        <f t="shared" si="5"/>
        <v>0</v>
      </c>
      <c r="Y71" s="120">
        <f>'As-Filed Schedule 2B'!O71</f>
        <v>0</v>
      </c>
      <c r="Z71" s="314">
        <f>SUMIFS(Adjustments!$G:$G,Adjustments!$H:$H,"2B",Adjustments!$I:$I,'Schedule 2B Adjustments'!$Y$12,Adjustments!$J:$J,'Schedule 2B Adjustments'!$A71)</f>
        <v>0</v>
      </c>
      <c r="AA71" s="327">
        <f t="shared" si="6"/>
        <v>0</v>
      </c>
    </row>
    <row r="72" spans="1:27" x14ac:dyDescent="0.35">
      <c r="A72" s="24">
        <v>58</v>
      </c>
      <c r="B72" s="513" t="str">
        <f>IF('As-Filed Schedule 2B'!B72:D72=0,"",'As-Filed Schedule 2B'!B72:D72)</f>
        <v/>
      </c>
      <c r="C72" s="513"/>
      <c r="D72" s="513"/>
      <c r="F72" s="117">
        <f>'As-Filed Schedule 2B'!F72</f>
        <v>0</v>
      </c>
      <c r="G72" s="314">
        <f>SUMIFS(Adjustments!$G:$G,Adjustments!$H:$H,"2B",Adjustments!$I:$I,'Schedule 2B Adjustments'!$F$12,Adjustments!$J:$J,'Schedule 2B Adjustments'!$A72)</f>
        <v>0</v>
      </c>
      <c r="H72" s="310">
        <f t="shared" si="0"/>
        <v>0</v>
      </c>
      <c r="I72" s="68">
        <f>IFERROR(F72*'As-Filed Schedule 1'!$E$103,0)</f>
        <v>0</v>
      </c>
      <c r="J72" s="311">
        <f>IFERROR(H72*'Adjusted Schedule 1'!$E$104,0)</f>
        <v>0</v>
      </c>
      <c r="K72" s="181">
        <f t="shared" si="1"/>
        <v>0</v>
      </c>
      <c r="L72" s="311">
        <f t="shared" si="7"/>
        <v>0</v>
      </c>
      <c r="N72" s="180">
        <f>'As-Filed Schedule 2B'!J72</f>
        <v>0</v>
      </c>
      <c r="O72" s="314">
        <f>SUMIFS(Adjustments!$G:$G,Adjustments!$H:$H,"2B",Adjustments!$I:$I,'Schedule 2B Adjustments'!$N$12,Adjustments!$J:$J,'Schedule 2B Adjustments'!$A72)</f>
        <v>0</v>
      </c>
      <c r="P72" s="310">
        <f t="shared" si="2"/>
        <v>0</v>
      </c>
      <c r="Q72" s="68">
        <f>IFERROR(N72*'As-Filed Schedule 1'!$E$103,0)</f>
        <v>0</v>
      </c>
      <c r="R72" s="311">
        <f>IFERROR(P72*'Adjusted Schedule 1'!$E$104,0)</f>
        <v>0</v>
      </c>
      <c r="S72" s="68">
        <f t="shared" si="3"/>
        <v>0</v>
      </c>
      <c r="T72" s="311">
        <f t="shared" si="4"/>
        <v>0</v>
      </c>
      <c r="V72" s="120">
        <f>'As-Filed Schedule 2B'!N72</f>
        <v>0</v>
      </c>
      <c r="W72" s="314">
        <f>SUMIFS(Adjustments!$G:$G,Adjustments!$H:$H,"2B",Adjustments!$I:$I,'Schedule 2B Adjustments'!$V$12,Adjustments!$J:$J,'Schedule 2B Adjustments'!$A72)</f>
        <v>0</v>
      </c>
      <c r="X72" s="327">
        <f t="shared" si="5"/>
        <v>0</v>
      </c>
      <c r="Y72" s="120">
        <f>'As-Filed Schedule 2B'!O72</f>
        <v>0</v>
      </c>
      <c r="Z72" s="314">
        <f>SUMIFS(Adjustments!$G:$G,Adjustments!$H:$H,"2B",Adjustments!$I:$I,'Schedule 2B Adjustments'!$Y$12,Adjustments!$J:$J,'Schedule 2B Adjustments'!$A72)</f>
        <v>0</v>
      </c>
      <c r="AA72" s="327">
        <f t="shared" si="6"/>
        <v>0</v>
      </c>
    </row>
    <row r="73" spans="1:27" x14ac:dyDescent="0.35">
      <c r="A73" s="24">
        <v>59</v>
      </c>
      <c r="F73" s="18">
        <f>SUM(F15:F72)</f>
        <v>1778772.6383552887</v>
      </c>
      <c r="G73" s="321">
        <f t="shared" ref="G73:H73" si="8">SUM(G15:G72)</f>
        <v>0</v>
      </c>
      <c r="H73" s="312">
        <f t="shared" si="8"/>
        <v>1778772.6383552887</v>
      </c>
      <c r="I73" s="18">
        <f t="shared" ref="I73:K73" si="9">SUM(I15:I72)</f>
        <v>549076.59999056731</v>
      </c>
      <c r="J73" s="312">
        <f t="shared" ref="J73" si="10">SUM(J15:J72)</f>
        <v>549076.59999056731</v>
      </c>
      <c r="K73" s="18">
        <f t="shared" si="9"/>
        <v>2327849.2383458563</v>
      </c>
      <c r="L73" s="312">
        <f t="shared" ref="L73" si="11">SUM(L15:L72)</f>
        <v>2327849.2383458563</v>
      </c>
      <c r="N73" s="18">
        <f>SUM(N15:N72)</f>
        <v>186824.56494368202</v>
      </c>
      <c r="O73" s="321">
        <f t="shared" ref="O73:P73" si="12">SUM(O15:O72)</f>
        <v>0</v>
      </c>
      <c r="P73" s="312">
        <f t="shared" si="12"/>
        <v>186824.56494368202</v>
      </c>
      <c r="Q73" s="18">
        <f t="shared" ref="Q73:S73" si="13">SUM(Q15:Q72)</f>
        <v>57669.538367108915</v>
      </c>
      <c r="R73" s="311">
        <f>IFERROR(P73*'Adjusted Schedule 1'!$E$104,0)</f>
        <v>57669.538367108915</v>
      </c>
      <c r="S73" s="18">
        <f t="shared" si="13"/>
        <v>244494.10331079093</v>
      </c>
      <c r="T73" s="312">
        <f>SUM(T15:T72)</f>
        <v>244494.10331079093</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460</v>
      </c>
      <c r="F75" s="75">
        <f>K73+S73</f>
        <v>2572343.3416566472</v>
      </c>
      <c r="G75"/>
      <c r="H75" s="335">
        <f>L73+T73</f>
        <v>2572343.3416566472</v>
      </c>
      <c r="I75" s="74"/>
      <c r="J75" s="326"/>
      <c r="K75" s="74"/>
      <c r="L75" s="326"/>
      <c r="M75" s="74"/>
      <c r="N75" s="74"/>
      <c r="O75" s="333"/>
      <c r="P75" s="326"/>
      <c r="Q75" s="74"/>
      <c r="R75" s="326"/>
      <c r="T75" s="328"/>
      <c r="W75" s="331"/>
      <c r="X75" s="328"/>
      <c r="Z75" s="331"/>
      <c r="AA75" s="328"/>
    </row>
  </sheetData>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Z13:Z14"/>
    <mergeCell ref="AA13:AA14"/>
    <mergeCell ref="W13:W14"/>
    <mergeCell ref="X13:X14"/>
    <mergeCell ref="N13:T13"/>
    <mergeCell ref="Y13:Y14"/>
    <mergeCell ref="V13:V14"/>
    <mergeCell ref="B19:D19"/>
    <mergeCell ref="A3:K3"/>
    <mergeCell ref="B12:D12"/>
    <mergeCell ref="B13:D14"/>
    <mergeCell ref="F13:L13"/>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s>
  <pageMargins left="0.7" right="0.7" top="0.75" bottom="0.75" header="0.3" footer="0.3"/>
  <pageSetup orientation="portrait" horizontalDpi="1200" verticalDpi="1200"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1"/>
  <dimension ref="A1:AA75"/>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5" style="261" customWidth="1"/>
    <col min="24" max="24" width="11.54296875" style="48" customWidth="1"/>
    <col min="25" max="25" width="12" customWidth="1"/>
    <col min="26" max="26" width="15" style="261" customWidth="1"/>
    <col min="27" max="27" width="12" style="48" customWidth="1"/>
  </cols>
  <sheetData>
    <row r="1" spans="1:27" ht="26" x14ac:dyDescent="0.6">
      <c r="A1" s="3" t="s">
        <v>774</v>
      </c>
    </row>
    <row r="2" spans="1:27" ht="21" x14ac:dyDescent="0.5">
      <c r="A2" s="2" t="s">
        <v>772</v>
      </c>
    </row>
    <row r="3" spans="1:27" ht="25" customHeight="1" x14ac:dyDescent="0.5">
      <c r="A3" s="494" t="s">
        <v>754</v>
      </c>
      <c r="B3" s="494"/>
      <c r="C3" s="494"/>
      <c r="D3" s="494"/>
      <c r="E3" s="494"/>
      <c r="F3" s="494"/>
      <c r="G3" s="494"/>
      <c r="H3" s="494"/>
      <c r="I3" s="494"/>
      <c r="J3" s="494"/>
      <c r="K3" s="494"/>
      <c r="L3" s="322"/>
    </row>
    <row r="5" spans="1:27" x14ac:dyDescent="0.35">
      <c r="A5" s="1" t="s">
        <v>773</v>
      </c>
      <c r="C5" s="421" t="str">
        <f>Results!$C$6</f>
        <v>Health Solutions</v>
      </c>
    </row>
    <row r="6" spans="1:27" x14ac:dyDescent="0.35">
      <c r="A6" s="1" t="s">
        <v>0</v>
      </c>
      <c r="C6" s="35">
        <f>Results!$C$7</f>
        <v>45473</v>
      </c>
      <c r="F6" s="35"/>
      <c r="G6" s="320"/>
      <c r="H6" s="60"/>
    </row>
    <row r="8" spans="1:27" x14ac:dyDescent="0.35">
      <c r="A8" s="1" t="s">
        <v>253</v>
      </c>
      <c r="B8" s="1" t="s">
        <v>627</v>
      </c>
      <c r="C8" s="1"/>
      <c r="D8" s="119" t="str">
        <f>'As-Filed Schedule 2C'!D8</f>
        <v>Yes</v>
      </c>
      <c r="E8" s="41" t="s">
        <v>259</v>
      </c>
    </row>
    <row r="10" spans="1:27" x14ac:dyDescent="0.35">
      <c r="A10" s="1" t="s">
        <v>254</v>
      </c>
      <c r="B10" s="1" t="s">
        <v>256</v>
      </c>
      <c r="C10" s="1"/>
    </row>
    <row r="11" spans="1:27" x14ac:dyDescent="0.35">
      <c r="B11" s="334" t="s">
        <v>598</v>
      </c>
    </row>
    <row r="12" spans="1:27" x14ac:dyDescent="0.35">
      <c r="B12" s="508">
        <v>1</v>
      </c>
      <c r="C12" s="508"/>
      <c r="D12" s="508"/>
      <c r="F12" s="23">
        <v>2</v>
      </c>
      <c r="G12" s="256" t="s">
        <v>556</v>
      </c>
      <c r="H12" s="257" t="s">
        <v>626</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617</v>
      </c>
      <c r="Y12" s="23">
        <v>9</v>
      </c>
      <c r="Z12" s="256" t="s">
        <v>618</v>
      </c>
      <c r="AA12" s="257" t="s">
        <v>619</v>
      </c>
    </row>
    <row r="13" spans="1:27" x14ac:dyDescent="0.35">
      <c r="B13" s="517" t="s">
        <v>612</v>
      </c>
      <c r="C13" s="518"/>
      <c r="D13" s="519"/>
      <c r="F13" s="511" t="s">
        <v>261</v>
      </c>
      <c r="G13" s="516"/>
      <c r="H13" s="516"/>
      <c r="I13" s="516"/>
      <c r="J13" s="516"/>
      <c r="K13" s="516"/>
      <c r="L13" s="512"/>
      <c r="N13" s="511" t="s">
        <v>262</v>
      </c>
      <c r="O13" s="516"/>
      <c r="P13" s="516"/>
      <c r="Q13" s="516"/>
      <c r="R13" s="516"/>
      <c r="S13" s="516"/>
      <c r="T13" s="512"/>
      <c r="V13" s="514" t="s">
        <v>250</v>
      </c>
      <c r="W13" s="564" t="s">
        <v>620</v>
      </c>
      <c r="X13" s="566" t="s">
        <v>621</v>
      </c>
      <c r="Y13" s="510" t="s">
        <v>312</v>
      </c>
      <c r="Z13" s="568" t="s">
        <v>622</v>
      </c>
      <c r="AA13" s="569" t="s">
        <v>623</v>
      </c>
    </row>
    <row r="14" spans="1:27" ht="55.5" customHeight="1" x14ac:dyDescent="0.35">
      <c r="B14" s="520"/>
      <c r="C14" s="521"/>
      <c r="D14" s="522"/>
      <c r="E14" s="48"/>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U14" s="48"/>
      <c r="V14" s="515"/>
      <c r="W14" s="565"/>
      <c r="X14" s="567"/>
      <c r="Y14" s="510"/>
      <c r="Z14" s="568"/>
      <c r="AA14" s="569"/>
    </row>
    <row r="15" spans="1:27" x14ac:dyDescent="0.35">
      <c r="A15" s="24">
        <v>1</v>
      </c>
      <c r="B15" s="513" t="str">
        <f>IF('As-Filed Schedule 2C'!B15:D15=0,"",'As-Filed Schedule 2C'!B15:D15)</f>
        <v>Adult Outpatient - Chinook location</v>
      </c>
      <c r="C15" s="513"/>
      <c r="D15" s="513"/>
      <c r="F15" s="117">
        <f>'As-Filed Schedule 2C'!F15</f>
        <v>2931321.9220722746</v>
      </c>
      <c r="G15" s="314">
        <f>SUMIFS(Adjustments!$G:$G,Adjustments!$H:$H,"2C",Adjustments!$I:$I,'Schedule 2C Adjustments'!$F$12,Adjustments!$J:$J,'Schedule 2C Adjustments'!$A15)</f>
        <v>0</v>
      </c>
      <c r="H15" s="310">
        <f>SUM(F15:G15)</f>
        <v>2931321.9220722746</v>
      </c>
      <c r="I15" s="68">
        <f>IFERROR(F15*'As-Filed Schedule 1'!$E$103,0)</f>
        <v>904848.79278190073</v>
      </c>
      <c r="J15" s="311">
        <f>IFERROR(H15*'Adjusted Schedule 1'!$E$104,0)</f>
        <v>904848.79278190073</v>
      </c>
      <c r="K15" s="68">
        <f>SUM(F15,I15)</f>
        <v>3836170.7148541752</v>
      </c>
      <c r="L15" s="311">
        <f>SUM(H15,J15)</f>
        <v>3836170.7148541752</v>
      </c>
      <c r="N15" s="117">
        <f>'As-Filed Schedule 2C'!J15</f>
        <v>0</v>
      </c>
      <c r="O15" s="314">
        <f>SUMIFS(Adjustments!$G:$G,Adjustments!$H:$H,"2C",Adjustments!$I:$I,'Schedule 2C Adjustments'!$N$12,Adjustments!$J:$J,'Schedule 2C Adjustments'!$A15)</f>
        <v>0</v>
      </c>
      <c r="P15" s="310">
        <f>SUM(N15:O15)</f>
        <v>0</v>
      </c>
      <c r="Q15" s="68">
        <f>IFERROR(N15*'As-Filed Schedule 1'!$E$103,0)</f>
        <v>0</v>
      </c>
      <c r="R15" s="311">
        <f>IFERROR(P15*'Adjusted Schedule 1'!$E$104,0)</f>
        <v>0</v>
      </c>
      <c r="S15" s="68">
        <f>SUM(N15,Q15)</f>
        <v>0</v>
      </c>
      <c r="T15" s="311">
        <f>SUM(P15,R15)</f>
        <v>0</v>
      </c>
      <c r="V15" s="120">
        <f>'As-Filed Schedule 2C'!N15</f>
        <v>25.047499999999999</v>
      </c>
      <c r="W15" s="314">
        <f>SUMIFS(Adjustments!$G:$G,Adjustments!$H:$H,"2C",Adjustments!$I:$I,'Schedule 2C Adjustments'!$V$12,Adjustments!$J:$J,'Schedule 2C Adjustments'!$A15)</f>
        <v>0</v>
      </c>
      <c r="X15" s="310">
        <f>SUM(V15:W15)</f>
        <v>25.047499999999999</v>
      </c>
      <c r="Y15" s="120">
        <f>'As-Filed Schedule 2C'!O15</f>
        <v>1729</v>
      </c>
      <c r="Z15" s="314">
        <f>SUMIFS(Adjustments!$G:$G,Adjustments!$H:$H,"2C",Adjustments!$I:$I,'Schedule 2C Adjustments'!$Y$12,Adjustments!$J:$J,'Schedule 2C Adjustments'!$A15)</f>
        <v>0</v>
      </c>
      <c r="AA15" s="310">
        <f>SUM(Y15:Z15)</f>
        <v>1729</v>
      </c>
    </row>
    <row r="16" spans="1:27" x14ac:dyDescent="0.35">
      <c r="A16" s="24">
        <v>2</v>
      </c>
      <c r="B16" s="513" t="str">
        <f>IF('As-Filed Schedule 2C'!B16:D16=0,"",'As-Filed Schedule 2C'!B16:D16)</f>
        <v>Career Horizons (vocational training)</v>
      </c>
      <c r="C16" s="513"/>
      <c r="D16" s="513"/>
      <c r="F16" s="117">
        <f>'As-Filed Schedule 2C'!F16</f>
        <v>106860.58945737312</v>
      </c>
      <c r="G16" s="314">
        <f>SUMIFS(Adjustments!$G:$G,Adjustments!$H:$H,"2C",Adjustments!$I:$I,'Schedule 2C Adjustments'!$F$12,Adjustments!$J:$J,'Schedule 2C Adjustments'!$A16)</f>
        <v>0</v>
      </c>
      <c r="H16" s="310">
        <f t="shared" ref="H16:H72" si="0">SUM(F16:G16)</f>
        <v>106860.58945737312</v>
      </c>
      <c r="I16" s="68">
        <f>IFERROR(F16*'As-Filed Schedule 1'!$E$103,0)</f>
        <v>32986.030854676741</v>
      </c>
      <c r="J16" s="311">
        <f>IFERROR(H16*'Adjusted Schedule 1'!$E$104,0)</f>
        <v>32986.030854676741</v>
      </c>
      <c r="K16" s="68">
        <f t="shared" ref="K16:K72" si="1">SUM(F16,I16)</f>
        <v>139846.62031204987</v>
      </c>
      <c r="L16" s="311">
        <f t="shared" ref="L16:L72" si="2">SUM(H16,J16)</f>
        <v>139846.62031204987</v>
      </c>
      <c r="N16" s="117">
        <f>'As-Filed Schedule 2C'!J16</f>
        <v>0</v>
      </c>
      <c r="O16" s="314">
        <f>SUMIFS(Adjustments!$G:$G,Adjustments!$H:$H,"2C",Adjustments!$I:$I,'Schedule 2C Adjustments'!$N$12,Adjustments!$J:$J,'Schedule 2C Adjustments'!$A16)</f>
        <v>0</v>
      </c>
      <c r="P16" s="310">
        <f t="shared" ref="P16:P72" si="3">SUM(N16:O16)</f>
        <v>0</v>
      </c>
      <c r="Q16" s="68">
        <f>IFERROR(N16*'As-Filed Schedule 1'!$E$103,0)</f>
        <v>0</v>
      </c>
      <c r="R16" s="311">
        <f>IFERROR(P16*'Adjusted Schedule 1'!$E$104,0)</f>
        <v>0</v>
      </c>
      <c r="S16" s="68">
        <f t="shared" ref="S16:S72" si="4">SUM(N16,Q16)</f>
        <v>0</v>
      </c>
      <c r="T16" s="311">
        <f t="shared" ref="T16:T72" si="5">SUM(P16,R16)</f>
        <v>0</v>
      </c>
      <c r="V16" s="120">
        <f>'As-Filed Schedule 2C'!N16</f>
        <v>1.4558333333333333</v>
      </c>
      <c r="W16" s="314">
        <f>SUMIFS(Adjustments!$G:$G,Adjustments!$H:$H,"2C",Adjustments!$I:$I,'Schedule 2C Adjustments'!$V$12,Adjustments!$J:$J,'Schedule 2C Adjustments'!$A16)</f>
        <v>0</v>
      </c>
      <c r="X16" s="310">
        <f t="shared" ref="X16:X72" si="6">SUM(V16:W16)</f>
        <v>1.4558333333333333</v>
      </c>
      <c r="Y16" s="120">
        <f>'As-Filed Schedule 2C'!O16</f>
        <v>154</v>
      </c>
      <c r="Z16" s="314">
        <f>SUMIFS(Adjustments!$G:$G,Adjustments!$H:$H,"2C",Adjustments!$I:$I,'Schedule 2C Adjustments'!$Y$12,Adjustments!$J:$J,'Schedule 2C Adjustments'!$A16)</f>
        <v>0</v>
      </c>
      <c r="AA16" s="310">
        <f t="shared" ref="AA16:AA72" si="7">SUM(Y16:Z16)</f>
        <v>154</v>
      </c>
    </row>
    <row r="17" spans="1:27" x14ac:dyDescent="0.35">
      <c r="A17" s="24">
        <v>3</v>
      </c>
      <c r="B17" s="513" t="str">
        <f>IF('As-Filed Schedule 2C'!B17:D17=0,"",'As-Filed Schedule 2C'!B17:D17)</f>
        <v>Crestone (adult outpatient &amp; substance use treatment)</v>
      </c>
      <c r="C17" s="513"/>
      <c r="D17" s="513"/>
      <c r="F17" s="117">
        <f>'As-Filed Schedule 2C'!F17</f>
        <v>2166684.5674723266</v>
      </c>
      <c r="G17" s="314">
        <f>SUMIFS(Adjustments!$G:$G,Adjustments!$H:$H,"2C",Adjustments!$I:$I,'Schedule 2C Adjustments'!$F$12,Adjustments!$J:$J,'Schedule 2C Adjustments'!$A17)</f>
        <v>0</v>
      </c>
      <c r="H17" s="310">
        <f t="shared" si="0"/>
        <v>2166684.5674723266</v>
      </c>
      <c r="I17" s="68">
        <f>IFERROR(F17*'As-Filed Schedule 1'!$E$103,0)</f>
        <v>668818.35817968915</v>
      </c>
      <c r="J17" s="311">
        <f>IFERROR(H17*'Adjusted Schedule 1'!$E$104,0)</f>
        <v>668818.35817968915</v>
      </c>
      <c r="K17" s="68">
        <f t="shared" si="1"/>
        <v>2835502.925652016</v>
      </c>
      <c r="L17" s="311">
        <f t="shared" si="2"/>
        <v>2835502.925652016</v>
      </c>
      <c r="N17" s="117">
        <f>'As-Filed Schedule 2C'!J17</f>
        <v>0</v>
      </c>
      <c r="O17" s="314">
        <f>SUMIFS(Adjustments!$G:$G,Adjustments!$H:$H,"2C",Adjustments!$I:$I,'Schedule 2C Adjustments'!$N$12,Adjustments!$J:$J,'Schedule 2C Adjustments'!$A17)</f>
        <v>0</v>
      </c>
      <c r="P17" s="310">
        <f t="shared" si="3"/>
        <v>0</v>
      </c>
      <c r="Q17" s="68">
        <f>IFERROR(N17*'As-Filed Schedule 1'!$E$103,0)</f>
        <v>0</v>
      </c>
      <c r="R17" s="311">
        <f>IFERROR(P17*'Adjusted Schedule 1'!$E$104,0)</f>
        <v>0</v>
      </c>
      <c r="S17" s="68">
        <f t="shared" si="4"/>
        <v>0</v>
      </c>
      <c r="T17" s="311">
        <f t="shared" si="5"/>
        <v>0</v>
      </c>
      <c r="V17" s="120">
        <f>'As-Filed Schedule 2C'!N17</f>
        <v>19.067500000000003</v>
      </c>
      <c r="W17" s="314">
        <f>SUMIFS(Adjustments!$G:$G,Adjustments!$H:$H,"2C",Adjustments!$I:$I,'Schedule 2C Adjustments'!$V$12,Adjustments!$J:$J,'Schedule 2C Adjustments'!$A17)</f>
        <v>0</v>
      </c>
      <c r="X17" s="310">
        <f t="shared" si="6"/>
        <v>19.067500000000003</v>
      </c>
      <c r="Y17" s="120">
        <f>'As-Filed Schedule 2C'!O17</f>
        <v>1407</v>
      </c>
      <c r="Z17" s="314">
        <f>SUMIFS(Adjustments!$G:$G,Adjustments!$H:$H,"2C",Adjustments!$I:$I,'Schedule 2C Adjustments'!$Y$12,Adjustments!$J:$J,'Schedule 2C Adjustments'!$A17)</f>
        <v>0</v>
      </c>
      <c r="AA17" s="310">
        <f t="shared" si="7"/>
        <v>1407</v>
      </c>
    </row>
    <row r="18" spans="1:27" x14ac:dyDescent="0.35">
      <c r="A18" s="24">
        <v>4</v>
      </c>
      <c r="B18" s="513" t="str">
        <f>IF('As-Filed Schedule 2C'!B18:D18=0,"",'As-Filed Schedule 2C'!B18:D18)</f>
        <v>DUI services</v>
      </c>
      <c r="C18" s="513"/>
      <c r="D18" s="513"/>
      <c r="F18" s="117">
        <f>'As-Filed Schedule 2C'!F18</f>
        <v>100670.70383302045</v>
      </c>
      <c r="G18" s="314">
        <f>SUMIFS(Adjustments!$G:$G,Adjustments!$H:$H,"2C",Adjustments!$I:$I,'Schedule 2C Adjustments'!$F$12,Adjustments!$J:$J,'Schedule 2C Adjustments'!$A18)</f>
        <v>0</v>
      </c>
      <c r="H18" s="310">
        <f t="shared" si="0"/>
        <v>100670.70383302045</v>
      </c>
      <c r="I18" s="68">
        <f>IFERROR(F18*'As-Filed Schedule 1'!$E$103,0)</f>
        <v>31075.319345142492</v>
      </c>
      <c r="J18" s="311">
        <f>IFERROR(H18*'Adjusted Schedule 1'!$E$104,0)</f>
        <v>31075.319345142492</v>
      </c>
      <c r="K18" s="68">
        <f t="shared" si="1"/>
        <v>131746.02317816296</v>
      </c>
      <c r="L18" s="311">
        <f>SUM(H18,J18)</f>
        <v>131746.02317816296</v>
      </c>
      <c r="N18" s="117">
        <f>'As-Filed Schedule 2C'!J18</f>
        <v>0</v>
      </c>
      <c r="O18" s="314">
        <f>SUMIFS(Adjustments!$G:$G,Adjustments!$H:$H,"2C",Adjustments!$I:$I,'Schedule 2C Adjustments'!$N$12,Adjustments!$J:$J,'Schedule 2C Adjustments'!$A18)</f>
        <v>0</v>
      </c>
      <c r="P18" s="310">
        <f t="shared" si="3"/>
        <v>0</v>
      </c>
      <c r="Q18" s="68">
        <f>IFERROR(N18*'As-Filed Schedule 1'!$E$103,0)</f>
        <v>0</v>
      </c>
      <c r="R18" s="311">
        <f>IFERROR(P18*'Adjusted Schedule 1'!$E$104,0)</f>
        <v>0</v>
      </c>
      <c r="S18" s="68">
        <f>SUM(N18,Q18)</f>
        <v>0</v>
      </c>
      <c r="T18" s="311">
        <f t="shared" si="5"/>
        <v>0</v>
      </c>
      <c r="V18" s="120">
        <f>'As-Filed Schedule 2C'!N18</f>
        <v>0.72750000000000004</v>
      </c>
      <c r="W18" s="314">
        <f>SUMIFS(Adjustments!$G:$G,Adjustments!$H:$H,"2C",Adjustments!$I:$I,'Schedule 2C Adjustments'!$V$12,Adjustments!$J:$J,'Schedule 2C Adjustments'!$A18)</f>
        <v>0</v>
      </c>
      <c r="X18" s="310">
        <f t="shared" si="6"/>
        <v>0.72750000000000004</v>
      </c>
      <c r="Y18" s="120">
        <f>'As-Filed Schedule 2C'!O18</f>
        <v>253</v>
      </c>
      <c r="Z18" s="314">
        <f>SUMIFS(Adjustments!$G:$G,Adjustments!$H:$H,"2C",Adjustments!$I:$I,'Schedule 2C Adjustments'!$Y$12,Adjustments!$J:$J,'Schedule 2C Adjustments'!$A18)</f>
        <v>0</v>
      </c>
      <c r="AA18" s="310">
        <f t="shared" si="7"/>
        <v>253</v>
      </c>
    </row>
    <row r="19" spans="1:27" x14ac:dyDescent="0.35">
      <c r="A19" s="24">
        <v>5</v>
      </c>
      <c r="B19" s="513" t="str">
        <f>IF('As-Filed Schedule 2C'!B19:D19=0,"",'As-Filed Schedule 2C'!B19:D19)</f>
        <v>Early Childhood Services</v>
      </c>
      <c r="C19" s="513"/>
      <c r="D19" s="513"/>
      <c r="F19" s="117">
        <f>'As-Filed Schedule 2C'!F19</f>
        <v>608542.97475401347</v>
      </c>
      <c r="G19" s="314">
        <f>SUMIFS(Adjustments!$G:$G,Adjustments!$H:$H,"2C",Adjustments!$I:$I,'Schedule 2C Adjustments'!$F$12,Adjustments!$J:$J,'Schedule 2C Adjustments'!$A19)</f>
        <v>0</v>
      </c>
      <c r="H19" s="310">
        <f t="shared" si="0"/>
        <v>608542.97475401347</v>
      </c>
      <c r="I19" s="68">
        <f>IFERROR(F19*'As-Filed Schedule 1'!$E$103,0)</f>
        <v>187846.77722220481</v>
      </c>
      <c r="J19" s="311">
        <f>IFERROR(H19*'Adjusted Schedule 1'!$E$104,0)</f>
        <v>187846.77722220481</v>
      </c>
      <c r="K19" s="68">
        <f t="shared" si="1"/>
        <v>796389.75197621831</v>
      </c>
      <c r="L19" s="311">
        <f t="shared" si="2"/>
        <v>796389.75197621831</v>
      </c>
      <c r="N19" s="117">
        <f>'As-Filed Schedule 2C'!J19</f>
        <v>0</v>
      </c>
      <c r="O19" s="314">
        <f>SUMIFS(Adjustments!$G:$G,Adjustments!$H:$H,"2C",Adjustments!$I:$I,'Schedule 2C Adjustments'!$N$12,Adjustments!$J:$J,'Schedule 2C Adjustments'!$A19)</f>
        <v>0</v>
      </c>
      <c r="P19" s="310">
        <f t="shared" si="3"/>
        <v>0</v>
      </c>
      <c r="Q19" s="68">
        <f>IFERROR(N19*'As-Filed Schedule 1'!$E$103,0)</f>
        <v>0</v>
      </c>
      <c r="R19" s="311">
        <f>IFERROR(P19*'Adjusted Schedule 1'!$E$104,0)</f>
        <v>0</v>
      </c>
      <c r="S19" s="68">
        <f t="shared" si="4"/>
        <v>0</v>
      </c>
      <c r="T19" s="311">
        <f>SUM(P19,R19)</f>
        <v>0</v>
      </c>
      <c r="V19" s="120">
        <f>'As-Filed Schedule 2C'!N19</f>
        <v>6.4266666666666667</v>
      </c>
      <c r="W19" s="314">
        <f>SUMIFS(Adjustments!$G:$G,Adjustments!$H:$H,"2C",Adjustments!$I:$I,'Schedule 2C Adjustments'!$V$12,Adjustments!$J:$J,'Schedule 2C Adjustments'!$A19)</f>
        <v>0</v>
      </c>
      <c r="X19" s="310">
        <f t="shared" si="6"/>
        <v>6.4266666666666667</v>
      </c>
      <c r="Y19" s="120">
        <f>'As-Filed Schedule 2C'!O19</f>
        <v>289</v>
      </c>
      <c r="Z19" s="314">
        <f>SUMIFS(Adjustments!$G:$G,Adjustments!$H:$H,"2C",Adjustments!$I:$I,'Schedule 2C Adjustments'!$Y$12,Adjustments!$J:$J,'Schedule 2C Adjustments'!$A19)</f>
        <v>0</v>
      </c>
      <c r="AA19" s="310">
        <f t="shared" si="7"/>
        <v>289</v>
      </c>
    </row>
    <row r="20" spans="1:27" x14ac:dyDescent="0.35">
      <c r="A20" s="24">
        <v>6</v>
      </c>
      <c r="B20" s="513" t="str">
        <f>IF('As-Filed Schedule 2C'!B20:D20=0,"",'As-Filed Schedule 2C'!B20:D20)</f>
        <v>Family Center Counseling Services</v>
      </c>
      <c r="C20" s="513"/>
      <c r="D20" s="513"/>
      <c r="F20" s="117">
        <f>'As-Filed Schedule 2C'!F20</f>
        <v>1070812.5391070042</v>
      </c>
      <c r="G20" s="314">
        <f>SUMIFS(Adjustments!$G:$G,Adjustments!$H:$H,"2C",Adjustments!$I:$I,'Schedule 2C Adjustments'!$F$12,Adjustments!$J:$J,'Schedule 2C Adjustments'!$A20)</f>
        <v>0</v>
      </c>
      <c r="H20" s="310">
        <f t="shared" si="0"/>
        <v>1070812.5391070042</v>
      </c>
      <c r="I20" s="68">
        <f>IFERROR(F20*'As-Filed Schedule 1'!$E$103,0)</f>
        <v>330541.46186090744</v>
      </c>
      <c r="J20" s="311">
        <f>IFERROR(H20*'Adjusted Schedule 1'!$E$104,0)</f>
        <v>330541.46186090744</v>
      </c>
      <c r="K20" s="68">
        <f>SUM(F20,I20)</f>
        <v>1401354.0009679117</v>
      </c>
      <c r="L20" s="311">
        <f t="shared" si="2"/>
        <v>1401354.0009679117</v>
      </c>
      <c r="N20" s="117">
        <f>'As-Filed Schedule 2C'!J20</f>
        <v>0</v>
      </c>
      <c r="O20" s="314">
        <f>SUMIFS(Adjustments!$G:$G,Adjustments!$H:$H,"2C",Adjustments!$I:$I,'Schedule 2C Adjustments'!$N$12,Adjustments!$J:$J,'Schedule 2C Adjustments'!$A20)</f>
        <v>0</v>
      </c>
      <c r="P20" s="310">
        <f t="shared" si="3"/>
        <v>0</v>
      </c>
      <c r="Q20" s="68">
        <f>IFERROR(N20*'As-Filed Schedule 1'!$E$103,0)</f>
        <v>0</v>
      </c>
      <c r="R20" s="311">
        <f>IFERROR(P20*'Adjusted Schedule 1'!$E$104,0)</f>
        <v>0</v>
      </c>
      <c r="S20" s="68">
        <f t="shared" si="4"/>
        <v>0</v>
      </c>
      <c r="T20" s="311">
        <f t="shared" si="5"/>
        <v>0</v>
      </c>
      <c r="V20" s="120">
        <f>'As-Filed Schedule 2C'!N20</f>
        <v>8.6616666666666671</v>
      </c>
      <c r="W20" s="314">
        <f>SUMIFS(Adjustments!$G:$G,Adjustments!$H:$H,"2C",Adjustments!$I:$I,'Schedule 2C Adjustments'!$V$12,Adjustments!$J:$J,'Schedule 2C Adjustments'!$A20)</f>
        <v>0</v>
      </c>
      <c r="X20" s="310">
        <f t="shared" si="6"/>
        <v>8.6616666666666671</v>
      </c>
      <c r="Y20" s="120">
        <f>'As-Filed Schedule 2C'!O20</f>
        <v>616</v>
      </c>
      <c r="Z20" s="314">
        <f>SUMIFS(Adjustments!$G:$G,Adjustments!$H:$H,"2C",Adjustments!$I:$I,'Schedule 2C Adjustments'!$Y$12,Adjustments!$J:$J,'Schedule 2C Adjustments'!$A20)</f>
        <v>0</v>
      </c>
      <c r="AA20" s="310">
        <f t="shared" si="7"/>
        <v>616</v>
      </c>
    </row>
    <row r="21" spans="1:27" x14ac:dyDescent="0.35">
      <c r="A21" s="24">
        <v>7</v>
      </c>
      <c r="B21" s="513" t="str">
        <f>IF('As-Filed Schedule 2C'!B21:D21=0,"",'As-Filed Schedule 2C'!B21:D21)</f>
        <v>Family Center Intensive Outpatient Services</v>
      </c>
      <c r="C21" s="513"/>
      <c r="D21" s="513"/>
      <c r="F21" s="117">
        <f>'As-Filed Schedule 2C'!F21</f>
        <v>963161.81578116911</v>
      </c>
      <c r="G21" s="314">
        <f>SUMIFS(Adjustments!$G:$G,Adjustments!$H:$H,"2C",Adjustments!$I:$I,'Schedule 2C Adjustments'!$F$12,Adjustments!$J:$J,'Schedule 2C Adjustments'!$A21)</f>
        <v>0</v>
      </c>
      <c r="H21" s="310">
        <f t="shared" si="0"/>
        <v>963161.81578116911</v>
      </c>
      <c r="I21" s="68">
        <f>IFERROR(F21*'As-Filed Schedule 1'!$E$103,0)</f>
        <v>297311.53023517225</v>
      </c>
      <c r="J21" s="311">
        <f>IFERROR(H21*'Adjusted Schedule 1'!$E$104,0)</f>
        <v>297311.53023517225</v>
      </c>
      <c r="K21" s="68">
        <f t="shared" si="1"/>
        <v>1260473.3460163414</v>
      </c>
      <c r="L21" s="311">
        <f t="shared" si="2"/>
        <v>1260473.3460163414</v>
      </c>
      <c r="N21" s="117">
        <f>'As-Filed Schedule 2C'!J21</f>
        <v>0</v>
      </c>
      <c r="O21" s="314">
        <f>SUMIFS(Adjustments!$G:$G,Adjustments!$H:$H,"2C",Adjustments!$I:$I,'Schedule 2C Adjustments'!$N$12,Adjustments!$J:$J,'Schedule 2C Adjustments'!$A21)</f>
        <v>0</v>
      </c>
      <c r="P21" s="310">
        <f t="shared" si="3"/>
        <v>0</v>
      </c>
      <c r="Q21" s="68">
        <f>IFERROR(N21*'As-Filed Schedule 1'!$E$103,0)</f>
        <v>0</v>
      </c>
      <c r="R21" s="311">
        <f>IFERROR(P21*'Adjusted Schedule 1'!$E$104,0)</f>
        <v>0</v>
      </c>
      <c r="S21" s="68">
        <f t="shared" si="4"/>
        <v>0</v>
      </c>
      <c r="T21" s="311">
        <f t="shared" si="5"/>
        <v>0</v>
      </c>
      <c r="V21" s="120">
        <f>'As-Filed Schedule 2C'!N21</f>
        <v>8.5391666666666648</v>
      </c>
      <c r="W21" s="314">
        <f>SUMIFS(Adjustments!$G:$G,Adjustments!$H:$H,"2C",Adjustments!$I:$I,'Schedule 2C Adjustments'!$V$12,Adjustments!$J:$J,'Schedule 2C Adjustments'!$A21)</f>
        <v>0</v>
      </c>
      <c r="X21" s="310">
        <f t="shared" si="6"/>
        <v>8.5391666666666648</v>
      </c>
      <c r="Y21" s="120">
        <f>'As-Filed Schedule 2C'!O21</f>
        <v>169</v>
      </c>
      <c r="Z21" s="314">
        <f>SUMIFS(Adjustments!$G:$G,Adjustments!$H:$H,"2C",Adjustments!$I:$I,'Schedule 2C Adjustments'!$Y$12,Adjustments!$J:$J,'Schedule 2C Adjustments'!$A21)</f>
        <v>0</v>
      </c>
      <c r="AA21" s="310">
        <f t="shared" si="7"/>
        <v>169</v>
      </c>
    </row>
    <row r="22" spans="1:27" x14ac:dyDescent="0.35">
      <c r="A22" s="24">
        <v>8</v>
      </c>
      <c r="B22" s="513" t="str">
        <f>IF('As-Filed Schedule 2C'!B22:D22=0,"",'As-Filed Schedule 2C'!B22:D22)</f>
        <v>Internship Program</v>
      </c>
      <c r="C22" s="513"/>
      <c r="D22" s="513"/>
      <c r="F22" s="117">
        <f>'As-Filed Schedule 2C'!F22</f>
        <v>233268.03049747541</v>
      </c>
      <c r="G22" s="314">
        <f>SUMIFS(Adjustments!$G:$G,Adjustments!$H:$H,"2C",Adjustments!$I:$I,'Schedule 2C Adjustments'!$F$12,Adjustments!$J:$J,'Schedule 2C Adjustments'!$A22)</f>
        <v>0</v>
      </c>
      <c r="H22" s="310">
        <f t="shared" si="0"/>
        <v>233268.03049747541</v>
      </c>
      <c r="I22" s="68">
        <f>IFERROR(F22*'As-Filed Schedule 1'!$E$103,0)</f>
        <v>72005.839481811796</v>
      </c>
      <c r="J22" s="311">
        <f>IFERROR(H22*'Adjusted Schedule 1'!$E$104,0)</f>
        <v>72005.839481811796</v>
      </c>
      <c r="K22" s="68">
        <f t="shared" si="1"/>
        <v>305273.86997928721</v>
      </c>
      <c r="L22" s="311">
        <f t="shared" si="2"/>
        <v>305273.86997928721</v>
      </c>
      <c r="N22" s="117">
        <f>'As-Filed Schedule 2C'!J22</f>
        <v>0</v>
      </c>
      <c r="O22" s="314">
        <f>SUMIFS(Adjustments!$G:$G,Adjustments!$H:$H,"2C",Adjustments!$I:$I,'Schedule 2C Adjustments'!$N$12,Adjustments!$J:$J,'Schedule 2C Adjustments'!$A22)</f>
        <v>0</v>
      </c>
      <c r="P22" s="310">
        <f t="shared" si="3"/>
        <v>0</v>
      </c>
      <c r="Q22" s="68">
        <f>IFERROR(N22*'As-Filed Schedule 1'!$E$103,0)</f>
        <v>0</v>
      </c>
      <c r="R22" s="311">
        <f>IFERROR(P22*'Adjusted Schedule 1'!$E$104,0)</f>
        <v>0</v>
      </c>
      <c r="S22" s="68">
        <f t="shared" si="4"/>
        <v>0</v>
      </c>
      <c r="T22" s="311">
        <f t="shared" si="5"/>
        <v>0</v>
      </c>
      <c r="V22" s="120">
        <f>'As-Filed Schedule 2C'!N22</f>
        <v>1.875</v>
      </c>
      <c r="W22" s="314">
        <f>SUMIFS(Adjustments!$G:$G,Adjustments!$H:$H,"2C",Adjustments!$I:$I,'Schedule 2C Adjustments'!$V$12,Adjustments!$J:$J,'Schedule 2C Adjustments'!$A22)</f>
        <v>0</v>
      </c>
      <c r="X22" s="310">
        <f t="shared" si="6"/>
        <v>1.875</v>
      </c>
      <c r="Y22" s="120">
        <f>'As-Filed Schedule 2C'!O22</f>
        <v>56</v>
      </c>
      <c r="Z22" s="314">
        <f>SUMIFS(Adjustments!$G:$G,Adjustments!$H:$H,"2C",Adjustments!$I:$I,'Schedule 2C Adjustments'!$Y$12,Adjustments!$J:$J,'Schedule 2C Adjustments'!$A22)</f>
        <v>0</v>
      </c>
      <c r="AA22" s="310">
        <f t="shared" si="7"/>
        <v>56</v>
      </c>
    </row>
    <row r="23" spans="1:27" x14ac:dyDescent="0.35">
      <c r="A23" s="24">
        <v>9</v>
      </c>
      <c r="B23" s="513" t="str">
        <f>IF('As-Filed Schedule 2C'!B23:D23=0,"",'As-Filed Schedule 2C'!B23:D23)</f>
        <v>The Learning Center (adult outpatient)</v>
      </c>
      <c r="C23" s="513"/>
      <c r="D23" s="513"/>
      <c r="F23" s="117">
        <f>'As-Filed Schedule 2C'!F23</f>
        <v>162799.9645585189</v>
      </c>
      <c r="G23" s="314">
        <f>SUMIFS(Adjustments!$G:$G,Adjustments!$H:$H,"2C",Adjustments!$I:$I,'Schedule 2C Adjustments'!$F$12,Adjustments!$J:$J,'Schedule 2C Adjustments'!$A23)</f>
        <v>0</v>
      </c>
      <c r="H23" s="310">
        <f t="shared" si="0"/>
        <v>162799.9645585189</v>
      </c>
      <c r="I23" s="68">
        <f>IFERROR(F23*'As-Filed Schedule 1'!$E$103,0)</f>
        <v>50253.556351658874</v>
      </c>
      <c r="J23" s="311">
        <f>IFERROR(H23*'Adjusted Schedule 1'!$E$104,0)</f>
        <v>50253.556351658874</v>
      </c>
      <c r="K23" s="68">
        <f t="shared" si="1"/>
        <v>213053.52091017779</v>
      </c>
      <c r="L23" s="311">
        <f t="shared" si="2"/>
        <v>213053.52091017779</v>
      </c>
      <c r="N23" s="117">
        <f>'As-Filed Schedule 2C'!J23</f>
        <v>0</v>
      </c>
      <c r="O23" s="314">
        <f>SUMIFS(Adjustments!$G:$G,Adjustments!$H:$H,"2C",Adjustments!$I:$I,'Schedule 2C Adjustments'!$N$12,Adjustments!$J:$J,'Schedule 2C Adjustments'!$A23)</f>
        <v>0</v>
      </c>
      <c r="P23" s="310">
        <f t="shared" si="3"/>
        <v>0</v>
      </c>
      <c r="Q23" s="68">
        <f>IFERROR(N23*'As-Filed Schedule 1'!$E$103,0)</f>
        <v>0</v>
      </c>
      <c r="R23" s="311">
        <f>IFERROR(P23*'Adjusted Schedule 1'!$E$104,0)</f>
        <v>0</v>
      </c>
      <c r="S23" s="68">
        <f t="shared" si="4"/>
        <v>0</v>
      </c>
      <c r="T23" s="311">
        <f t="shared" si="5"/>
        <v>0</v>
      </c>
      <c r="V23" s="120">
        <f>'As-Filed Schedule 2C'!N23</f>
        <v>1.0999999999999999</v>
      </c>
      <c r="W23" s="314">
        <f>SUMIFS(Adjustments!$G:$G,Adjustments!$H:$H,"2C",Adjustments!$I:$I,'Schedule 2C Adjustments'!$V$12,Adjustments!$J:$J,'Schedule 2C Adjustments'!$A23)</f>
        <v>0</v>
      </c>
      <c r="X23" s="310">
        <f t="shared" si="6"/>
        <v>1.0999999999999999</v>
      </c>
      <c r="Y23" s="120">
        <f>'As-Filed Schedule 2C'!O23</f>
        <v>70</v>
      </c>
      <c r="Z23" s="314">
        <f>SUMIFS(Adjustments!$G:$G,Adjustments!$H:$H,"2C",Adjustments!$I:$I,'Schedule 2C Adjustments'!$Y$12,Adjustments!$J:$J,'Schedule 2C Adjustments'!$A23)</f>
        <v>0</v>
      </c>
      <c r="AA23" s="310">
        <f t="shared" si="7"/>
        <v>70</v>
      </c>
    </row>
    <row r="24" spans="1:27" x14ac:dyDescent="0.35">
      <c r="A24" s="24">
        <v>10</v>
      </c>
      <c r="B24" s="513" t="str">
        <f>IF('As-Filed Schedule 2C'!B24:D24=0,"",'As-Filed Schedule 2C'!B24:D24)</f>
        <v>The Learning Tree (therapeutic daycare)</v>
      </c>
      <c r="C24" s="513"/>
      <c r="D24" s="513"/>
      <c r="F24" s="117">
        <f>'As-Filed Schedule 2C'!F24</f>
        <v>1014615.3465416236</v>
      </c>
      <c r="G24" s="314">
        <f>SUMIFS(Adjustments!$G:$G,Adjustments!$H:$H,"2C",Adjustments!$I:$I,'Schedule 2C Adjustments'!$F$12,Adjustments!$J:$J,'Schedule 2C Adjustments'!$A24)</f>
        <v>0</v>
      </c>
      <c r="H24" s="310">
        <f t="shared" si="0"/>
        <v>1014615.3465416236</v>
      </c>
      <c r="I24" s="68">
        <f>IFERROR(F24*'As-Filed Schedule 1'!$E$103,0)</f>
        <v>313194.35253537534</v>
      </c>
      <c r="J24" s="311">
        <f>IFERROR(H24*'Adjusted Schedule 1'!$E$104,0)</f>
        <v>313194.35253537534</v>
      </c>
      <c r="K24" s="68">
        <f t="shared" si="1"/>
        <v>1327809.699076999</v>
      </c>
      <c r="L24" s="311">
        <f t="shared" si="2"/>
        <v>1327809.699076999</v>
      </c>
      <c r="N24" s="117">
        <f>'As-Filed Schedule 2C'!J24</f>
        <v>0</v>
      </c>
      <c r="O24" s="314">
        <f>SUMIFS(Adjustments!$G:$G,Adjustments!$H:$H,"2C",Adjustments!$I:$I,'Schedule 2C Adjustments'!$N$12,Adjustments!$J:$J,'Schedule 2C Adjustments'!$A24)</f>
        <v>0</v>
      </c>
      <c r="P24" s="310">
        <f t="shared" si="3"/>
        <v>0</v>
      </c>
      <c r="Q24" s="68">
        <f>IFERROR(N24*'As-Filed Schedule 1'!$E$103,0)</f>
        <v>0</v>
      </c>
      <c r="R24" s="311">
        <f>IFERROR(P24*'Adjusted Schedule 1'!$E$104,0)</f>
        <v>0</v>
      </c>
      <c r="S24" s="68">
        <f t="shared" si="4"/>
        <v>0</v>
      </c>
      <c r="T24" s="311">
        <f t="shared" si="5"/>
        <v>0</v>
      </c>
      <c r="V24" s="120">
        <f>'As-Filed Schedule 2C'!N24</f>
        <v>14.638333333333334</v>
      </c>
      <c r="W24" s="314">
        <f>SUMIFS(Adjustments!$G:$G,Adjustments!$H:$H,"2C",Adjustments!$I:$I,'Schedule 2C Adjustments'!$V$12,Adjustments!$J:$J,'Schedule 2C Adjustments'!$A24)</f>
        <v>0</v>
      </c>
      <c r="X24" s="310">
        <f t="shared" si="6"/>
        <v>14.638333333333334</v>
      </c>
      <c r="Y24" s="120">
        <f>'As-Filed Schedule 2C'!O24</f>
        <v>7</v>
      </c>
      <c r="Z24" s="314">
        <f>SUMIFS(Adjustments!$G:$G,Adjustments!$H:$H,"2C",Adjustments!$I:$I,'Schedule 2C Adjustments'!$Y$12,Adjustments!$J:$J,'Schedule 2C Adjustments'!$A24)</f>
        <v>0</v>
      </c>
      <c r="AA24" s="310">
        <f t="shared" si="7"/>
        <v>7</v>
      </c>
    </row>
    <row r="25" spans="1:27" x14ac:dyDescent="0.35">
      <c r="A25" s="24">
        <v>11</v>
      </c>
      <c r="B25" s="513" t="str">
        <f>IF('As-Filed Schedule 2C'!B25:D25=0,"",'As-Filed Schedule 2C'!B25:D25)</f>
        <v>Medical Center (primary care clinic)</v>
      </c>
      <c r="C25" s="513"/>
      <c r="D25" s="513"/>
      <c r="F25" s="117">
        <f>'As-Filed Schedule 2C'!F25</f>
        <v>2203634.6710617878</v>
      </c>
      <c r="G25" s="314">
        <f>SUMIFS(Adjustments!$G:$G,Adjustments!$H:$H,"2C",Adjustments!$I:$I,'Schedule 2C Adjustments'!$F$12,Adjustments!$J:$J,'Schedule 2C Adjustments'!$A25)</f>
        <v>0</v>
      </c>
      <c r="H25" s="310">
        <f t="shared" si="0"/>
        <v>2203634.6710617878</v>
      </c>
      <c r="I25" s="68">
        <f>IFERROR(F25*'As-Filed Schedule 1'!$E$103,0)</f>
        <v>680224.22130728932</v>
      </c>
      <c r="J25" s="311">
        <f>IFERROR(H25*'Adjusted Schedule 1'!$E$104,0)</f>
        <v>680224.22130728932</v>
      </c>
      <c r="K25" s="68">
        <f t="shared" si="1"/>
        <v>2883858.8923690771</v>
      </c>
      <c r="L25" s="311">
        <f t="shared" si="2"/>
        <v>2883858.8923690771</v>
      </c>
      <c r="N25" s="117">
        <f>'As-Filed Schedule 2C'!J25</f>
        <v>0</v>
      </c>
      <c r="O25" s="314">
        <f>SUMIFS(Adjustments!$G:$G,Adjustments!$H:$H,"2C",Adjustments!$I:$I,'Schedule 2C Adjustments'!$N$12,Adjustments!$J:$J,'Schedule 2C Adjustments'!$A25)</f>
        <v>0</v>
      </c>
      <c r="P25" s="310">
        <f t="shared" si="3"/>
        <v>0</v>
      </c>
      <c r="Q25" s="68">
        <f>IFERROR(N25*'As-Filed Schedule 1'!$E$103,0)</f>
        <v>0</v>
      </c>
      <c r="R25" s="311">
        <f>IFERROR(P25*'Adjusted Schedule 1'!$E$104,0)</f>
        <v>0</v>
      </c>
      <c r="S25" s="68">
        <f t="shared" si="4"/>
        <v>0</v>
      </c>
      <c r="T25" s="311">
        <f t="shared" si="5"/>
        <v>0</v>
      </c>
      <c r="V25" s="120">
        <f>'As-Filed Schedule 2C'!N25</f>
        <v>13.030833333333335</v>
      </c>
      <c r="W25" s="314">
        <f>SUMIFS(Adjustments!$G:$G,Adjustments!$H:$H,"2C",Adjustments!$I:$I,'Schedule 2C Adjustments'!$V$12,Adjustments!$J:$J,'Schedule 2C Adjustments'!$A25)</f>
        <v>0</v>
      </c>
      <c r="X25" s="310">
        <f t="shared" si="6"/>
        <v>13.030833333333335</v>
      </c>
      <c r="Y25" s="120">
        <f>'As-Filed Schedule 2C'!O25</f>
        <v>3545</v>
      </c>
      <c r="Z25" s="314">
        <f>SUMIFS(Adjustments!$G:$G,Adjustments!$H:$H,"2C",Adjustments!$I:$I,'Schedule 2C Adjustments'!$Y$12,Adjustments!$J:$J,'Schedule 2C Adjustments'!$A25)</f>
        <v>0</v>
      </c>
      <c r="AA25" s="310">
        <f t="shared" si="7"/>
        <v>3545</v>
      </c>
    </row>
    <row r="26" spans="1:27" x14ac:dyDescent="0.35">
      <c r="A26" s="24">
        <v>12</v>
      </c>
      <c r="B26" s="513" t="str">
        <f>IF('As-Filed Schedule 2C'!B26:D26=0,"",'As-Filed Schedule 2C'!B26:D26)</f>
        <v>Medication Assisted Recovery Center - Pueblo, CO</v>
      </c>
      <c r="C26" s="513"/>
      <c r="D26" s="513"/>
      <c r="F26" s="117">
        <f>'As-Filed Schedule 2C'!F26</f>
        <v>1402688.1173412416</v>
      </c>
      <c r="G26" s="314">
        <f>SUMIFS(Adjustments!$G:$G,Adjustments!$H:$H,"2C",Adjustments!$I:$I,'Schedule 2C Adjustments'!$F$12,Adjustments!$J:$J,'Schedule 2C Adjustments'!$A26)</f>
        <v>0</v>
      </c>
      <c r="H26" s="310">
        <f t="shared" si="0"/>
        <v>1402688.1173412416</v>
      </c>
      <c r="I26" s="68">
        <f>IFERROR(F26*'As-Filed Schedule 1'!$E$103,0)</f>
        <v>432985.75979279482</v>
      </c>
      <c r="J26" s="311">
        <f>IFERROR(H26*'Adjusted Schedule 1'!$E$104,0)</f>
        <v>432985.75979279482</v>
      </c>
      <c r="K26" s="68">
        <f t="shared" si="1"/>
        <v>1835673.8771340363</v>
      </c>
      <c r="L26" s="311">
        <f t="shared" si="2"/>
        <v>1835673.8771340363</v>
      </c>
      <c r="N26" s="117">
        <f>'As-Filed Schedule 2C'!J26</f>
        <v>0</v>
      </c>
      <c r="O26" s="314">
        <f>SUMIFS(Adjustments!$G:$G,Adjustments!$H:$H,"2C",Adjustments!$I:$I,'Schedule 2C Adjustments'!$N$12,Adjustments!$J:$J,'Schedule 2C Adjustments'!$A26)</f>
        <v>0</v>
      </c>
      <c r="P26" s="310">
        <f t="shared" si="3"/>
        <v>0</v>
      </c>
      <c r="Q26" s="68">
        <f>IFERROR(N26*'As-Filed Schedule 1'!$E$103,0)</f>
        <v>0</v>
      </c>
      <c r="R26" s="311">
        <f>IFERROR(P26*'Adjusted Schedule 1'!$E$104,0)</f>
        <v>0</v>
      </c>
      <c r="S26" s="68">
        <f t="shared" si="4"/>
        <v>0</v>
      </c>
      <c r="T26" s="311">
        <f t="shared" si="5"/>
        <v>0</v>
      </c>
      <c r="V26" s="120">
        <f>'As-Filed Schedule 2C'!N26</f>
        <v>10.465833333333334</v>
      </c>
      <c r="W26" s="314">
        <f>SUMIFS(Adjustments!$G:$G,Adjustments!$H:$H,"2C",Adjustments!$I:$I,'Schedule 2C Adjustments'!$V$12,Adjustments!$J:$J,'Schedule 2C Adjustments'!$A26)</f>
        <v>0</v>
      </c>
      <c r="X26" s="310">
        <f t="shared" si="6"/>
        <v>10.465833333333334</v>
      </c>
      <c r="Y26" s="120">
        <f>'As-Filed Schedule 2C'!O26</f>
        <v>489</v>
      </c>
      <c r="Z26" s="314">
        <f>SUMIFS(Adjustments!$G:$G,Adjustments!$H:$H,"2C",Adjustments!$I:$I,'Schedule 2C Adjustments'!$Y$12,Adjustments!$J:$J,'Schedule 2C Adjustments'!$A26)</f>
        <v>0</v>
      </c>
      <c r="AA26" s="310">
        <f t="shared" si="7"/>
        <v>489</v>
      </c>
    </row>
    <row r="27" spans="1:27" x14ac:dyDescent="0.35">
      <c r="A27" s="24">
        <v>13</v>
      </c>
      <c r="B27" s="513" t="str">
        <f>IF('As-Filed Schedule 2C'!B27:D27=0,"",'As-Filed Schedule 2C'!B27:D27)</f>
        <v>Nurse Practitional Services</v>
      </c>
      <c r="C27" s="513"/>
      <c r="D27" s="513"/>
      <c r="F27" s="117">
        <f>'As-Filed Schedule 2C'!F27</f>
        <v>1349298.4178615354</v>
      </c>
      <c r="G27" s="314">
        <f>SUMIFS(Adjustments!$G:$G,Adjustments!$H:$H,"2C",Adjustments!$I:$I,'Schedule 2C Adjustments'!$F$12,Adjustments!$J:$J,'Schedule 2C Adjustments'!$A27)</f>
        <v>0</v>
      </c>
      <c r="H27" s="310">
        <f t="shared" si="0"/>
        <v>1349298.4178615354</v>
      </c>
      <c r="I27" s="68">
        <f>IFERROR(F27*'As-Filed Schedule 1'!$E$103,0)</f>
        <v>416505.27542243659</v>
      </c>
      <c r="J27" s="311">
        <f>IFERROR(H27*'Adjusted Schedule 1'!$E$104,0)</f>
        <v>416505.27542243659</v>
      </c>
      <c r="K27" s="68">
        <f t="shared" si="1"/>
        <v>1765803.6932839721</v>
      </c>
      <c r="L27" s="311">
        <f t="shared" si="2"/>
        <v>1765803.6932839721</v>
      </c>
      <c r="N27" s="117">
        <f>'As-Filed Schedule 2C'!J27</f>
        <v>0</v>
      </c>
      <c r="O27" s="314">
        <f>SUMIFS(Adjustments!$G:$G,Adjustments!$H:$H,"2C",Adjustments!$I:$I,'Schedule 2C Adjustments'!$N$12,Adjustments!$J:$J,'Schedule 2C Adjustments'!$A27)</f>
        <v>0</v>
      </c>
      <c r="P27" s="310">
        <f t="shared" si="3"/>
        <v>0</v>
      </c>
      <c r="Q27" s="68">
        <f>IFERROR(N27*'As-Filed Schedule 1'!$E$103,0)</f>
        <v>0</v>
      </c>
      <c r="R27" s="311">
        <f>IFERROR(P27*'Adjusted Schedule 1'!$E$104,0)</f>
        <v>0</v>
      </c>
      <c r="S27" s="68">
        <f t="shared" si="4"/>
        <v>0</v>
      </c>
      <c r="T27" s="311">
        <f t="shared" si="5"/>
        <v>0</v>
      </c>
      <c r="V27" s="120">
        <f>'As-Filed Schedule 2C'!N27</f>
        <v>6.7816666666666654</v>
      </c>
      <c r="W27" s="314">
        <f>SUMIFS(Adjustments!$G:$G,Adjustments!$H:$H,"2C",Adjustments!$I:$I,'Schedule 2C Adjustments'!$V$12,Adjustments!$J:$J,'Schedule 2C Adjustments'!$A27)</f>
        <v>0</v>
      </c>
      <c r="X27" s="310">
        <f t="shared" si="6"/>
        <v>6.7816666666666654</v>
      </c>
      <c r="Y27" s="120">
        <f>'As-Filed Schedule 2C'!O27</f>
        <v>2689</v>
      </c>
      <c r="Z27" s="314">
        <f>SUMIFS(Adjustments!$G:$G,Adjustments!$H:$H,"2C",Adjustments!$I:$I,'Schedule 2C Adjustments'!$Y$12,Adjustments!$J:$J,'Schedule 2C Adjustments'!$A27)</f>
        <v>0</v>
      </c>
      <c r="AA27" s="310">
        <f t="shared" si="7"/>
        <v>2689</v>
      </c>
    </row>
    <row r="28" spans="1:27" x14ac:dyDescent="0.35">
      <c r="A28" s="24">
        <v>14</v>
      </c>
      <c r="B28" s="513" t="str">
        <f>IF('As-Filed Schedule 2C'!B28:D28=0,"",'As-Filed Schedule 2C'!B28:D28)</f>
        <v>Nursing (non-NP) Services</v>
      </c>
      <c r="C28" s="513"/>
      <c r="D28" s="513"/>
      <c r="F28" s="117">
        <f>'As-Filed Schedule 2C'!F28</f>
        <v>1125747.7451935525</v>
      </c>
      <c r="G28" s="314">
        <f>SUMIFS(Adjustments!$G:$G,Adjustments!$H:$H,"2C",Adjustments!$I:$I,'Schedule 2C Adjustments'!$F$12,Adjustments!$J:$J,'Schedule 2C Adjustments'!$A28)</f>
        <v>0</v>
      </c>
      <c r="H28" s="310">
        <f t="shared" si="0"/>
        <v>1125747.7451935525</v>
      </c>
      <c r="I28" s="68">
        <f>IFERROR(F28*'As-Filed Schedule 1'!$E$103,0)</f>
        <v>347499.01760882657</v>
      </c>
      <c r="J28" s="311">
        <f>IFERROR(H28*'Adjusted Schedule 1'!$E$104,0)</f>
        <v>347499.01760882657</v>
      </c>
      <c r="K28" s="68">
        <f t="shared" si="1"/>
        <v>1473246.762802379</v>
      </c>
      <c r="L28" s="311">
        <f t="shared" si="2"/>
        <v>1473246.762802379</v>
      </c>
      <c r="N28" s="117">
        <f>'As-Filed Schedule 2C'!J28</f>
        <v>0</v>
      </c>
      <c r="O28" s="314">
        <f>SUMIFS(Adjustments!$G:$G,Adjustments!$H:$H,"2C",Adjustments!$I:$I,'Schedule 2C Adjustments'!$N$12,Adjustments!$J:$J,'Schedule 2C Adjustments'!$A28)</f>
        <v>0</v>
      </c>
      <c r="P28" s="310">
        <f t="shared" si="3"/>
        <v>0</v>
      </c>
      <c r="Q28" s="68">
        <f>IFERROR(N28*'As-Filed Schedule 1'!$E$103,0)</f>
        <v>0</v>
      </c>
      <c r="R28" s="311">
        <f>IFERROR(P28*'Adjusted Schedule 1'!$E$104,0)</f>
        <v>0</v>
      </c>
      <c r="S28" s="68">
        <f t="shared" si="4"/>
        <v>0</v>
      </c>
      <c r="T28" s="311">
        <f t="shared" si="5"/>
        <v>0</v>
      </c>
      <c r="V28" s="120">
        <f>'As-Filed Schedule 2C'!N28</f>
        <v>10.729999999999999</v>
      </c>
      <c r="W28" s="314">
        <f>SUMIFS(Adjustments!$G:$G,Adjustments!$H:$H,"2C",Adjustments!$I:$I,'Schedule 2C Adjustments'!$V$12,Adjustments!$J:$J,'Schedule 2C Adjustments'!$A28)</f>
        <v>0</v>
      </c>
      <c r="X28" s="310">
        <f t="shared" si="6"/>
        <v>10.729999999999999</v>
      </c>
      <c r="Y28" s="120">
        <f>'As-Filed Schedule 2C'!O28</f>
        <v>3356</v>
      </c>
      <c r="Z28" s="314">
        <f>SUMIFS(Adjustments!$G:$G,Adjustments!$H:$H,"2C",Adjustments!$I:$I,'Schedule 2C Adjustments'!$Y$12,Adjustments!$J:$J,'Schedule 2C Adjustments'!$A28)</f>
        <v>0</v>
      </c>
      <c r="AA28" s="310">
        <f t="shared" si="7"/>
        <v>3356</v>
      </c>
    </row>
    <row r="29" spans="1:27" x14ac:dyDescent="0.35">
      <c r="A29" s="24">
        <v>15</v>
      </c>
      <c r="B29" s="513" t="str">
        <f>IF('As-Filed Schedule 2C'!B29:D29=0,"",'As-Filed Schedule 2C'!B29:D29)</f>
        <v>Open Access (immediate outpatient services)</v>
      </c>
      <c r="C29" s="513"/>
      <c r="D29" s="513"/>
      <c r="F29" s="117">
        <f>'As-Filed Schedule 2C'!F29</f>
        <v>1095980.0479350078</v>
      </c>
      <c r="G29" s="314">
        <f>SUMIFS(Adjustments!$G:$G,Adjustments!$H:$H,"2C",Adjustments!$I:$I,'Schedule 2C Adjustments'!$F$12,Adjustments!$J:$J,'Schedule 2C Adjustments'!$A29)</f>
        <v>0</v>
      </c>
      <c r="H29" s="310">
        <f t="shared" si="0"/>
        <v>1095980.0479350078</v>
      </c>
      <c r="I29" s="68">
        <f>IFERROR(F29*'As-Filed Schedule 1'!$E$103,0)</f>
        <v>338310.24010695145</v>
      </c>
      <c r="J29" s="311">
        <f>IFERROR(H29*'Adjusted Schedule 1'!$E$104,0)</f>
        <v>338310.24010695145</v>
      </c>
      <c r="K29" s="68">
        <f t="shared" si="1"/>
        <v>1434290.2880419593</v>
      </c>
      <c r="L29" s="311">
        <f t="shared" si="2"/>
        <v>1434290.2880419593</v>
      </c>
      <c r="N29" s="117">
        <f>'As-Filed Schedule 2C'!J29</f>
        <v>0</v>
      </c>
      <c r="O29" s="314">
        <f>SUMIFS(Adjustments!$G:$G,Adjustments!$H:$H,"2C",Adjustments!$I:$I,'Schedule 2C Adjustments'!$N$12,Adjustments!$J:$J,'Schedule 2C Adjustments'!$A29)</f>
        <v>0</v>
      </c>
      <c r="P29" s="310">
        <f t="shared" si="3"/>
        <v>0</v>
      </c>
      <c r="Q29" s="68">
        <f>IFERROR(N29*'As-Filed Schedule 1'!$E$103,0)</f>
        <v>0</v>
      </c>
      <c r="R29" s="311">
        <f>IFERROR(P29*'Adjusted Schedule 1'!$E$104,0)</f>
        <v>0</v>
      </c>
      <c r="S29" s="68">
        <f t="shared" si="4"/>
        <v>0</v>
      </c>
      <c r="T29" s="311">
        <f t="shared" si="5"/>
        <v>0</v>
      </c>
      <c r="V29" s="120">
        <f>'As-Filed Schedule 2C'!N29</f>
        <v>12.62</v>
      </c>
      <c r="W29" s="314">
        <f>SUMIFS(Adjustments!$G:$G,Adjustments!$H:$H,"2C",Adjustments!$I:$I,'Schedule 2C Adjustments'!$V$12,Adjustments!$J:$J,'Schedule 2C Adjustments'!$A29)</f>
        <v>0</v>
      </c>
      <c r="X29" s="310">
        <f t="shared" si="6"/>
        <v>12.62</v>
      </c>
      <c r="Y29" s="120">
        <f>'As-Filed Schedule 2C'!O29</f>
        <v>2708</v>
      </c>
      <c r="Z29" s="314">
        <f>SUMIFS(Adjustments!$G:$G,Adjustments!$H:$H,"2C",Adjustments!$I:$I,'Schedule 2C Adjustments'!$Y$12,Adjustments!$J:$J,'Schedule 2C Adjustments'!$A29)</f>
        <v>0</v>
      </c>
      <c r="AA29" s="310">
        <f t="shared" si="7"/>
        <v>2708</v>
      </c>
    </row>
    <row r="30" spans="1:27" x14ac:dyDescent="0.35">
      <c r="A30" s="24">
        <v>16</v>
      </c>
      <c r="B30" s="513" t="str">
        <f>IF('As-Filed Schedule 2C'!B30:D30=0,"",'As-Filed Schedule 2C'!B30:D30)</f>
        <v>Perry Hall (integrated family clinic)</v>
      </c>
      <c r="C30" s="513"/>
      <c r="D30" s="513"/>
      <c r="F30" s="117">
        <f>'As-Filed Schedule 2C'!F30</f>
        <v>13175</v>
      </c>
      <c r="G30" s="314">
        <f>SUMIFS(Adjustments!$G:$G,Adjustments!$H:$H,"2C",Adjustments!$I:$I,'Schedule 2C Adjustments'!$F$12,Adjustments!$J:$J,'Schedule 2C Adjustments'!$A30)</f>
        <v>0</v>
      </c>
      <c r="H30" s="310">
        <f t="shared" si="0"/>
        <v>13175</v>
      </c>
      <c r="I30" s="68">
        <f>IFERROR(F30*'As-Filed Schedule 1'!$E$103,0)</f>
        <v>4066.8964930586048</v>
      </c>
      <c r="J30" s="311">
        <f>IFERROR(H30*'Adjusted Schedule 1'!$E$104,0)</f>
        <v>4066.8964930586048</v>
      </c>
      <c r="K30" s="68">
        <f t="shared" si="1"/>
        <v>17241.896493058604</v>
      </c>
      <c r="L30" s="311">
        <f t="shared" si="2"/>
        <v>17241.896493058604</v>
      </c>
      <c r="N30" s="117">
        <f>'As-Filed Schedule 2C'!J30</f>
        <v>0</v>
      </c>
      <c r="O30" s="314">
        <f>SUMIFS(Adjustments!$G:$G,Adjustments!$H:$H,"2C",Adjustments!$I:$I,'Schedule 2C Adjustments'!$N$12,Adjustments!$J:$J,'Schedule 2C Adjustments'!$A30)</f>
        <v>0</v>
      </c>
      <c r="P30" s="310">
        <f t="shared" si="3"/>
        <v>0</v>
      </c>
      <c r="Q30" s="68">
        <f>IFERROR(N30*'As-Filed Schedule 1'!$E$103,0)</f>
        <v>0</v>
      </c>
      <c r="R30" s="311">
        <f>IFERROR(P30*'Adjusted Schedule 1'!$E$104,0)</f>
        <v>0</v>
      </c>
      <c r="S30" s="68">
        <f t="shared" si="4"/>
        <v>0</v>
      </c>
      <c r="T30" s="311">
        <f t="shared" si="5"/>
        <v>0</v>
      </c>
      <c r="V30" s="120">
        <f>'As-Filed Schedule 2C'!N30</f>
        <v>0</v>
      </c>
      <c r="W30" s="314">
        <f>SUMIFS(Adjustments!$G:$G,Adjustments!$H:$H,"2C",Adjustments!$I:$I,'Schedule 2C Adjustments'!$V$12,Adjustments!$J:$J,'Schedule 2C Adjustments'!$A30)</f>
        <v>0</v>
      </c>
      <c r="X30" s="310">
        <f t="shared" si="6"/>
        <v>0</v>
      </c>
      <c r="Y30" s="120">
        <f>'As-Filed Schedule 2C'!O30</f>
        <v>0</v>
      </c>
      <c r="Z30" s="314">
        <f>SUMIFS(Adjustments!$G:$G,Adjustments!$H:$H,"2C",Adjustments!$I:$I,'Schedule 2C Adjustments'!$Y$12,Adjustments!$J:$J,'Schedule 2C Adjustments'!$A30)</f>
        <v>0</v>
      </c>
      <c r="AA30" s="310">
        <f t="shared" si="7"/>
        <v>0</v>
      </c>
    </row>
    <row r="31" spans="1:27" x14ac:dyDescent="0.35">
      <c r="A31" s="24">
        <v>17</v>
      </c>
      <c r="B31" s="513" t="str">
        <f>IF('As-Filed Schedule 2C'!B31:D31=0,"",'As-Filed Schedule 2C'!B31:D31)</f>
        <v>Prescribers (psychiatrists)</v>
      </c>
      <c r="C31" s="513"/>
      <c r="D31" s="513"/>
      <c r="F31" s="117">
        <f>'As-Filed Schedule 2C'!F31</f>
        <v>678168.00982327806</v>
      </c>
      <c r="G31" s="314">
        <f>SUMIFS(Adjustments!$G:$G,Adjustments!$H:$H,"2C",Adjustments!$I:$I,'Schedule 2C Adjustments'!$F$12,Adjustments!$J:$J,'Schedule 2C Adjustments'!$A31)</f>
        <v>0</v>
      </c>
      <c r="H31" s="310">
        <f t="shared" si="0"/>
        <v>678168.00982327806</v>
      </c>
      <c r="I31" s="68">
        <f>IFERROR(F31*'As-Filed Schedule 1'!$E$103,0)</f>
        <v>209338.83118442679</v>
      </c>
      <c r="J31" s="311">
        <f>IFERROR(H31*'Adjusted Schedule 1'!$E$104,0)</f>
        <v>209338.83118442679</v>
      </c>
      <c r="K31" s="68">
        <f t="shared" si="1"/>
        <v>887506.84100770485</v>
      </c>
      <c r="L31" s="311">
        <f t="shared" si="2"/>
        <v>887506.84100770485</v>
      </c>
      <c r="N31" s="117">
        <f>'As-Filed Schedule 2C'!J31</f>
        <v>0</v>
      </c>
      <c r="O31" s="314">
        <f>SUMIFS(Adjustments!$G:$G,Adjustments!$H:$H,"2C",Adjustments!$I:$I,'Schedule 2C Adjustments'!$N$12,Adjustments!$J:$J,'Schedule 2C Adjustments'!$A31)</f>
        <v>0</v>
      </c>
      <c r="P31" s="310">
        <f t="shared" si="3"/>
        <v>0</v>
      </c>
      <c r="Q31" s="68">
        <f>IFERROR(N31*'As-Filed Schedule 1'!$E$103,0)</f>
        <v>0</v>
      </c>
      <c r="R31" s="311">
        <f>IFERROR(P31*'Adjusted Schedule 1'!$E$104,0)</f>
        <v>0</v>
      </c>
      <c r="S31" s="68">
        <f t="shared" si="4"/>
        <v>0</v>
      </c>
      <c r="T31" s="311">
        <f t="shared" si="5"/>
        <v>0</v>
      </c>
      <c r="V31" s="120">
        <f>'As-Filed Schedule 2C'!N31</f>
        <v>2.5166666666666662</v>
      </c>
      <c r="W31" s="314">
        <f>SUMIFS(Adjustments!$G:$G,Adjustments!$H:$H,"2C",Adjustments!$I:$I,'Schedule 2C Adjustments'!$V$12,Adjustments!$J:$J,'Schedule 2C Adjustments'!$A31)</f>
        <v>0</v>
      </c>
      <c r="X31" s="310">
        <f t="shared" si="6"/>
        <v>2.5166666666666662</v>
      </c>
      <c r="Y31" s="120">
        <f>'As-Filed Schedule 2C'!O31</f>
        <v>812</v>
      </c>
      <c r="Z31" s="314">
        <f>SUMIFS(Adjustments!$G:$G,Adjustments!$H:$H,"2C",Adjustments!$I:$I,'Schedule 2C Adjustments'!$Y$12,Adjustments!$J:$J,'Schedule 2C Adjustments'!$A31)</f>
        <v>0</v>
      </c>
      <c r="AA31" s="310">
        <f t="shared" si="7"/>
        <v>812</v>
      </c>
    </row>
    <row r="32" spans="1:27" x14ac:dyDescent="0.35">
      <c r="A32" s="24">
        <v>18</v>
      </c>
      <c r="B32" s="513" t="str">
        <f>IF('As-Filed Schedule 2C'!B32:D32=0,"",'As-Filed Schedule 2C'!B32:D32)</f>
        <v>Quality &amp; Compliance (for all services)</v>
      </c>
      <c r="C32" s="513"/>
      <c r="D32" s="513"/>
      <c r="F32" s="117">
        <f>'As-Filed Schedule 2C'!F32</f>
        <v>514831.13284082082</v>
      </c>
      <c r="G32" s="314">
        <f>SUMIFS(Adjustments!$G:$G,Adjustments!$H:$H,"2C",Adjustments!$I:$I,'Schedule 2C Adjustments'!$F$12,Adjustments!$J:$J,'Schedule 2C Adjustments'!$A32)</f>
        <v>0</v>
      </c>
      <c r="H32" s="310">
        <f t="shared" si="0"/>
        <v>514831.13284082082</v>
      </c>
      <c r="I32" s="68">
        <f>IFERROR(F32*'As-Filed Schedule 1'!$E$103,0)</f>
        <v>158919.53917781578</v>
      </c>
      <c r="J32" s="311">
        <f>IFERROR(H32*'Adjusted Schedule 1'!$E$104,0)</f>
        <v>158919.53917781578</v>
      </c>
      <c r="K32" s="68">
        <f t="shared" si="1"/>
        <v>673750.6720186366</v>
      </c>
      <c r="L32" s="311">
        <f t="shared" si="2"/>
        <v>673750.6720186366</v>
      </c>
      <c r="N32" s="117">
        <f>'As-Filed Schedule 2C'!J32</f>
        <v>0</v>
      </c>
      <c r="O32" s="314">
        <f>SUMIFS(Adjustments!$G:$G,Adjustments!$H:$H,"2C",Adjustments!$I:$I,'Schedule 2C Adjustments'!$N$12,Adjustments!$J:$J,'Schedule 2C Adjustments'!$A32)</f>
        <v>0</v>
      </c>
      <c r="P32" s="310">
        <f t="shared" si="3"/>
        <v>0</v>
      </c>
      <c r="Q32" s="68">
        <f>IFERROR(N32*'As-Filed Schedule 1'!$E$103,0)</f>
        <v>0</v>
      </c>
      <c r="R32" s="311">
        <f>IFERROR(P32*'Adjusted Schedule 1'!$E$104,0)</f>
        <v>0</v>
      </c>
      <c r="S32" s="68">
        <f t="shared" si="4"/>
        <v>0</v>
      </c>
      <c r="T32" s="311">
        <f t="shared" si="5"/>
        <v>0</v>
      </c>
      <c r="V32" s="120">
        <f>'As-Filed Schedule 2C'!N32</f>
        <v>4.3416666666666659</v>
      </c>
      <c r="W32" s="314">
        <f>SUMIFS(Adjustments!$G:$G,Adjustments!$H:$H,"2C",Adjustments!$I:$I,'Schedule 2C Adjustments'!$V$12,Adjustments!$J:$J,'Schedule 2C Adjustments'!$A32)</f>
        <v>0</v>
      </c>
      <c r="X32" s="310">
        <f t="shared" si="6"/>
        <v>4.3416666666666659</v>
      </c>
      <c r="Y32" s="120">
        <f>'As-Filed Schedule 2C'!O32</f>
        <v>0</v>
      </c>
      <c r="Z32" s="314">
        <f>SUMIFS(Adjustments!$G:$G,Adjustments!$H:$H,"2C",Adjustments!$I:$I,'Schedule 2C Adjustments'!$Y$12,Adjustments!$J:$J,'Schedule 2C Adjustments'!$A32)</f>
        <v>0</v>
      </c>
      <c r="AA32" s="310">
        <f t="shared" si="7"/>
        <v>0</v>
      </c>
    </row>
    <row r="33" spans="1:27" x14ac:dyDescent="0.35">
      <c r="A33" s="24">
        <v>19</v>
      </c>
      <c r="B33" s="513" t="str">
        <f>IF('As-Filed Schedule 2C'!B33:D33=0,"",'As-Filed Schedule 2C'!B33:D33)</f>
        <v>Recovery Center (drop-in services)</v>
      </c>
      <c r="C33" s="513"/>
      <c r="D33" s="513"/>
      <c r="F33" s="117">
        <f>'As-Filed Schedule 2C'!F33</f>
        <v>447954.29838814086</v>
      </c>
      <c r="G33" s="314">
        <f>SUMIFS(Adjustments!$G:$G,Adjustments!$H:$H,"2C",Adjustments!$I:$I,'Schedule 2C Adjustments'!$F$12,Adjustments!$J:$J,'Schedule 2C Adjustments'!$A33)</f>
        <v>0</v>
      </c>
      <c r="H33" s="310">
        <f t="shared" si="0"/>
        <v>447954.29838814086</v>
      </c>
      <c r="I33" s="68">
        <f>IFERROR(F33*'As-Filed Schedule 1'!$E$103,0)</f>
        <v>138275.80760267613</v>
      </c>
      <c r="J33" s="311">
        <f>IFERROR(H33*'Adjusted Schedule 1'!$E$104,0)</f>
        <v>138275.80760267613</v>
      </c>
      <c r="K33" s="68">
        <f t="shared" si="1"/>
        <v>586230.10599081696</v>
      </c>
      <c r="L33" s="311">
        <f t="shared" si="2"/>
        <v>586230.10599081696</v>
      </c>
      <c r="N33" s="117">
        <f>'As-Filed Schedule 2C'!J33</f>
        <v>0</v>
      </c>
      <c r="O33" s="314">
        <f>SUMIFS(Adjustments!$G:$G,Adjustments!$H:$H,"2C",Adjustments!$I:$I,'Schedule 2C Adjustments'!$N$12,Adjustments!$J:$J,'Schedule 2C Adjustments'!$A33)</f>
        <v>0</v>
      </c>
      <c r="P33" s="310">
        <f t="shared" si="3"/>
        <v>0</v>
      </c>
      <c r="Q33" s="68">
        <f>IFERROR(N33*'As-Filed Schedule 1'!$E$103,0)</f>
        <v>0</v>
      </c>
      <c r="R33" s="311">
        <f>IFERROR(P33*'Adjusted Schedule 1'!$E$104,0)</f>
        <v>0</v>
      </c>
      <c r="S33" s="68">
        <f t="shared" si="4"/>
        <v>0</v>
      </c>
      <c r="T33" s="311">
        <f t="shared" si="5"/>
        <v>0</v>
      </c>
      <c r="V33" s="120">
        <f>'As-Filed Schedule 2C'!N33</f>
        <v>4.8466666666666667</v>
      </c>
      <c r="W33" s="314">
        <f>SUMIFS(Adjustments!$G:$G,Adjustments!$H:$H,"2C",Adjustments!$I:$I,'Schedule 2C Adjustments'!$V$12,Adjustments!$J:$J,'Schedule 2C Adjustments'!$A33)</f>
        <v>0</v>
      </c>
      <c r="X33" s="310">
        <f t="shared" si="6"/>
        <v>4.8466666666666667</v>
      </c>
      <c r="Y33" s="120">
        <f>'As-Filed Schedule 2C'!O33</f>
        <v>204</v>
      </c>
      <c r="Z33" s="314">
        <f>SUMIFS(Adjustments!$G:$G,Adjustments!$H:$H,"2C",Adjustments!$I:$I,'Schedule 2C Adjustments'!$Y$12,Adjustments!$J:$J,'Schedule 2C Adjustments'!$A33)</f>
        <v>0</v>
      </c>
      <c r="AA33" s="310">
        <f t="shared" si="7"/>
        <v>204</v>
      </c>
    </row>
    <row r="34" spans="1:27" x14ac:dyDescent="0.35">
      <c r="A34" s="24">
        <v>20</v>
      </c>
      <c r="B34" s="513" t="str">
        <f>IF('As-Filed Schedule 2C'!B34:D34=0,"",'As-Filed Schedule 2C'!B34:D34)</f>
        <v>Offender Mental Health Services</v>
      </c>
      <c r="C34" s="513"/>
      <c r="D34" s="513"/>
      <c r="F34" s="117">
        <f>'As-Filed Schedule 2C'!F34</f>
        <v>347416.97733525373</v>
      </c>
      <c r="G34" s="314">
        <f>SUMIFS(Adjustments!$G:$G,Adjustments!$H:$H,"2C",Adjustments!$I:$I,'Schedule 2C Adjustments'!$F$12,Adjustments!$J:$J,'Schedule 2C Adjustments'!$A34)</f>
        <v>0</v>
      </c>
      <c r="H34" s="310">
        <f t="shared" si="0"/>
        <v>347416.97733525373</v>
      </c>
      <c r="I34" s="68">
        <f>IFERROR(F34*'As-Filed Schedule 1'!$E$103,0)</f>
        <v>107241.66123368229</v>
      </c>
      <c r="J34" s="311">
        <f>IFERROR(H34*'Adjusted Schedule 1'!$E$104,0)</f>
        <v>107241.66123368229</v>
      </c>
      <c r="K34" s="68">
        <f t="shared" si="1"/>
        <v>454658.63856893603</v>
      </c>
      <c r="L34" s="311">
        <f t="shared" si="2"/>
        <v>454658.63856893603</v>
      </c>
      <c r="N34" s="117">
        <f>'As-Filed Schedule 2C'!J34</f>
        <v>0</v>
      </c>
      <c r="O34" s="314">
        <f>SUMIFS(Adjustments!$G:$G,Adjustments!$H:$H,"2C",Adjustments!$I:$I,'Schedule 2C Adjustments'!$N$12,Adjustments!$J:$J,'Schedule 2C Adjustments'!$A34)</f>
        <v>0</v>
      </c>
      <c r="P34" s="310">
        <f t="shared" si="3"/>
        <v>0</v>
      </c>
      <c r="Q34" s="68">
        <f>IFERROR(N34*'As-Filed Schedule 1'!$E$103,0)</f>
        <v>0</v>
      </c>
      <c r="R34" s="311">
        <f>IFERROR(P34*'Adjusted Schedule 1'!$E$104,0)</f>
        <v>0</v>
      </c>
      <c r="S34" s="68">
        <f t="shared" si="4"/>
        <v>0</v>
      </c>
      <c r="T34" s="311">
        <f t="shared" si="5"/>
        <v>0</v>
      </c>
      <c r="V34" s="120">
        <f>'As-Filed Schedule 2C'!N34</f>
        <v>3.5249999999999999</v>
      </c>
      <c r="W34" s="314">
        <f>SUMIFS(Adjustments!$G:$G,Adjustments!$H:$H,"2C",Adjustments!$I:$I,'Schedule 2C Adjustments'!$V$12,Adjustments!$J:$J,'Schedule 2C Adjustments'!$A34)</f>
        <v>0</v>
      </c>
      <c r="X34" s="310">
        <f t="shared" si="6"/>
        <v>3.5249999999999999</v>
      </c>
      <c r="Y34" s="120">
        <f>'As-Filed Schedule 2C'!O34</f>
        <v>99</v>
      </c>
      <c r="Z34" s="314">
        <f>SUMIFS(Adjustments!$G:$G,Adjustments!$H:$H,"2C",Adjustments!$I:$I,'Schedule 2C Adjustments'!$Y$12,Adjustments!$J:$J,'Schedule 2C Adjustments'!$A34)</f>
        <v>0</v>
      </c>
      <c r="AA34" s="310">
        <f t="shared" si="7"/>
        <v>99</v>
      </c>
    </row>
    <row r="35" spans="1:27" x14ac:dyDescent="0.35">
      <c r="A35" s="24">
        <v>21</v>
      </c>
      <c r="B35" s="513" t="str">
        <f>IF('As-Filed Schedule 2C'!B35:D35=0,"",'As-Filed Schedule 2C'!B35:D35)</f>
        <v>School-Based Services</v>
      </c>
      <c r="C35" s="513"/>
      <c r="D35" s="513"/>
      <c r="F35" s="117">
        <f>'As-Filed Schedule 2C'!F35</f>
        <v>638670.87544099556</v>
      </c>
      <c r="G35" s="314">
        <f>SUMIFS(Adjustments!$G:$G,Adjustments!$H:$H,"2C",Adjustments!$I:$I,'Schedule 2C Adjustments'!$F$12,Adjustments!$J:$J,'Schedule 2C Adjustments'!$A35)</f>
        <v>0</v>
      </c>
      <c r="H35" s="310">
        <f t="shared" si="0"/>
        <v>638670.87544099556</v>
      </c>
      <c r="I35" s="68">
        <f>IFERROR(F35*'As-Filed Schedule 1'!$E$103,0)</f>
        <v>197146.74334342722</v>
      </c>
      <c r="J35" s="311">
        <f>IFERROR(H35*'Adjusted Schedule 1'!$E$104,0)</f>
        <v>197146.74334342722</v>
      </c>
      <c r="K35" s="68">
        <f t="shared" si="1"/>
        <v>835817.61878442275</v>
      </c>
      <c r="L35" s="311">
        <f t="shared" si="2"/>
        <v>835817.61878442275</v>
      </c>
      <c r="N35" s="117">
        <f>'As-Filed Schedule 2C'!J35</f>
        <v>0</v>
      </c>
      <c r="O35" s="314">
        <f>SUMIFS(Adjustments!$G:$G,Adjustments!$H:$H,"2C",Adjustments!$I:$I,'Schedule 2C Adjustments'!$N$12,Adjustments!$J:$J,'Schedule 2C Adjustments'!$A35)</f>
        <v>0</v>
      </c>
      <c r="P35" s="310">
        <f t="shared" si="3"/>
        <v>0</v>
      </c>
      <c r="Q35" s="68">
        <f>IFERROR(N35*'As-Filed Schedule 1'!$E$103,0)</f>
        <v>0</v>
      </c>
      <c r="R35" s="311">
        <f>IFERROR(P35*'Adjusted Schedule 1'!$E$104,0)</f>
        <v>0</v>
      </c>
      <c r="S35" s="68">
        <f t="shared" si="4"/>
        <v>0</v>
      </c>
      <c r="T35" s="311">
        <f t="shared" si="5"/>
        <v>0</v>
      </c>
      <c r="V35" s="120">
        <f>'As-Filed Schedule 2C'!N35</f>
        <v>6.6875</v>
      </c>
      <c r="W35" s="314">
        <f>SUMIFS(Adjustments!$G:$G,Adjustments!$H:$H,"2C",Adjustments!$I:$I,'Schedule 2C Adjustments'!$V$12,Adjustments!$J:$J,'Schedule 2C Adjustments'!$A35)</f>
        <v>0</v>
      </c>
      <c r="X35" s="310">
        <f t="shared" si="6"/>
        <v>6.6875</v>
      </c>
      <c r="Y35" s="120">
        <f>'As-Filed Schedule 2C'!O35</f>
        <v>435</v>
      </c>
      <c r="Z35" s="314">
        <f>SUMIFS(Adjustments!$G:$G,Adjustments!$H:$H,"2C",Adjustments!$I:$I,'Schedule 2C Adjustments'!$Y$12,Adjustments!$J:$J,'Schedule 2C Adjustments'!$A35)</f>
        <v>0</v>
      </c>
      <c r="AA35" s="310">
        <f t="shared" si="7"/>
        <v>435</v>
      </c>
    </row>
    <row r="36" spans="1:27" x14ac:dyDescent="0.35">
      <c r="A36" s="24">
        <v>22</v>
      </c>
      <c r="B36" s="513" t="str">
        <f>IF('As-Filed Schedule 2C'!B36:D36=0,"",'As-Filed Schedule 2C'!B36:D36)</f>
        <v>Outreach Team</v>
      </c>
      <c r="C36" s="513"/>
      <c r="D36" s="513"/>
      <c r="F36" s="117">
        <f>'As-Filed Schedule 2C'!F36</f>
        <v>338754.62084088556</v>
      </c>
      <c r="G36" s="314">
        <f>SUMIFS(Adjustments!$G:$G,Adjustments!$H:$H,"2C",Adjustments!$I:$I,'Schedule 2C Adjustments'!$F$12,Adjustments!$J:$J,'Schedule 2C Adjustments'!$A36)</f>
        <v>0</v>
      </c>
      <c r="H36" s="310">
        <f t="shared" si="0"/>
        <v>338754.62084088556</v>
      </c>
      <c r="I36" s="68">
        <f>IFERROR(F36*'As-Filed Schedule 1'!$E$103,0)</f>
        <v>104567.74037990093</v>
      </c>
      <c r="J36" s="311">
        <f>IFERROR(H36*'Adjusted Schedule 1'!$E$104,0)</f>
        <v>104567.74037990093</v>
      </c>
      <c r="K36" s="68">
        <f t="shared" si="1"/>
        <v>443322.36122078646</v>
      </c>
      <c r="L36" s="311">
        <f t="shared" si="2"/>
        <v>443322.36122078646</v>
      </c>
      <c r="N36" s="117">
        <f>'As-Filed Schedule 2C'!J36</f>
        <v>0</v>
      </c>
      <c r="O36" s="314">
        <f>SUMIFS(Adjustments!$G:$G,Adjustments!$H:$H,"2C",Adjustments!$I:$I,'Schedule 2C Adjustments'!$N$12,Adjustments!$J:$J,'Schedule 2C Adjustments'!$A36)</f>
        <v>0</v>
      </c>
      <c r="P36" s="310">
        <f t="shared" si="3"/>
        <v>0</v>
      </c>
      <c r="Q36" s="68">
        <f>IFERROR(N36*'As-Filed Schedule 1'!$E$103,0)</f>
        <v>0</v>
      </c>
      <c r="R36" s="311">
        <f>IFERROR(P36*'Adjusted Schedule 1'!$E$104,0)</f>
        <v>0</v>
      </c>
      <c r="S36" s="68">
        <f t="shared" si="4"/>
        <v>0</v>
      </c>
      <c r="T36" s="311">
        <f t="shared" si="5"/>
        <v>0</v>
      </c>
      <c r="V36" s="120">
        <f>'As-Filed Schedule 2C'!N36</f>
        <v>3.3033333333333332</v>
      </c>
      <c r="W36" s="314">
        <f>SUMIFS(Adjustments!$G:$G,Adjustments!$H:$H,"2C",Adjustments!$I:$I,'Schedule 2C Adjustments'!$V$12,Adjustments!$J:$J,'Schedule 2C Adjustments'!$A36)</f>
        <v>0</v>
      </c>
      <c r="X36" s="310">
        <f t="shared" si="6"/>
        <v>3.3033333333333332</v>
      </c>
      <c r="Y36" s="120">
        <f>'As-Filed Schedule 2C'!O36</f>
        <v>346</v>
      </c>
      <c r="Z36" s="314">
        <f>SUMIFS(Adjustments!$G:$G,Adjustments!$H:$H,"2C",Adjustments!$I:$I,'Schedule 2C Adjustments'!$Y$12,Adjustments!$J:$J,'Schedule 2C Adjustments'!$A36)</f>
        <v>0</v>
      </c>
      <c r="AA36" s="310">
        <f t="shared" si="7"/>
        <v>346</v>
      </c>
    </row>
    <row r="37" spans="1:27" x14ac:dyDescent="0.35">
      <c r="A37" s="24">
        <v>23</v>
      </c>
      <c r="B37" s="513" t="str">
        <f>IF('As-Filed Schedule 2C'!B37:D37=0,"",'As-Filed Schedule 2C'!B37:D37)</f>
        <v>Support Services (front desk at outpatient clinics)</v>
      </c>
      <c r="C37" s="513"/>
      <c r="D37" s="513"/>
      <c r="F37" s="117">
        <f>'As-Filed Schedule 2C'!F37</f>
        <v>2473635.2564085964</v>
      </c>
      <c r="G37" s="314">
        <f>SUMIFS(Adjustments!$G:$G,Adjustments!$H:$H,"2C",Adjustments!$I:$I,'Schedule 2C Adjustments'!$F$12,Adjustments!$J:$J,'Schedule 2C Adjustments'!$A37)</f>
        <v>0</v>
      </c>
      <c r="H37" s="310">
        <f t="shared" si="0"/>
        <v>2473635.2564085964</v>
      </c>
      <c r="I37" s="68">
        <f>IFERROR(F37*'As-Filed Schedule 1'!$E$103,0)</f>
        <v>763568.77035250422</v>
      </c>
      <c r="J37" s="311">
        <f>IFERROR(H37*'Adjusted Schedule 1'!$E$104,0)</f>
        <v>763568.77035250422</v>
      </c>
      <c r="K37" s="68">
        <f t="shared" si="1"/>
        <v>3237204.0267611006</v>
      </c>
      <c r="L37" s="311">
        <f t="shared" si="2"/>
        <v>3237204.0267611006</v>
      </c>
      <c r="N37" s="117">
        <f>'As-Filed Schedule 2C'!J37</f>
        <v>0</v>
      </c>
      <c r="O37" s="314">
        <f>SUMIFS(Adjustments!$G:$G,Adjustments!$H:$H,"2C",Adjustments!$I:$I,'Schedule 2C Adjustments'!$N$12,Adjustments!$J:$J,'Schedule 2C Adjustments'!$A37)</f>
        <v>0</v>
      </c>
      <c r="P37" s="310">
        <f t="shared" si="3"/>
        <v>0</v>
      </c>
      <c r="Q37" s="68">
        <f>IFERROR(N37*'As-Filed Schedule 1'!$E$103,0)</f>
        <v>0</v>
      </c>
      <c r="R37" s="311">
        <f>IFERROR(P37*'Adjusted Schedule 1'!$E$104,0)</f>
        <v>0</v>
      </c>
      <c r="S37" s="68">
        <f t="shared" si="4"/>
        <v>0</v>
      </c>
      <c r="T37" s="311">
        <f t="shared" si="5"/>
        <v>0</v>
      </c>
      <c r="V37" s="120">
        <f>'As-Filed Schedule 2C'!N37</f>
        <v>37.186666666666667</v>
      </c>
      <c r="W37" s="314">
        <f>SUMIFS(Adjustments!$G:$G,Adjustments!$H:$H,"2C",Adjustments!$I:$I,'Schedule 2C Adjustments'!$V$12,Adjustments!$J:$J,'Schedule 2C Adjustments'!$A37)</f>
        <v>0</v>
      </c>
      <c r="X37" s="310">
        <f t="shared" si="6"/>
        <v>37.186666666666667</v>
      </c>
      <c r="Y37" s="120">
        <f>'As-Filed Schedule 2C'!O37</f>
        <v>0</v>
      </c>
      <c r="Z37" s="314">
        <f>SUMIFS(Adjustments!$G:$G,Adjustments!$H:$H,"2C",Adjustments!$I:$I,'Schedule 2C Adjustments'!$Y$12,Adjustments!$J:$J,'Schedule 2C Adjustments'!$A37)</f>
        <v>0</v>
      </c>
      <c r="AA37" s="310">
        <f t="shared" si="7"/>
        <v>0</v>
      </c>
    </row>
    <row r="38" spans="1:27" x14ac:dyDescent="0.35">
      <c r="A38" s="24">
        <v>24</v>
      </c>
      <c r="B38" s="513" t="str">
        <f>IF('As-Filed Schedule 2C'!B38:D38=0,"",'As-Filed Schedule 2C'!B38:D38)</f>
        <v>The Right Place (care coordination at VA assisted living)</v>
      </c>
      <c r="C38" s="513"/>
      <c r="D38" s="513"/>
      <c r="F38" s="117">
        <f>'As-Filed Schedule 2C'!F38</f>
        <v>117126.58030165717</v>
      </c>
      <c r="G38" s="314">
        <f>SUMIFS(Adjustments!$G:$G,Adjustments!$H:$H,"2C",Adjustments!$I:$I,'Schedule 2C Adjustments'!$F$12,Adjustments!$J:$J,'Schedule 2C Adjustments'!$A38)</f>
        <v>0</v>
      </c>
      <c r="H38" s="310">
        <f t="shared" si="0"/>
        <v>117126.58030165717</v>
      </c>
      <c r="I38" s="68">
        <f>IFERROR(F38*'As-Filed Schedule 1'!$E$103,0)</f>
        <v>36154.966123169383</v>
      </c>
      <c r="J38" s="311">
        <f>IFERROR(H38*'Adjusted Schedule 1'!$E$104,0)</f>
        <v>36154.966123169383</v>
      </c>
      <c r="K38" s="68">
        <f t="shared" si="1"/>
        <v>153281.54642482655</v>
      </c>
      <c r="L38" s="311">
        <f t="shared" si="2"/>
        <v>153281.54642482655</v>
      </c>
      <c r="N38" s="117">
        <f>'As-Filed Schedule 2C'!J38</f>
        <v>0</v>
      </c>
      <c r="O38" s="314">
        <f>SUMIFS(Adjustments!$G:$G,Adjustments!$H:$H,"2C",Adjustments!$I:$I,'Schedule 2C Adjustments'!$N$12,Adjustments!$J:$J,'Schedule 2C Adjustments'!$A38)</f>
        <v>0</v>
      </c>
      <c r="P38" s="310">
        <f t="shared" si="3"/>
        <v>0</v>
      </c>
      <c r="Q38" s="68">
        <f>IFERROR(N38*'As-Filed Schedule 1'!$E$103,0)</f>
        <v>0</v>
      </c>
      <c r="R38" s="311">
        <f>IFERROR(P38*'Adjusted Schedule 1'!$E$104,0)</f>
        <v>0</v>
      </c>
      <c r="S38" s="68">
        <f t="shared" si="4"/>
        <v>0</v>
      </c>
      <c r="T38" s="311">
        <f t="shared" si="5"/>
        <v>0</v>
      </c>
      <c r="V38" s="120">
        <f>'As-Filed Schedule 2C'!N38</f>
        <v>1.74</v>
      </c>
      <c r="W38" s="314">
        <f>SUMIFS(Adjustments!$G:$G,Adjustments!$H:$H,"2C",Adjustments!$I:$I,'Schedule 2C Adjustments'!$V$12,Adjustments!$J:$J,'Schedule 2C Adjustments'!$A38)</f>
        <v>0</v>
      </c>
      <c r="X38" s="310">
        <f t="shared" si="6"/>
        <v>1.74</v>
      </c>
      <c r="Y38" s="120">
        <f>'As-Filed Schedule 2C'!O38</f>
        <v>68</v>
      </c>
      <c r="Z38" s="314">
        <f>SUMIFS(Adjustments!$G:$G,Adjustments!$H:$H,"2C",Adjustments!$I:$I,'Schedule 2C Adjustments'!$Y$12,Adjustments!$J:$J,'Schedule 2C Adjustments'!$A38)</f>
        <v>0</v>
      </c>
      <c r="AA38" s="310">
        <f t="shared" si="7"/>
        <v>68</v>
      </c>
    </row>
    <row r="39" spans="1:27" x14ac:dyDescent="0.35">
      <c r="A39" s="24">
        <v>25</v>
      </c>
      <c r="B39" s="513" t="str">
        <f>IF('As-Filed Schedule 2C'!B39:D39=0,"",'As-Filed Schedule 2C'!B39:D39)</f>
        <v>Medication Assisted Recovery Center - Trinidad, CO</v>
      </c>
      <c r="C39" s="513"/>
      <c r="D39" s="513"/>
      <c r="F39" s="117">
        <f>'As-Filed Schedule 2C'!F39</f>
        <v>310945.66218928015</v>
      </c>
      <c r="G39" s="314">
        <f>SUMIFS(Adjustments!$G:$G,Adjustments!$H:$H,"2C",Adjustments!$I:$I,'Schedule 2C Adjustments'!$F$12,Adjustments!$J:$J,'Schedule 2C Adjustments'!$A39)</f>
        <v>0</v>
      </c>
      <c r="H39" s="310">
        <f t="shared" si="0"/>
        <v>310945.66218928015</v>
      </c>
      <c r="I39" s="68">
        <f>IFERROR(F39*'As-Filed Schedule 1'!$E$103,0)</f>
        <v>95983.591885341099</v>
      </c>
      <c r="J39" s="311">
        <f>IFERROR(H39*'Adjusted Schedule 1'!$E$104,0)</f>
        <v>95983.591885341099</v>
      </c>
      <c r="K39" s="68">
        <f t="shared" si="1"/>
        <v>406929.25407462125</v>
      </c>
      <c r="L39" s="311">
        <f t="shared" si="2"/>
        <v>406929.25407462125</v>
      </c>
      <c r="N39" s="117">
        <f>'As-Filed Schedule 2C'!J39</f>
        <v>0</v>
      </c>
      <c r="O39" s="314">
        <f>SUMIFS(Adjustments!$G:$G,Adjustments!$H:$H,"2C",Adjustments!$I:$I,'Schedule 2C Adjustments'!$N$12,Adjustments!$J:$J,'Schedule 2C Adjustments'!$A39)</f>
        <v>0</v>
      </c>
      <c r="P39" s="310">
        <f t="shared" si="3"/>
        <v>0</v>
      </c>
      <c r="Q39" s="68">
        <f>IFERROR(N39*'As-Filed Schedule 1'!$E$103,0)</f>
        <v>0</v>
      </c>
      <c r="R39" s="311">
        <f>IFERROR(P39*'Adjusted Schedule 1'!$E$104,0)</f>
        <v>0</v>
      </c>
      <c r="S39" s="68">
        <f t="shared" si="4"/>
        <v>0</v>
      </c>
      <c r="T39" s="311">
        <f t="shared" si="5"/>
        <v>0</v>
      </c>
      <c r="V39" s="120">
        <f>'As-Filed Schedule 2C'!N39</f>
        <v>2.02</v>
      </c>
      <c r="W39" s="314">
        <f>SUMIFS(Adjustments!$G:$G,Adjustments!$H:$H,"2C",Adjustments!$I:$I,'Schedule 2C Adjustments'!$V$12,Adjustments!$J:$J,'Schedule 2C Adjustments'!$A39)</f>
        <v>0</v>
      </c>
      <c r="X39" s="310">
        <f t="shared" si="6"/>
        <v>2.02</v>
      </c>
      <c r="Y39" s="120">
        <f>'As-Filed Schedule 2C'!O39</f>
        <v>117</v>
      </c>
      <c r="Z39" s="314">
        <f>SUMIFS(Adjustments!$G:$G,Adjustments!$H:$H,"2C",Adjustments!$I:$I,'Schedule 2C Adjustments'!$Y$12,Adjustments!$J:$J,'Schedule 2C Adjustments'!$A39)</f>
        <v>0</v>
      </c>
      <c r="AA39" s="310">
        <f t="shared" si="7"/>
        <v>117</v>
      </c>
    </row>
    <row r="40" spans="1:27" x14ac:dyDescent="0.35">
      <c r="A40" s="24">
        <v>26</v>
      </c>
      <c r="B40" s="513" t="str">
        <f>IF('As-Filed Schedule 2C'!B40:D40=0,"",'As-Filed Schedule 2C'!B40:D40)</f>
        <v>Outpatient Services - Trinidad, CO</v>
      </c>
      <c r="C40" s="513"/>
      <c r="D40" s="513"/>
      <c r="F40" s="117">
        <f>'As-Filed Schedule 2C'!F40</f>
        <v>799930.60615047254</v>
      </c>
      <c r="G40" s="314">
        <f>SUMIFS(Adjustments!$G:$G,Adjustments!$H:$H,"2C",Adjustments!$I:$I,'Schedule 2C Adjustments'!$F$12,Adjustments!$J:$J,'Schedule 2C Adjustments'!$A40)</f>
        <v>0</v>
      </c>
      <c r="H40" s="310">
        <f t="shared" si="0"/>
        <v>799930.60615047254</v>
      </c>
      <c r="I40" s="68">
        <f>IFERROR(F40*'As-Filed Schedule 1'!$E$103,0)</f>
        <v>246924.85592740803</v>
      </c>
      <c r="J40" s="311">
        <f>IFERROR(H40*'Adjusted Schedule 1'!$E$104,0)</f>
        <v>246924.85592740803</v>
      </c>
      <c r="K40" s="68">
        <f t="shared" si="1"/>
        <v>1046855.4620778805</v>
      </c>
      <c r="L40" s="311">
        <f t="shared" si="2"/>
        <v>1046855.4620778805</v>
      </c>
      <c r="N40" s="117">
        <f>'As-Filed Schedule 2C'!J40</f>
        <v>0</v>
      </c>
      <c r="O40" s="314">
        <f>SUMIFS(Adjustments!$G:$G,Adjustments!$H:$H,"2C",Adjustments!$I:$I,'Schedule 2C Adjustments'!$N$12,Adjustments!$J:$J,'Schedule 2C Adjustments'!$A40)</f>
        <v>0</v>
      </c>
      <c r="P40" s="310">
        <f t="shared" si="3"/>
        <v>0</v>
      </c>
      <c r="Q40" s="68">
        <f>IFERROR(N40*'As-Filed Schedule 1'!$E$103,0)</f>
        <v>0</v>
      </c>
      <c r="R40" s="311">
        <f>IFERROR(P40*'Adjusted Schedule 1'!$E$104,0)</f>
        <v>0</v>
      </c>
      <c r="S40" s="68">
        <f t="shared" si="4"/>
        <v>0</v>
      </c>
      <c r="T40" s="311">
        <f t="shared" si="5"/>
        <v>0</v>
      </c>
      <c r="V40" s="120">
        <f>'As-Filed Schedule 2C'!N40</f>
        <v>6.5808333333333318</v>
      </c>
      <c r="W40" s="314">
        <f>SUMIFS(Adjustments!$G:$G,Adjustments!$H:$H,"2C",Adjustments!$I:$I,'Schedule 2C Adjustments'!$V$12,Adjustments!$J:$J,'Schedule 2C Adjustments'!$A40)</f>
        <v>0</v>
      </c>
      <c r="X40" s="310">
        <f t="shared" si="6"/>
        <v>6.5808333333333318</v>
      </c>
      <c r="Y40" s="120">
        <f>'As-Filed Schedule 2C'!O40</f>
        <v>603</v>
      </c>
      <c r="Z40" s="314">
        <f>SUMIFS(Adjustments!$G:$G,Adjustments!$H:$H,"2C",Adjustments!$I:$I,'Schedule 2C Adjustments'!$Y$12,Adjustments!$J:$J,'Schedule 2C Adjustments'!$A40)</f>
        <v>0</v>
      </c>
      <c r="AA40" s="310">
        <f t="shared" si="7"/>
        <v>603</v>
      </c>
    </row>
    <row r="41" spans="1:27" x14ac:dyDescent="0.35">
      <c r="A41" s="24">
        <v>27</v>
      </c>
      <c r="B41" s="513" t="str">
        <f>IF('As-Filed Schedule 2C'!B41:D41=0,"",'As-Filed Schedule 2C'!B41:D41)</f>
        <v>Outpatient Services - Walsenburg, CO</v>
      </c>
      <c r="C41" s="513"/>
      <c r="D41" s="513"/>
      <c r="F41" s="117">
        <f>'As-Filed Schedule 2C'!F41</f>
        <v>479304.43993559037</v>
      </c>
      <c r="G41" s="314">
        <f>SUMIFS(Adjustments!$G:$G,Adjustments!$H:$H,"2C",Adjustments!$I:$I,'Schedule 2C Adjustments'!$F$12,Adjustments!$J:$J,'Schedule 2C Adjustments'!$A41)</f>
        <v>0</v>
      </c>
      <c r="H41" s="310">
        <f t="shared" si="0"/>
        <v>479304.43993559037</v>
      </c>
      <c r="I41" s="68">
        <f>IFERROR(F41*'As-Filed Schedule 1'!$E$103,0)</f>
        <v>147953.0585109276</v>
      </c>
      <c r="J41" s="311">
        <f>IFERROR(H41*'Adjusted Schedule 1'!$E$104,0)</f>
        <v>147953.0585109276</v>
      </c>
      <c r="K41" s="68">
        <f t="shared" si="1"/>
        <v>627257.49844651797</v>
      </c>
      <c r="L41" s="311">
        <f t="shared" si="2"/>
        <v>627257.49844651797</v>
      </c>
      <c r="N41" s="117">
        <f>'As-Filed Schedule 2C'!J41</f>
        <v>0</v>
      </c>
      <c r="O41" s="314">
        <f>SUMIFS(Adjustments!$G:$G,Adjustments!$H:$H,"2C",Adjustments!$I:$I,'Schedule 2C Adjustments'!$N$12,Adjustments!$J:$J,'Schedule 2C Adjustments'!$A41)</f>
        <v>0</v>
      </c>
      <c r="P41" s="310">
        <f t="shared" si="3"/>
        <v>0</v>
      </c>
      <c r="Q41" s="68">
        <f>IFERROR(N41*'As-Filed Schedule 1'!$E$103,0)</f>
        <v>0</v>
      </c>
      <c r="R41" s="311">
        <f>IFERROR(P41*'Adjusted Schedule 1'!$E$104,0)</f>
        <v>0</v>
      </c>
      <c r="S41" s="68">
        <f t="shared" si="4"/>
        <v>0</v>
      </c>
      <c r="T41" s="311">
        <f t="shared" si="5"/>
        <v>0</v>
      </c>
      <c r="V41" s="120">
        <f>'As-Filed Schedule 2C'!N41</f>
        <v>3.2749999999999999</v>
      </c>
      <c r="W41" s="314">
        <f>SUMIFS(Adjustments!$G:$G,Adjustments!$H:$H,"2C",Adjustments!$I:$I,'Schedule 2C Adjustments'!$V$12,Adjustments!$J:$J,'Schedule 2C Adjustments'!$A41)</f>
        <v>0</v>
      </c>
      <c r="X41" s="310">
        <f t="shared" si="6"/>
        <v>3.2749999999999999</v>
      </c>
      <c r="Y41" s="120">
        <f>'As-Filed Schedule 2C'!O41</f>
        <v>327</v>
      </c>
      <c r="Z41" s="314">
        <f>SUMIFS(Adjustments!$G:$G,Adjustments!$H:$H,"2C",Adjustments!$I:$I,'Schedule 2C Adjustments'!$Y$12,Adjustments!$J:$J,'Schedule 2C Adjustments'!$A41)</f>
        <v>0</v>
      </c>
      <c r="AA41" s="310">
        <f t="shared" si="7"/>
        <v>327</v>
      </c>
    </row>
    <row r="42" spans="1:27" x14ac:dyDescent="0.35">
      <c r="A42" s="24">
        <v>28</v>
      </c>
      <c r="B42" s="513" t="str">
        <f>IF('As-Filed Schedule 2C'!B42:D42=0,"",'As-Filed Schedule 2C'!B42:D42)</f>
        <v>Youth &amp; Family Services</v>
      </c>
      <c r="C42" s="513"/>
      <c r="D42" s="513"/>
      <c r="F42" s="117">
        <f>'As-Filed Schedule 2C'!F42</f>
        <v>1274835.3813155424</v>
      </c>
      <c r="G42" s="314">
        <f>SUMIFS(Adjustments!$G:$G,Adjustments!$H:$H,"2C",Adjustments!$I:$I,'Schedule 2C Adjustments'!$F$12,Adjustments!$J:$J,'Schedule 2C Adjustments'!$A42)</f>
        <v>0</v>
      </c>
      <c r="H42" s="310">
        <f t="shared" si="0"/>
        <v>1274835.3813155424</v>
      </c>
      <c r="I42" s="68">
        <f>IFERROR(F42*'As-Filed Schedule 1'!$E$103,0)</f>
        <v>393519.81339652435</v>
      </c>
      <c r="J42" s="311">
        <f>IFERROR(H42*'Adjusted Schedule 1'!$E$104,0)</f>
        <v>393519.81339652435</v>
      </c>
      <c r="K42" s="68">
        <f t="shared" si="1"/>
        <v>1668355.1947120668</v>
      </c>
      <c r="L42" s="311">
        <f t="shared" si="2"/>
        <v>1668355.1947120668</v>
      </c>
      <c r="N42" s="117">
        <f>'As-Filed Schedule 2C'!J42</f>
        <v>0</v>
      </c>
      <c r="O42" s="314">
        <f>SUMIFS(Adjustments!$G:$G,Adjustments!$H:$H,"2C",Adjustments!$I:$I,'Schedule 2C Adjustments'!$N$12,Adjustments!$J:$J,'Schedule 2C Adjustments'!$A42)</f>
        <v>0</v>
      </c>
      <c r="P42" s="310">
        <f t="shared" si="3"/>
        <v>0</v>
      </c>
      <c r="Q42" s="68">
        <f>IFERROR(N42*'As-Filed Schedule 1'!$E$103,0)</f>
        <v>0</v>
      </c>
      <c r="R42" s="311">
        <f>IFERROR(P42*'Adjusted Schedule 1'!$E$104,0)</f>
        <v>0</v>
      </c>
      <c r="S42" s="68">
        <f t="shared" si="4"/>
        <v>0</v>
      </c>
      <c r="T42" s="311">
        <f t="shared" si="5"/>
        <v>0</v>
      </c>
      <c r="V42" s="120">
        <f>'As-Filed Schedule 2C'!N42</f>
        <v>10.737500000000002</v>
      </c>
      <c r="W42" s="314">
        <f>SUMIFS(Adjustments!$G:$G,Adjustments!$H:$H,"2C",Adjustments!$I:$I,'Schedule 2C Adjustments'!$V$12,Adjustments!$J:$J,'Schedule 2C Adjustments'!$A42)</f>
        <v>0</v>
      </c>
      <c r="X42" s="310">
        <f t="shared" si="6"/>
        <v>10.737500000000002</v>
      </c>
      <c r="Y42" s="120">
        <f>'As-Filed Schedule 2C'!O42</f>
        <v>975</v>
      </c>
      <c r="Z42" s="314">
        <f>SUMIFS(Adjustments!$G:$G,Adjustments!$H:$H,"2C",Adjustments!$I:$I,'Schedule 2C Adjustments'!$Y$12,Adjustments!$J:$J,'Schedule 2C Adjustments'!$A42)</f>
        <v>0</v>
      </c>
      <c r="AA42" s="310">
        <f t="shared" si="7"/>
        <v>975</v>
      </c>
    </row>
    <row r="43" spans="1:27" x14ac:dyDescent="0.35">
      <c r="A43" s="24">
        <v>29</v>
      </c>
      <c r="B43" s="513" t="str">
        <f>IF('As-Filed Schedule 2C'!B43:D43=0,"",'As-Filed Schedule 2C'!B43:D43)</f>
        <v>Injectable medications &amp; lab services</v>
      </c>
      <c r="C43" s="513"/>
      <c r="D43" s="513"/>
      <c r="F43" s="117">
        <f>'As-Filed Schedule 2C'!F43</f>
        <v>0</v>
      </c>
      <c r="G43" s="314">
        <f>SUMIFS(Adjustments!$G:$G,Adjustments!$H:$H,"2C",Adjustments!$I:$I,'Schedule 2C Adjustments'!$F$12,Adjustments!$J:$J,'Schedule 2C Adjustments'!$A43)</f>
        <v>0</v>
      </c>
      <c r="H43" s="310">
        <f t="shared" si="0"/>
        <v>0</v>
      </c>
      <c r="I43" s="68">
        <f>IFERROR(F43*'As-Filed Schedule 1'!$E$103,0)</f>
        <v>0</v>
      </c>
      <c r="J43" s="311">
        <f>IFERROR(H43*'Adjusted Schedule 1'!$E$104,0)</f>
        <v>0</v>
      </c>
      <c r="K43" s="68">
        <f t="shared" si="1"/>
        <v>0</v>
      </c>
      <c r="L43" s="311">
        <f t="shared" si="2"/>
        <v>0</v>
      </c>
      <c r="N43" s="117">
        <f>'As-Filed Schedule 2C'!J43</f>
        <v>176870</v>
      </c>
      <c r="O43" s="314">
        <f>SUMIFS(Adjustments!$G:$G,Adjustments!$H:$H,"2C",Adjustments!$I:$I,'Schedule 2C Adjustments'!$N$12,Adjustments!$J:$J,'Schedule 2C Adjustments'!$A43)</f>
        <v>0</v>
      </c>
      <c r="P43" s="310">
        <f t="shared" si="3"/>
        <v>176870</v>
      </c>
      <c r="Q43" s="68">
        <f>IFERROR(N43*'As-Filed Schedule 1'!$E$103,0)</f>
        <v>54596.734931861516</v>
      </c>
      <c r="R43" s="311">
        <f>IFERROR(P43*'Adjusted Schedule 1'!$E$104,0)</f>
        <v>54596.734931861516</v>
      </c>
      <c r="S43" s="68">
        <f t="shared" si="4"/>
        <v>231466.73493186152</v>
      </c>
      <c r="T43" s="311">
        <f t="shared" si="5"/>
        <v>231466.73493186152</v>
      </c>
      <c r="V43" s="120">
        <f>'As-Filed Schedule 2C'!N43</f>
        <v>0</v>
      </c>
      <c r="W43" s="314">
        <f>SUMIFS(Adjustments!$G:$G,Adjustments!$H:$H,"2C",Adjustments!$I:$I,'Schedule 2C Adjustments'!$V$12,Adjustments!$J:$J,'Schedule 2C Adjustments'!$A43)</f>
        <v>0</v>
      </c>
      <c r="X43" s="310">
        <f t="shared" si="6"/>
        <v>0</v>
      </c>
      <c r="Y43" s="120">
        <f>'As-Filed Schedule 2C'!O43</f>
        <v>0</v>
      </c>
      <c r="Z43" s="314">
        <f>SUMIFS(Adjustments!$G:$G,Adjustments!$H:$H,"2C",Adjustments!$I:$I,'Schedule 2C Adjustments'!$Y$12,Adjustments!$J:$J,'Schedule 2C Adjustments'!$A43)</f>
        <v>0</v>
      </c>
      <c r="AA43" s="310">
        <f t="shared" si="7"/>
        <v>0</v>
      </c>
    </row>
    <row r="44" spans="1:27" x14ac:dyDescent="0.35">
      <c r="A44" s="24">
        <v>30</v>
      </c>
      <c r="B44" s="513" t="str">
        <f>IF('As-Filed Schedule 2C'!B44:D44=0,"",'As-Filed Schedule 2C'!B44:D44)</f>
        <v>Electronic Health Record team</v>
      </c>
      <c r="C44" s="513"/>
      <c r="D44" s="513"/>
      <c r="F44" s="117">
        <f>'As-Filed Schedule 2C'!F44</f>
        <v>879500.79325802694</v>
      </c>
      <c r="G44" s="314">
        <f>SUMIFS(Adjustments!$G:$G,Adjustments!$H:$H,"2C",Adjustments!$I:$I,'Schedule 2C Adjustments'!$F$12,Adjustments!$J:$J,'Schedule 2C Adjustments'!$A44)</f>
        <v>0</v>
      </c>
      <c r="H44" s="310">
        <f t="shared" si="0"/>
        <v>879500.79325802694</v>
      </c>
      <c r="I44" s="68">
        <f>IFERROR(F44*'As-Filed Schedule 1'!$E$103,0)</f>
        <v>271486.80772245396</v>
      </c>
      <c r="J44" s="311">
        <f>IFERROR(H44*'Adjusted Schedule 1'!$E$104,0)</f>
        <v>271486.80772245396</v>
      </c>
      <c r="K44" s="68">
        <f t="shared" si="1"/>
        <v>1150987.6009804809</v>
      </c>
      <c r="L44" s="311">
        <f t="shared" si="2"/>
        <v>1150987.6009804809</v>
      </c>
      <c r="N44" s="117">
        <f>'As-Filed Schedule 2C'!J44</f>
        <v>0</v>
      </c>
      <c r="O44" s="314">
        <f>SUMIFS(Adjustments!$G:$G,Adjustments!$H:$H,"2C",Adjustments!$I:$I,'Schedule 2C Adjustments'!$N$12,Adjustments!$J:$J,'Schedule 2C Adjustments'!$A44)</f>
        <v>0</v>
      </c>
      <c r="P44" s="310">
        <f t="shared" si="3"/>
        <v>0</v>
      </c>
      <c r="Q44" s="68">
        <f>IFERROR(N44*'As-Filed Schedule 1'!$E$103,0)</f>
        <v>0</v>
      </c>
      <c r="R44" s="311">
        <f>IFERROR(P44*'Adjusted Schedule 1'!$E$104,0)</f>
        <v>0</v>
      </c>
      <c r="S44" s="68">
        <f t="shared" si="4"/>
        <v>0</v>
      </c>
      <c r="T44" s="311">
        <f t="shared" si="5"/>
        <v>0</v>
      </c>
      <c r="V44" s="120">
        <f>'As-Filed Schedule 2C'!N44</f>
        <v>6.416666666666667</v>
      </c>
      <c r="W44" s="314">
        <f>SUMIFS(Adjustments!$G:$G,Adjustments!$H:$H,"2C",Adjustments!$I:$I,'Schedule 2C Adjustments'!$V$12,Adjustments!$J:$J,'Schedule 2C Adjustments'!$A44)</f>
        <v>0</v>
      </c>
      <c r="X44" s="310">
        <f t="shared" si="6"/>
        <v>6.416666666666667</v>
      </c>
      <c r="Y44" s="120">
        <f>'As-Filed Schedule 2C'!O44</f>
        <v>0</v>
      </c>
      <c r="Z44" s="314">
        <f>SUMIFS(Adjustments!$G:$G,Adjustments!$H:$H,"2C",Adjustments!$I:$I,'Schedule 2C Adjustments'!$Y$12,Adjustments!$J:$J,'Schedule 2C Adjustments'!$A44)</f>
        <v>0</v>
      </c>
      <c r="AA44" s="310">
        <f t="shared" si="7"/>
        <v>0</v>
      </c>
    </row>
    <row r="45" spans="1:27" x14ac:dyDescent="0.35">
      <c r="A45" s="24">
        <v>31</v>
      </c>
      <c r="B45" s="513" t="str">
        <f>IF('As-Filed Schedule 2C'!B45:D45=0,"",'As-Filed Schedule 2C'!B45:D45)</f>
        <v/>
      </c>
      <c r="C45" s="513"/>
      <c r="D45" s="513"/>
      <c r="F45" s="117">
        <f>'As-Filed Schedule 2C'!F45</f>
        <v>0</v>
      </c>
      <c r="G45" s="314">
        <f>SUMIFS(Adjustments!$G:$G,Adjustments!$H:$H,"2C",Adjustments!$I:$I,'Schedule 2C Adjustments'!$F$12,Adjustments!$J:$J,'Schedule 2C Adjustments'!$A45)</f>
        <v>0</v>
      </c>
      <c r="H45" s="310">
        <f t="shared" si="0"/>
        <v>0</v>
      </c>
      <c r="I45" s="68">
        <f>IFERROR(F45*'As-Filed Schedule 1'!$E$103,0)</f>
        <v>0</v>
      </c>
      <c r="J45" s="311">
        <f>IFERROR(H45*'Adjusted Schedule 1'!$E$104,0)</f>
        <v>0</v>
      </c>
      <c r="K45" s="68">
        <f t="shared" si="1"/>
        <v>0</v>
      </c>
      <c r="L45" s="311">
        <f t="shared" si="2"/>
        <v>0</v>
      </c>
      <c r="N45" s="117">
        <f>'As-Filed Schedule 2C'!J45</f>
        <v>0</v>
      </c>
      <c r="O45" s="314">
        <f>SUMIFS(Adjustments!$G:$G,Adjustments!$H:$H,"2C",Adjustments!$I:$I,'Schedule 2C Adjustments'!$N$12,Adjustments!$J:$J,'Schedule 2C Adjustments'!$A45)</f>
        <v>0</v>
      </c>
      <c r="P45" s="310">
        <f t="shared" si="3"/>
        <v>0</v>
      </c>
      <c r="Q45" s="68">
        <f>IFERROR(N45*'As-Filed Schedule 1'!$E$103,0)</f>
        <v>0</v>
      </c>
      <c r="R45" s="311">
        <f>IFERROR(P45*'Adjusted Schedule 1'!$E$104,0)</f>
        <v>0</v>
      </c>
      <c r="S45" s="68">
        <f t="shared" si="4"/>
        <v>0</v>
      </c>
      <c r="T45" s="311">
        <f t="shared" si="5"/>
        <v>0</v>
      </c>
      <c r="V45" s="120">
        <f>'As-Filed Schedule 2C'!N45</f>
        <v>0</v>
      </c>
      <c r="W45" s="314">
        <f>SUMIFS(Adjustments!$G:$G,Adjustments!$H:$H,"2C",Adjustments!$I:$I,'Schedule 2C Adjustments'!$V$12,Adjustments!$J:$J,'Schedule 2C Adjustments'!$A45)</f>
        <v>0</v>
      </c>
      <c r="X45" s="310">
        <f t="shared" si="6"/>
        <v>0</v>
      </c>
      <c r="Y45" s="120">
        <f>'As-Filed Schedule 2C'!O45</f>
        <v>0</v>
      </c>
      <c r="Z45" s="314">
        <f>SUMIFS(Adjustments!$G:$G,Adjustments!$H:$H,"2C",Adjustments!$I:$I,'Schedule 2C Adjustments'!$Y$12,Adjustments!$J:$J,'Schedule 2C Adjustments'!$A45)</f>
        <v>0</v>
      </c>
      <c r="AA45" s="310">
        <f t="shared" si="7"/>
        <v>0</v>
      </c>
    </row>
    <row r="46" spans="1:27" x14ac:dyDescent="0.35">
      <c r="A46" s="24">
        <v>32</v>
      </c>
      <c r="B46" s="513" t="str">
        <f>IF('As-Filed Schedule 2C'!B46:D46=0,"",'As-Filed Schedule 2C'!B46:D46)</f>
        <v/>
      </c>
      <c r="C46" s="513"/>
      <c r="D46" s="513"/>
      <c r="F46" s="117">
        <f>'As-Filed Schedule 2C'!F46</f>
        <v>0</v>
      </c>
      <c r="G46" s="314">
        <f>SUMIFS(Adjustments!$G:$G,Adjustments!$H:$H,"2C",Adjustments!$I:$I,'Schedule 2C Adjustments'!$F$12,Adjustments!$J:$J,'Schedule 2C Adjustments'!$A46)</f>
        <v>0</v>
      </c>
      <c r="H46" s="310">
        <f t="shared" si="0"/>
        <v>0</v>
      </c>
      <c r="I46" s="68">
        <f>IFERROR(F46*'As-Filed Schedule 1'!$E$103,0)</f>
        <v>0</v>
      </c>
      <c r="J46" s="311">
        <f>IFERROR(H46*'Adjusted Schedule 1'!$E$104,0)</f>
        <v>0</v>
      </c>
      <c r="K46" s="68">
        <f t="shared" si="1"/>
        <v>0</v>
      </c>
      <c r="L46" s="311">
        <f t="shared" si="2"/>
        <v>0</v>
      </c>
      <c r="N46" s="117">
        <f>'As-Filed Schedule 2C'!J46</f>
        <v>0</v>
      </c>
      <c r="O46" s="314">
        <f>SUMIFS(Adjustments!$G:$G,Adjustments!$H:$H,"2C",Adjustments!$I:$I,'Schedule 2C Adjustments'!$N$12,Adjustments!$J:$J,'Schedule 2C Adjustments'!$A46)</f>
        <v>0</v>
      </c>
      <c r="P46" s="310">
        <f t="shared" si="3"/>
        <v>0</v>
      </c>
      <c r="Q46" s="68">
        <f>IFERROR(N46*'As-Filed Schedule 1'!$E$103,0)</f>
        <v>0</v>
      </c>
      <c r="R46" s="311">
        <f>IFERROR(P46*'Adjusted Schedule 1'!$E$104,0)</f>
        <v>0</v>
      </c>
      <c r="S46" s="68">
        <f t="shared" si="4"/>
        <v>0</v>
      </c>
      <c r="T46" s="311">
        <f t="shared" si="5"/>
        <v>0</v>
      </c>
      <c r="V46" s="120">
        <f>'As-Filed Schedule 2C'!N46</f>
        <v>0</v>
      </c>
      <c r="W46" s="314">
        <f>SUMIFS(Adjustments!$G:$G,Adjustments!$H:$H,"2C",Adjustments!$I:$I,'Schedule 2C Adjustments'!$V$12,Adjustments!$J:$J,'Schedule 2C Adjustments'!$A46)</f>
        <v>0</v>
      </c>
      <c r="X46" s="310">
        <f t="shared" si="6"/>
        <v>0</v>
      </c>
      <c r="Y46" s="120">
        <f>'As-Filed Schedule 2C'!O46</f>
        <v>0</v>
      </c>
      <c r="Z46" s="314">
        <f>SUMIFS(Adjustments!$G:$G,Adjustments!$H:$H,"2C",Adjustments!$I:$I,'Schedule 2C Adjustments'!$Y$12,Adjustments!$J:$J,'Schedule 2C Adjustments'!$A46)</f>
        <v>0</v>
      </c>
      <c r="AA46" s="310">
        <f t="shared" si="7"/>
        <v>0</v>
      </c>
    </row>
    <row r="47" spans="1:27" x14ac:dyDescent="0.35">
      <c r="A47" s="24">
        <v>33</v>
      </c>
      <c r="B47" s="513" t="str">
        <f>IF('As-Filed Schedule 2C'!B47:D47=0,"",'As-Filed Schedule 2C'!B47:D47)</f>
        <v/>
      </c>
      <c r="C47" s="513"/>
      <c r="D47" s="513"/>
      <c r="F47" s="117">
        <f>'As-Filed Schedule 2C'!F47</f>
        <v>0</v>
      </c>
      <c r="G47" s="314">
        <f>SUMIFS(Adjustments!$G:$G,Adjustments!$H:$H,"2C",Adjustments!$I:$I,'Schedule 2C Adjustments'!$F$12,Adjustments!$J:$J,'Schedule 2C Adjustments'!$A47)</f>
        <v>0</v>
      </c>
      <c r="H47" s="310">
        <f t="shared" si="0"/>
        <v>0</v>
      </c>
      <c r="I47" s="68">
        <f>IFERROR(F47*'As-Filed Schedule 1'!$E$103,0)</f>
        <v>0</v>
      </c>
      <c r="J47" s="311">
        <f>IFERROR(H47*'Adjusted Schedule 1'!$E$104,0)</f>
        <v>0</v>
      </c>
      <c r="K47" s="68">
        <f t="shared" si="1"/>
        <v>0</v>
      </c>
      <c r="L47" s="311">
        <f t="shared" si="2"/>
        <v>0</v>
      </c>
      <c r="N47" s="117">
        <f>'As-Filed Schedule 2C'!J47</f>
        <v>0</v>
      </c>
      <c r="O47" s="314">
        <f>SUMIFS(Adjustments!$G:$G,Adjustments!$H:$H,"2C",Adjustments!$I:$I,'Schedule 2C Adjustments'!$N$12,Adjustments!$J:$J,'Schedule 2C Adjustments'!$A47)</f>
        <v>0</v>
      </c>
      <c r="P47" s="310">
        <f t="shared" si="3"/>
        <v>0</v>
      </c>
      <c r="Q47" s="68">
        <f>IFERROR(N47*'As-Filed Schedule 1'!$E$103,0)</f>
        <v>0</v>
      </c>
      <c r="R47" s="311">
        <f>IFERROR(P47*'Adjusted Schedule 1'!$E$104,0)</f>
        <v>0</v>
      </c>
      <c r="S47" s="68">
        <f t="shared" si="4"/>
        <v>0</v>
      </c>
      <c r="T47" s="311">
        <f t="shared" si="5"/>
        <v>0</v>
      </c>
      <c r="V47" s="120">
        <f>'As-Filed Schedule 2C'!N47</f>
        <v>0</v>
      </c>
      <c r="W47" s="314">
        <f>SUMIFS(Adjustments!$G:$G,Adjustments!$H:$H,"2C",Adjustments!$I:$I,'Schedule 2C Adjustments'!$V$12,Adjustments!$J:$J,'Schedule 2C Adjustments'!$A47)</f>
        <v>0</v>
      </c>
      <c r="X47" s="310">
        <f t="shared" si="6"/>
        <v>0</v>
      </c>
      <c r="Y47" s="120">
        <f>'As-Filed Schedule 2C'!O47</f>
        <v>0</v>
      </c>
      <c r="Z47" s="314">
        <f>SUMIFS(Adjustments!$G:$G,Adjustments!$H:$H,"2C",Adjustments!$I:$I,'Schedule 2C Adjustments'!$Y$12,Adjustments!$J:$J,'Schedule 2C Adjustments'!$A47)</f>
        <v>0</v>
      </c>
      <c r="AA47" s="310">
        <f t="shared" si="7"/>
        <v>0</v>
      </c>
    </row>
    <row r="48" spans="1:27" x14ac:dyDescent="0.35">
      <c r="A48" s="24">
        <v>34</v>
      </c>
      <c r="B48" s="513" t="str">
        <f>IF('As-Filed Schedule 2C'!B48:D48=0,"",'As-Filed Schedule 2C'!B48:D48)</f>
        <v/>
      </c>
      <c r="C48" s="513"/>
      <c r="D48" s="513"/>
      <c r="F48" s="117">
        <f>'As-Filed Schedule 2C'!F48</f>
        <v>0</v>
      </c>
      <c r="G48" s="314">
        <f>SUMIFS(Adjustments!$G:$G,Adjustments!$H:$H,"2C",Adjustments!$I:$I,'Schedule 2C Adjustments'!$F$12,Adjustments!$J:$J,'Schedule 2C Adjustments'!$A48)</f>
        <v>0</v>
      </c>
      <c r="H48" s="310">
        <f t="shared" si="0"/>
        <v>0</v>
      </c>
      <c r="I48" s="68">
        <f>IFERROR(F48*'As-Filed Schedule 1'!$E$103,0)</f>
        <v>0</v>
      </c>
      <c r="J48" s="311">
        <f>IFERROR(H48*'Adjusted Schedule 1'!$E$104,0)</f>
        <v>0</v>
      </c>
      <c r="K48" s="68">
        <f t="shared" si="1"/>
        <v>0</v>
      </c>
      <c r="L48" s="311">
        <f t="shared" si="2"/>
        <v>0</v>
      </c>
      <c r="N48" s="117">
        <f>'As-Filed Schedule 2C'!J48</f>
        <v>0</v>
      </c>
      <c r="O48" s="314">
        <f>SUMIFS(Adjustments!$G:$G,Adjustments!$H:$H,"2C",Adjustments!$I:$I,'Schedule 2C Adjustments'!$N$12,Adjustments!$J:$J,'Schedule 2C Adjustments'!$A48)</f>
        <v>0</v>
      </c>
      <c r="P48" s="310">
        <f t="shared" si="3"/>
        <v>0</v>
      </c>
      <c r="Q48" s="68">
        <f>IFERROR(N48*'As-Filed Schedule 1'!$E$103,0)</f>
        <v>0</v>
      </c>
      <c r="R48" s="311">
        <f>IFERROR(P48*'Adjusted Schedule 1'!$E$104,0)</f>
        <v>0</v>
      </c>
      <c r="S48" s="68">
        <f t="shared" si="4"/>
        <v>0</v>
      </c>
      <c r="T48" s="311">
        <f t="shared" si="5"/>
        <v>0</v>
      </c>
      <c r="V48" s="120">
        <f>'As-Filed Schedule 2C'!N48</f>
        <v>0</v>
      </c>
      <c r="W48" s="314">
        <f>SUMIFS(Adjustments!$G:$G,Adjustments!$H:$H,"2C",Adjustments!$I:$I,'Schedule 2C Adjustments'!$V$12,Adjustments!$J:$J,'Schedule 2C Adjustments'!$A48)</f>
        <v>0</v>
      </c>
      <c r="X48" s="310">
        <f t="shared" si="6"/>
        <v>0</v>
      </c>
      <c r="Y48" s="120">
        <f>'As-Filed Schedule 2C'!O48</f>
        <v>0</v>
      </c>
      <c r="Z48" s="314">
        <f>SUMIFS(Adjustments!$G:$G,Adjustments!$H:$H,"2C",Adjustments!$I:$I,'Schedule 2C Adjustments'!$Y$12,Adjustments!$J:$J,'Schedule 2C Adjustments'!$A48)</f>
        <v>0</v>
      </c>
      <c r="AA48" s="310">
        <f t="shared" si="7"/>
        <v>0</v>
      </c>
    </row>
    <row r="49" spans="1:27" x14ac:dyDescent="0.35">
      <c r="A49" s="24">
        <v>35</v>
      </c>
      <c r="B49" s="513" t="str">
        <f>IF('As-Filed Schedule 2C'!B49:D49=0,"",'As-Filed Schedule 2C'!B49:D49)</f>
        <v/>
      </c>
      <c r="C49" s="513"/>
      <c r="D49" s="513"/>
      <c r="F49" s="117">
        <f>'As-Filed Schedule 2C'!F49</f>
        <v>0</v>
      </c>
      <c r="G49" s="314">
        <f>SUMIFS(Adjustments!$G:$G,Adjustments!$H:$H,"2C",Adjustments!$I:$I,'Schedule 2C Adjustments'!$F$12,Adjustments!$J:$J,'Schedule 2C Adjustments'!$A49)</f>
        <v>0</v>
      </c>
      <c r="H49" s="310">
        <f t="shared" si="0"/>
        <v>0</v>
      </c>
      <c r="I49" s="68">
        <f>IFERROR(F49*'As-Filed Schedule 1'!$E$103,0)</f>
        <v>0</v>
      </c>
      <c r="J49" s="311">
        <f>IFERROR(H49*'Adjusted Schedule 1'!$E$104,0)</f>
        <v>0</v>
      </c>
      <c r="K49" s="68">
        <f t="shared" si="1"/>
        <v>0</v>
      </c>
      <c r="L49" s="311">
        <f t="shared" si="2"/>
        <v>0</v>
      </c>
      <c r="N49" s="117">
        <f>'As-Filed Schedule 2C'!J49</f>
        <v>0</v>
      </c>
      <c r="O49" s="314">
        <f>SUMIFS(Adjustments!$G:$G,Adjustments!$H:$H,"2C",Adjustments!$I:$I,'Schedule 2C Adjustments'!$N$12,Adjustments!$J:$J,'Schedule 2C Adjustments'!$A49)</f>
        <v>0</v>
      </c>
      <c r="P49" s="310">
        <f t="shared" si="3"/>
        <v>0</v>
      </c>
      <c r="Q49" s="68">
        <f>IFERROR(N49*'As-Filed Schedule 1'!$E$103,0)</f>
        <v>0</v>
      </c>
      <c r="R49" s="311">
        <f>IFERROR(P49*'Adjusted Schedule 1'!$E$104,0)</f>
        <v>0</v>
      </c>
      <c r="S49" s="68">
        <f t="shared" si="4"/>
        <v>0</v>
      </c>
      <c r="T49" s="311">
        <f t="shared" si="5"/>
        <v>0</v>
      </c>
      <c r="V49" s="120">
        <f>'As-Filed Schedule 2C'!N49</f>
        <v>0</v>
      </c>
      <c r="W49" s="314">
        <f>SUMIFS(Adjustments!$G:$G,Adjustments!$H:$H,"2C",Adjustments!$I:$I,'Schedule 2C Adjustments'!$V$12,Adjustments!$J:$J,'Schedule 2C Adjustments'!$A49)</f>
        <v>0</v>
      </c>
      <c r="X49" s="310">
        <f t="shared" si="6"/>
        <v>0</v>
      </c>
      <c r="Y49" s="120">
        <f>'As-Filed Schedule 2C'!O49</f>
        <v>0</v>
      </c>
      <c r="Z49" s="314">
        <f>SUMIFS(Adjustments!$G:$G,Adjustments!$H:$H,"2C",Adjustments!$I:$I,'Schedule 2C Adjustments'!$Y$12,Adjustments!$J:$J,'Schedule 2C Adjustments'!$A49)</f>
        <v>0</v>
      </c>
      <c r="AA49" s="310">
        <f t="shared" si="7"/>
        <v>0</v>
      </c>
    </row>
    <row r="50" spans="1:27" x14ac:dyDescent="0.35">
      <c r="A50" s="24">
        <v>36</v>
      </c>
      <c r="B50" s="513" t="str">
        <f>IF('As-Filed Schedule 2C'!B50:D50=0,"",'As-Filed Schedule 2C'!B50:D50)</f>
        <v/>
      </c>
      <c r="C50" s="513"/>
      <c r="D50" s="513"/>
      <c r="F50" s="117">
        <f>'As-Filed Schedule 2C'!F50</f>
        <v>0</v>
      </c>
      <c r="G50" s="314">
        <f>SUMIFS(Adjustments!$G:$G,Adjustments!$H:$H,"2C",Adjustments!$I:$I,'Schedule 2C Adjustments'!$F$12,Adjustments!$J:$J,'Schedule 2C Adjustments'!$A50)</f>
        <v>0</v>
      </c>
      <c r="H50" s="310">
        <f t="shared" si="0"/>
        <v>0</v>
      </c>
      <c r="I50" s="68">
        <f>IFERROR(F50*'As-Filed Schedule 1'!$E$103,0)</f>
        <v>0</v>
      </c>
      <c r="J50" s="311">
        <f>IFERROR(H50*'Adjusted Schedule 1'!$E$104,0)</f>
        <v>0</v>
      </c>
      <c r="K50" s="68">
        <f t="shared" si="1"/>
        <v>0</v>
      </c>
      <c r="L50" s="311">
        <f t="shared" si="2"/>
        <v>0</v>
      </c>
      <c r="N50" s="117">
        <f>'As-Filed Schedule 2C'!J50</f>
        <v>0</v>
      </c>
      <c r="O50" s="314">
        <f>SUMIFS(Adjustments!$G:$G,Adjustments!$H:$H,"2C",Adjustments!$I:$I,'Schedule 2C Adjustments'!$N$12,Adjustments!$J:$J,'Schedule 2C Adjustments'!$A50)</f>
        <v>0</v>
      </c>
      <c r="P50" s="310">
        <f t="shared" si="3"/>
        <v>0</v>
      </c>
      <c r="Q50" s="68">
        <f>IFERROR(N50*'As-Filed Schedule 1'!$E$103,0)</f>
        <v>0</v>
      </c>
      <c r="R50" s="311">
        <f>IFERROR(P50*'Adjusted Schedule 1'!$E$104,0)</f>
        <v>0</v>
      </c>
      <c r="S50" s="68">
        <f t="shared" si="4"/>
        <v>0</v>
      </c>
      <c r="T50" s="311">
        <f t="shared" si="5"/>
        <v>0</v>
      </c>
      <c r="V50" s="120">
        <f>'As-Filed Schedule 2C'!N50</f>
        <v>0</v>
      </c>
      <c r="W50" s="314">
        <f>SUMIFS(Adjustments!$G:$G,Adjustments!$H:$H,"2C",Adjustments!$I:$I,'Schedule 2C Adjustments'!$V$12,Adjustments!$J:$J,'Schedule 2C Adjustments'!$A50)</f>
        <v>0</v>
      </c>
      <c r="X50" s="310">
        <f t="shared" si="6"/>
        <v>0</v>
      </c>
      <c r="Y50" s="120">
        <f>'As-Filed Schedule 2C'!O50</f>
        <v>0</v>
      </c>
      <c r="Z50" s="314">
        <f>SUMIFS(Adjustments!$G:$G,Adjustments!$H:$H,"2C",Adjustments!$I:$I,'Schedule 2C Adjustments'!$Y$12,Adjustments!$J:$J,'Schedule 2C Adjustments'!$A50)</f>
        <v>0</v>
      </c>
      <c r="AA50" s="310">
        <f t="shared" si="7"/>
        <v>0</v>
      </c>
    </row>
    <row r="51" spans="1:27" x14ac:dyDescent="0.35">
      <c r="A51" s="24">
        <v>37</v>
      </c>
      <c r="B51" s="513" t="str">
        <f>IF('As-Filed Schedule 2C'!B51:D51=0,"",'As-Filed Schedule 2C'!B51:D51)</f>
        <v/>
      </c>
      <c r="C51" s="513"/>
      <c r="D51" s="513"/>
      <c r="F51" s="117">
        <f>'As-Filed Schedule 2C'!F51</f>
        <v>0</v>
      </c>
      <c r="G51" s="314">
        <f>SUMIFS(Adjustments!$G:$G,Adjustments!$H:$H,"2C",Adjustments!$I:$I,'Schedule 2C Adjustments'!$F$12,Adjustments!$J:$J,'Schedule 2C Adjustments'!$A51)</f>
        <v>0</v>
      </c>
      <c r="H51" s="310">
        <f t="shared" si="0"/>
        <v>0</v>
      </c>
      <c r="I51" s="68">
        <f>IFERROR(F51*'As-Filed Schedule 1'!$E$103,0)</f>
        <v>0</v>
      </c>
      <c r="J51" s="311">
        <f>IFERROR(H51*'Adjusted Schedule 1'!$E$104,0)</f>
        <v>0</v>
      </c>
      <c r="K51" s="68">
        <f t="shared" si="1"/>
        <v>0</v>
      </c>
      <c r="L51" s="311">
        <f t="shared" si="2"/>
        <v>0</v>
      </c>
      <c r="N51" s="117">
        <f>'As-Filed Schedule 2C'!J51</f>
        <v>0</v>
      </c>
      <c r="O51" s="314">
        <f>SUMIFS(Adjustments!$G:$G,Adjustments!$H:$H,"2C",Adjustments!$I:$I,'Schedule 2C Adjustments'!$N$12,Adjustments!$J:$J,'Schedule 2C Adjustments'!$A51)</f>
        <v>0</v>
      </c>
      <c r="P51" s="310">
        <f t="shared" si="3"/>
        <v>0</v>
      </c>
      <c r="Q51" s="68">
        <f>IFERROR(N51*'As-Filed Schedule 1'!$E$103,0)</f>
        <v>0</v>
      </c>
      <c r="R51" s="311">
        <f>IFERROR(P51*'Adjusted Schedule 1'!$E$104,0)</f>
        <v>0</v>
      </c>
      <c r="S51" s="68">
        <f t="shared" si="4"/>
        <v>0</v>
      </c>
      <c r="T51" s="311">
        <f t="shared" si="5"/>
        <v>0</v>
      </c>
      <c r="V51" s="120">
        <f>'As-Filed Schedule 2C'!N51</f>
        <v>0</v>
      </c>
      <c r="W51" s="314">
        <f>SUMIFS(Adjustments!$G:$G,Adjustments!$H:$H,"2C",Adjustments!$I:$I,'Schedule 2C Adjustments'!$V$12,Adjustments!$J:$J,'Schedule 2C Adjustments'!$A51)</f>
        <v>0</v>
      </c>
      <c r="X51" s="310">
        <f t="shared" si="6"/>
        <v>0</v>
      </c>
      <c r="Y51" s="120">
        <f>'As-Filed Schedule 2C'!O51</f>
        <v>0</v>
      </c>
      <c r="Z51" s="314">
        <f>SUMIFS(Adjustments!$G:$G,Adjustments!$H:$H,"2C",Adjustments!$I:$I,'Schedule 2C Adjustments'!$Y$12,Adjustments!$J:$J,'Schedule 2C Adjustments'!$A51)</f>
        <v>0</v>
      </c>
      <c r="AA51" s="310">
        <f t="shared" si="7"/>
        <v>0</v>
      </c>
    </row>
    <row r="52" spans="1:27" x14ac:dyDescent="0.35">
      <c r="A52" s="24">
        <v>38</v>
      </c>
      <c r="B52" s="513" t="str">
        <f>IF('As-Filed Schedule 2C'!B52:D52=0,"",'As-Filed Schedule 2C'!B52:D52)</f>
        <v/>
      </c>
      <c r="C52" s="513"/>
      <c r="D52" s="513"/>
      <c r="F52" s="117">
        <f>'As-Filed Schedule 2C'!F52</f>
        <v>0</v>
      </c>
      <c r="G52" s="314">
        <f>SUMIFS(Adjustments!$G:$G,Adjustments!$H:$H,"2C",Adjustments!$I:$I,'Schedule 2C Adjustments'!$F$12,Adjustments!$J:$J,'Schedule 2C Adjustments'!$A52)</f>
        <v>0</v>
      </c>
      <c r="H52" s="310">
        <f t="shared" si="0"/>
        <v>0</v>
      </c>
      <c r="I52" s="68">
        <f>IFERROR(F52*'As-Filed Schedule 1'!$E$103,0)</f>
        <v>0</v>
      </c>
      <c r="J52" s="311">
        <f>IFERROR(H52*'Adjusted Schedule 1'!$E$104,0)</f>
        <v>0</v>
      </c>
      <c r="K52" s="68">
        <f t="shared" si="1"/>
        <v>0</v>
      </c>
      <c r="L52" s="311">
        <f t="shared" si="2"/>
        <v>0</v>
      </c>
      <c r="N52" s="117">
        <f>'As-Filed Schedule 2C'!J52</f>
        <v>0</v>
      </c>
      <c r="O52" s="314">
        <f>SUMIFS(Adjustments!$G:$G,Adjustments!$H:$H,"2C",Adjustments!$I:$I,'Schedule 2C Adjustments'!$N$12,Adjustments!$J:$J,'Schedule 2C Adjustments'!$A52)</f>
        <v>0</v>
      </c>
      <c r="P52" s="310">
        <f t="shared" si="3"/>
        <v>0</v>
      </c>
      <c r="Q52" s="68">
        <f>IFERROR(N52*'As-Filed Schedule 1'!$E$103,0)</f>
        <v>0</v>
      </c>
      <c r="R52" s="311">
        <f>IFERROR(P52*'Adjusted Schedule 1'!$E$104,0)</f>
        <v>0</v>
      </c>
      <c r="S52" s="68">
        <f t="shared" si="4"/>
        <v>0</v>
      </c>
      <c r="T52" s="311">
        <f t="shared" si="5"/>
        <v>0</v>
      </c>
      <c r="V52" s="120">
        <f>'As-Filed Schedule 2C'!N52</f>
        <v>0</v>
      </c>
      <c r="W52" s="314">
        <f>SUMIFS(Adjustments!$G:$G,Adjustments!$H:$H,"2C",Adjustments!$I:$I,'Schedule 2C Adjustments'!$V$12,Adjustments!$J:$J,'Schedule 2C Adjustments'!$A52)</f>
        <v>0</v>
      </c>
      <c r="X52" s="310">
        <f t="shared" si="6"/>
        <v>0</v>
      </c>
      <c r="Y52" s="120">
        <f>'As-Filed Schedule 2C'!O52</f>
        <v>0</v>
      </c>
      <c r="Z52" s="314">
        <f>SUMIFS(Adjustments!$G:$G,Adjustments!$H:$H,"2C",Adjustments!$I:$I,'Schedule 2C Adjustments'!$Y$12,Adjustments!$J:$J,'Schedule 2C Adjustments'!$A52)</f>
        <v>0</v>
      </c>
      <c r="AA52" s="310">
        <f t="shared" si="7"/>
        <v>0</v>
      </c>
    </row>
    <row r="53" spans="1:27" x14ac:dyDescent="0.35">
      <c r="A53" s="24">
        <v>39</v>
      </c>
      <c r="B53" s="513" t="str">
        <f>IF('As-Filed Schedule 2C'!B53:D53=0,"",'As-Filed Schedule 2C'!B53:D53)</f>
        <v/>
      </c>
      <c r="C53" s="513"/>
      <c r="D53" s="513"/>
      <c r="F53" s="117">
        <f>'As-Filed Schedule 2C'!F53</f>
        <v>0</v>
      </c>
      <c r="G53" s="314">
        <f>SUMIFS(Adjustments!$G:$G,Adjustments!$H:$H,"2C",Adjustments!$I:$I,'Schedule 2C Adjustments'!$F$12,Adjustments!$J:$J,'Schedule 2C Adjustments'!$A53)</f>
        <v>0</v>
      </c>
      <c r="H53" s="310">
        <f t="shared" si="0"/>
        <v>0</v>
      </c>
      <c r="I53" s="68">
        <f>IFERROR(F53*'As-Filed Schedule 1'!$E$103,0)</f>
        <v>0</v>
      </c>
      <c r="J53" s="311">
        <f>IFERROR(H53*'Adjusted Schedule 1'!$E$104,0)</f>
        <v>0</v>
      </c>
      <c r="K53" s="68">
        <f t="shared" si="1"/>
        <v>0</v>
      </c>
      <c r="L53" s="311">
        <f t="shared" si="2"/>
        <v>0</v>
      </c>
      <c r="N53" s="117">
        <f>'As-Filed Schedule 2C'!J53</f>
        <v>0</v>
      </c>
      <c r="O53" s="314">
        <f>SUMIFS(Adjustments!$G:$G,Adjustments!$H:$H,"2C",Adjustments!$I:$I,'Schedule 2C Adjustments'!$N$12,Adjustments!$J:$J,'Schedule 2C Adjustments'!$A53)</f>
        <v>0</v>
      </c>
      <c r="P53" s="310">
        <f t="shared" si="3"/>
        <v>0</v>
      </c>
      <c r="Q53" s="68">
        <f>IFERROR(N53*'As-Filed Schedule 1'!$E$103,0)</f>
        <v>0</v>
      </c>
      <c r="R53" s="311">
        <f>IFERROR(P53*'Adjusted Schedule 1'!$E$104,0)</f>
        <v>0</v>
      </c>
      <c r="S53" s="68">
        <f t="shared" si="4"/>
        <v>0</v>
      </c>
      <c r="T53" s="311">
        <f t="shared" si="5"/>
        <v>0</v>
      </c>
      <c r="V53" s="120">
        <f>'As-Filed Schedule 2C'!N53</f>
        <v>0</v>
      </c>
      <c r="W53" s="314">
        <f>SUMIFS(Adjustments!$G:$G,Adjustments!$H:$H,"2C",Adjustments!$I:$I,'Schedule 2C Adjustments'!$V$12,Adjustments!$J:$J,'Schedule 2C Adjustments'!$A53)</f>
        <v>0</v>
      </c>
      <c r="X53" s="310">
        <f t="shared" si="6"/>
        <v>0</v>
      </c>
      <c r="Y53" s="120">
        <f>'As-Filed Schedule 2C'!O53</f>
        <v>0</v>
      </c>
      <c r="Z53" s="314">
        <f>SUMIFS(Adjustments!$G:$G,Adjustments!$H:$H,"2C",Adjustments!$I:$I,'Schedule 2C Adjustments'!$Y$12,Adjustments!$J:$J,'Schedule 2C Adjustments'!$A53)</f>
        <v>0</v>
      </c>
      <c r="AA53" s="310">
        <f t="shared" si="7"/>
        <v>0</v>
      </c>
    </row>
    <row r="54" spans="1:27" x14ac:dyDescent="0.35">
      <c r="A54" s="24">
        <v>40</v>
      </c>
      <c r="B54" s="513" t="str">
        <f>IF('As-Filed Schedule 2C'!B54:D54=0,"",'As-Filed Schedule 2C'!B54:D54)</f>
        <v/>
      </c>
      <c r="C54" s="513"/>
      <c r="D54" s="513"/>
      <c r="F54" s="117">
        <f>'As-Filed Schedule 2C'!F54</f>
        <v>0</v>
      </c>
      <c r="G54" s="314">
        <f>SUMIFS(Adjustments!$G:$G,Adjustments!$H:$H,"2C",Adjustments!$I:$I,'Schedule 2C Adjustments'!$F$12,Adjustments!$J:$J,'Schedule 2C Adjustments'!$A54)</f>
        <v>0</v>
      </c>
      <c r="H54" s="310">
        <f t="shared" si="0"/>
        <v>0</v>
      </c>
      <c r="I54" s="68">
        <f>IFERROR(F54*'As-Filed Schedule 1'!$E$103,0)</f>
        <v>0</v>
      </c>
      <c r="J54" s="311">
        <f>IFERROR(H54*'Adjusted Schedule 1'!$E$104,0)</f>
        <v>0</v>
      </c>
      <c r="K54" s="68">
        <f t="shared" si="1"/>
        <v>0</v>
      </c>
      <c r="L54" s="311">
        <f t="shared" si="2"/>
        <v>0</v>
      </c>
      <c r="N54" s="117">
        <f>'As-Filed Schedule 2C'!J54</f>
        <v>0</v>
      </c>
      <c r="O54" s="314">
        <f>SUMIFS(Adjustments!$G:$G,Adjustments!$H:$H,"2C",Adjustments!$I:$I,'Schedule 2C Adjustments'!$N$12,Adjustments!$J:$J,'Schedule 2C Adjustments'!$A54)</f>
        <v>0</v>
      </c>
      <c r="P54" s="310">
        <f t="shared" si="3"/>
        <v>0</v>
      </c>
      <c r="Q54" s="68">
        <f>IFERROR(N54*'As-Filed Schedule 1'!$E$103,0)</f>
        <v>0</v>
      </c>
      <c r="R54" s="311">
        <f>IFERROR(P54*'Adjusted Schedule 1'!$E$104,0)</f>
        <v>0</v>
      </c>
      <c r="S54" s="68">
        <f t="shared" si="4"/>
        <v>0</v>
      </c>
      <c r="T54" s="311">
        <f t="shared" si="5"/>
        <v>0</v>
      </c>
      <c r="V54" s="120">
        <f>'As-Filed Schedule 2C'!N54</f>
        <v>0</v>
      </c>
      <c r="W54" s="314">
        <f>SUMIFS(Adjustments!$G:$G,Adjustments!$H:$H,"2C",Adjustments!$I:$I,'Schedule 2C Adjustments'!$V$12,Adjustments!$J:$J,'Schedule 2C Adjustments'!$A54)</f>
        <v>0</v>
      </c>
      <c r="X54" s="310">
        <f t="shared" si="6"/>
        <v>0</v>
      </c>
      <c r="Y54" s="120">
        <f>'As-Filed Schedule 2C'!O54</f>
        <v>0</v>
      </c>
      <c r="Z54" s="314">
        <f>SUMIFS(Adjustments!$G:$G,Adjustments!$H:$H,"2C",Adjustments!$I:$I,'Schedule 2C Adjustments'!$Y$12,Adjustments!$J:$J,'Schedule 2C Adjustments'!$A54)</f>
        <v>0</v>
      </c>
      <c r="AA54" s="310">
        <f t="shared" si="7"/>
        <v>0</v>
      </c>
    </row>
    <row r="55" spans="1:27" x14ac:dyDescent="0.35">
      <c r="A55" s="24">
        <v>41</v>
      </c>
      <c r="B55" s="513" t="str">
        <f>IF('As-Filed Schedule 2C'!B55:D55=0,"",'As-Filed Schedule 2C'!B55:D55)</f>
        <v/>
      </c>
      <c r="C55" s="513"/>
      <c r="D55" s="513"/>
      <c r="F55" s="117">
        <f>'As-Filed Schedule 2C'!F55</f>
        <v>0</v>
      </c>
      <c r="G55" s="314">
        <f>SUMIFS(Adjustments!$G:$G,Adjustments!$H:$H,"2C",Adjustments!$I:$I,'Schedule 2C Adjustments'!$F$12,Adjustments!$J:$J,'Schedule 2C Adjustments'!$A55)</f>
        <v>0</v>
      </c>
      <c r="H55" s="310">
        <f t="shared" si="0"/>
        <v>0</v>
      </c>
      <c r="I55" s="68">
        <f>IFERROR(F55*'As-Filed Schedule 1'!$E$103,0)</f>
        <v>0</v>
      </c>
      <c r="J55" s="311">
        <f>IFERROR(H55*'Adjusted Schedule 1'!$E$104,0)</f>
        <v>0</v>
      </c>
      <c r="K55" s="68">
        <f t="shared" si="1"/>
        <v>0</v>
      </c>
      <c r="L55" s="311">
        <f t="shared" si="2"/>
        <v>0</v>
      </c>
      <c r="N55" s="117">
        <f>'As-Filed Schedule 2C'!J55</f>
        <v>0</v>
      </c>
      <c r="O55" s="314">
        <f>SUMIFS(Adjustments!$G:$G,Adjustments!$H:$H,"2C",Adjustments!$I:$I,'Schedule 2C Adjustments'!$N$12,Adjustments!$J:$J,'Schedule 2C Adjustments'!$A55)</f>
        <v>0</v>
      </c>
      <c r="P55" s="310">
        <f t="shared" si="3"/>
        <v>0</v>
      </c>
      <c r="Q55" s="68">
        <f>IFERROR(N55*'As-Filed Schedule 1'!$E$103,0)</f>
        <v>0</v>
      </c>
      <c r="R55" s="311">
        <f>IFERROR(P55*'Adjusted Schedule 1'!$E$104,0)</f>
        <v>0</v>
      </c>
      <c r="S55" s="68">
        <f t="shared" si="4"/>
        <v>0</v>
      </c>
      <c r="T55" s="311">
        <f t="shared" si="5"/>
        <v>0</v>
      </c>
      <c r="V55" s="120">
        <f>'As-Filed Schedule 2C'!N55</f>
        <v>0</v>
      </c>
      <c r="W55" s="314">
        <f>SUMIFS(Adjustments!$G:$G,Adjustments!$H:$H,"2C",Adjustments!$I:$I,'Schedule 2C Adjustments'!$V$12,Adjustments!$J:$J,'Schedule 2C Adjustments'!$A55)</f>
        <v>0</v>
      </c>
      <c r="X55" s="310">
        <f t="shared" si="6"/>
        <v>0</v>
      </c>
      <c r="Y55" s="120">
        <f>'As-Filed Schedule 2C'!O55</f>
        <v>0</v>
      </c>
      <c r="Z55" s="314">
        <f>SUMIFS(Adjustments!$G:$G,Adjustments!$H:$H,"2C",Adjustments!$I:$I,'Schedule 2C Adjustments'!$Y$12,Adjustments!$J:$J,'Schedule 2C Adjustments'!$A55)</f>
        <v>0</v>
      </c>
      <c r="AA55" s="310">
        <f t="shared" si="7"/>
        <v>0</v>
      </c>
    </row>
    <row r="56" spans="1:27" x14ac:dyDescent="0.35">
      <c r="A56" s="24">
        <v>42</v>
      </c>
      <c r="B56" s="513" t="str">
        <f>IF('As-Filed Schedule 2C'!B56:D56=0,"",'As-Filed Schedule 2C'!B56:D56)</f>
        <v/>
      </c>
      <c r="C56" s="513"/>
      <c r="D56" s="513"/>
      <c r="F56" s="117">
        <f>'As-Filed Schedule 2C'!F56</f>
        <v>0</v>
      </c>
      <c r="G56" s="314">
        <f>SUMIFS(Adjustments!$G:$G,Adjustments!$H:$H,"2C",Adjustments!$I:$I,'Schedule 2C Adjustments'!$F$12,Adjustments!$J:$J,'Schedule 2C Adjustments'!$A56)</f>
        <v>0</v>
      </c>
      <c r="H56" s="310">
        <f t="shared" si="0"/>
        <v>0</v>
      </c>
      <c r="I56" s="68">
        <f>IFERROR(F56*'As-Filed Schedule 1'!$E$103,0)</f>
        <v>0</v>
      </c>
      <c r="J56" s="311">
        <f>IFERROR(H56*'Adjusted Schedule 1'!$E$104,0)</f>
        <v>0</v>
      </c>
      <c r="K56" s="68">
        <f t="shared" si="1"/>
        <v>0</v>
      </c>
      <c r="L56" s="311">
        <f t="shared" si="2"/>
        <v>0</v>
      </c>
      <c r="N56" s="117">
        <f>'As-Filed Schedule 2C'!J56</f>
        <v>0</v>
      </c>
      <c r="O56" s="314">
        <f>SUMIFS(Adjustments!$G:$G,Adjustments!$H:$H,"2C",Adjustments!$I:$I,'Schedule 2C Adjustments'!$N$12,Adjustments!$J:$J,'Schedule 2C Adjustments'!$A56)</f>
        <v>0</v>
      </c>
      <c r="P56" s="310">
        <f t="shared" si="3"/>
        <v>0</v>
      </c>
      <c r="Q56" s="68">
        <f>IFERROR(N56*'As-Filed Schedule 1'!$E$103,0)</f>
        <v>0</v>
      </c>
      <c r="R56" s="311">
        <f>IFERROR(P56*'Adjusted Schedule 1'!$E$104,0)</f>
        <v>0</v>
      </c>
      <c r="S56" s="68">
        <f t="shared" si="4"/>
        <v>0</v>
      </c>
      <c r="T56" s="311">
        <f t="shared" si="5"/>
        <v>0</v>
      </c>
      <c r="V56" s="120">
        <f>'As-Filed Schedule 2C'!N56</f>
        <v>0</v>
      </c>
      <c r="W56" s="314">
        <f>SUMIFS(Adjustments!$G:$G,Adjustments!$H:$H,"2C",Adjustments!$I:$I,'Schedule 2C Adjustments'!$V$12,Adjustments!$J:$J,'Schedule 2C Adjustments'!$A56)</f>
        <v>0</v>
      </c>
      <c r="X56" s="310">
        <f t="shared" si="6"/>
        <v>0</v>
      </c>
      <c r="Y56" s="120">
        <f>'As-Filed Schedule 2C'!O56</f>
        <v>0</v>
      </c>
      <c r="Z56" s="314">
        <f>SUMIFS(Adjustments!$G:$G,Adjustments!$H:$H,"2C",Adjustments!$I:$I,'Schedule 2C Adjustments'!$Y$12,Adjustments!$J:$J,'Schedule 2C Adjustments'!$A56)</f>
        <v>0</v>
      </c>
      <c r="AA56" s="310">
        <f t="shared" si="7"/>
        <v>0</v>
      </c>
    </row>
    <row r="57" spans="1:27" x14ac:dyDescent="0.35">
      <c r="A57" s="24">
        <v>43</v>
      </c>
      <c r="B57" s="513" t="str">
        <f>IF('As-Filed Schedule 2C'!B57:D57=0,"",'As-Filed Schedule 2C'!B57:D57)</f>
        <v/>
      </c>
      <c r="C57" s="513"/>
      <c r="D57" s="513"/>
      <c r="F57" s="117">
        <f>'As-Filed Schedule 2C'!F57</f>
        <v>0</v>
      </c>
      <c r="G57" s="314">
        <f>SUMIFS(Adjustments!$G:$G,Adjustments!$H:$H,"2C",Adjustments!$I:$I,'Schedule 2C Adjustments'!$F$12,Adjustments!$J:$J,'Schedule 2C Adjustments'!$A57)</f>
        <v>0</v>
      </c>
      <c r="H57" s="310">
        <f t="shared" si="0"/>
        <v>0</v>
      </c>
      <c r="I57" s="68">
        <f>IFERROR(F57*'As-Filed Schedule 1'!$E$103,0)</f>
        <v>0</v>
      </c>
      <c r="J57" s="311">
        <f>IFERROR(H57*'Adjusted Schedule 1'!$E$104,0)</f>
        <v>0</v>
      </c>
      <c r="K57" s="68">
        <f t="shared" si="1"/>
        <v>0</v>
      </c>
      <c r="L57" s="311">
        <f t="shared" si="2"/>
        <v>0</v>
      </c>
      <c r="N57" s="117">
        <f>'As-Filed Schedule 2C'!J57</f>
        <v>0</v>
      </c>
      <c r="O57" s="314">
        <f>SUMIFS(Adjustments!$G:$G,Adjustments!$H:$H,"2C",Adjustments!$I:$I,'Schedule 2C Adjustments'!$N$12,Adjustments!$J:$J,'Schedule 2C Adjustments'!$A57)</f>
        <v>0</v>
      </c>
      <c r="P57" s="310">
        <f t="shared" si="3"/>
        <v>0</v>
      </c>
      <c r="Q57" s="68">
        <f>IFERROR(N57*'As-Filed Schedule 1'!$E$103,0)</f>
        <v>0</v>
      </c>
      <c r="R57" s="311">
        <f>IFERROR(P57*'Adjusted Schedule 1'!$E$104,0)</f>
        <v>0</v>
      </c>
      <c r="S57" s="68">
        <f t="shared" si="4"/>
        <v>0</v>
      </c>
      <c r="T57" s="311">
        <f t="shared" si="5"/>
        <v>0</v>
      </c>
      <c r="V57" s="120">
        <f>'As-Filed Schedule 2C'!N57</f>
        <v>0</v>
      </c>
      <c r="W57" s="314">
        <f>SUMIFS(Adjustments!$G:$G,Adjustments!$H:$H,"2C",Adjustments!$I:$I,'Schedule 2C Adjustments'!$V$12,Adjustments!$J:$J,'Schedule 2C Adjustments'!$A57)</f>
        <v>0</v>
      </c>
      <c r="X57" s="310">
        <f t="shared" si="6"/>
        <v>0</v>
      </c>
      <c r="Y57" s="120">
        <f>'As-Filed Schedule 2C'!O57</f>
        <v>0</v>
      </c>
      <c r="Z57" s="314">
        <f>SUMIFS(Adjustments!$G:$G,Adjustments!$H:$H,"2C",Adjustments!$I:$I,'Schedule 2C Adjustments'!$Y$12,Adjustments!$J:$J,'Schedule 2C Adjustments'!$A57)</f>
        <v>0</v>
      </c>
      <c r="AA57" s="310">
        <f t="shared" si="7"/>
        <v>0</v>
      </c>
    </row>
    <row r="58" spans="1:27" x14ac:dyDescent="0.35">
      <c r="A58" s="24">
        <v>44</v>
      </c>
      <c r="B58" s="513" t="str">
        <f>IF('As-Filed Schedule 2C'!B58:D58=0,"",'As-Filed Schedule 2C'!B58:D58)</f>
        <v/>
      </c>
      <c r="C58" s="513"/>
      <c r="D58" s="513"/>
      <c r="F58" s="117">
        <f>'As-Filed Schedule 2C'!F58</f>
        <v>0</v>
      </c>
      <c r="G58" s="314">
        <f>SUMIFS(Adjustments!$G:$G,Adjustments!$H:$H,"2C",Adjustments!$I:$I,'Schedule 2C Adjustments'!$F$12,Adjustments!$J:$J,'Schedule 2C Adjustments'!$A58)</f>
        <v>0</v>
      </c>
      <c r="H58" s="310">
        <f t="shared" si="0"/>
        <v>0</v>
      </c>
      <c r="I58" s="68">
        <f>IFERROR(F58*'As-Filed Schedule 1'!$E$103,0)</f>
        <v>0</v>
      </c>
      <c r="J58" s="311">
        <f>IFERROR(H58*'Adjusted Schedule 1'!$E$104,0)</f>
        <v>0</v>
      </c>
      <c r="K58" s="68">
        <f t="shared" si="1"/>
        <v>0</v>
      </c>
      <c r="L58" s="311">
        <f t="shared" si="2"/>
        <v>0</v>
      </c>
      <c r="N58" s="117">
        <f>'As-Filed Schedule 2C'!J58</f>
        <v>0</v>
      </c>
      <c r="O58" s="314">
        <f>SUMIFS(Adjustments!$G:$G,Adjustments!$H:$H,"2C",Adjustments!$I:$I,'Schedule 2C Adjustments'!$N$12,Adjustments!$J:$J,'Schedule 2C Adjustments'!$A58)</f>
        <v>0</v>
      </c>
      <c r="P58" s="310">
        <f t="shared" si="3"/>
        <v>0</v>
      </c>
      <c r="Q58" s="68">
        <f>IFERROR(N58*'As-Filed Schedule 1'!$E$103,0)</f>
        <v>0</v>
      </c>
      <c r="R58" s="311">
        <f>IFERROR(P58*'Adjusted Schedule 1'!$E$104,0)</f>
        <v>0</v>
      </c>
      <c r="S58" s="68">
        <f t="shared" si="4"/>
        <v>0</v>
      </c>
      <c r="T58" s="311">
        <f t="shared" si="5"/>
        <v>0</v>
      </c>
      <c r="V58" s="120">
        <f>'As-Filed Schedule 2C'!N58</f>
        <v>0</v>
      </c>
      <c r="W58" s="314">
        <f>SUMIFS(Adjustments!$G:$G,Adjustments!$H:$H,"2C",Adjustments!$I:$I,'Schedule 2C Adjustments'!$V$12,Adjustments!$J:$J,'Schedule 2C Adjustments'!$A58)</f>
        <v>0</v>
      </c>
      <c r="X58" s="310">
        <f t="shared" si="6"/>
        <v>0</v>
      </c>
      <c r="Y58" s="120">
        <f>'As-Filed Schedule 2C'!O58</f>
        <v>0</v>
      </c>
      <c r="Z58" s="314">
        <f>SUMIFS(Adjustments!$G:$G,Adjustments!$H:$H,"2C",Adjustments!$I:$I,'Schedule 2C Adjustments'!$Y$12,Adjustments!$J:$J,'Schedule 2C Adjustments'!$A58)</f>
        <v>0</v>
      </c>
      <c r="AA58" s="310">
        <f t="shared" si="7"/>
        <v>0</v>
      </c>
    </row>
    <row r="59" spans="1:27" x14ac:dyDescent="0.35">
      <c r="A59" s="24">
        <v>45</v>
      </c>
      <c r="B59" s="513" t="str">
        <f>IF('As-Filed Schedule 2C'!B59:D59=0,"",'As-Filed Schedule 2C'!B59:D59)</f>
        <v/>
      </c>
      <c r="C59" s="513"/>
      <c r="D59" s="513"/>
      <c r="F59" s="117">
        <f>'As-Filed Schedule 2C'!F59</f>
        <v>0</v>
      </c>
      <c r="G59" s="314">
        <f>SUMIFS(Adjustments!$G:$G,Adjustments!$H:$H,"2C",Adjustments!$I:$I,'Schedule 2C Adjustments'!$F$12,Adjustments!$J:$J,'Schedule 2C Adjustments'!$A59)</f>
        <v>0</v>
      </c>
      <c r="H59" s="310">
        <f t="shared" si="0"/>
        <v>0</v>
      </c>
      <c r="I59" s="68">
        <f>IFERROR(F59*'As-Filed Schedule 1'!$E$103,0)</f>
        <v>0</v>
      </c>
      <c r="J59" s="311">
        <f>IFERROR(H59*'Adjusted Schedule 1'!$E$104,0)</f>
        <v>0</v>
      </c>
      <c r="K59" s="68">
        <f t="shared" si="1"/>
        <v>0</v>
      </c>
      <c r="L59" s="311">
        <f t="shared" si="2"/>
        <v>0</v>
      </c>
      <c r="N59" s="117">
        <f>'As-Filed Schedule 2C'!J59</f>
        <v>0</v>
      </c>
      <c r="O59" s="314">
        <f>SUMIFS(Adjustments!$G:$G,Adjustments!$H:$H,"2C",Adjustments!$I:$I,'Schedule 2C Adjustments'!$N$12,Adjustments!$J:$J,'Schedule 2C Adjustments'!$A59)</f>
        <v>0</v>
      </c>
      <c r="P59" s="310">
        <f t="shared" si="3"/>
        <v>0</v>
      </c>
      <c r="Q59" s="68">
        <f>IFERROR(N59*'As-Filed Schedule 1'!$E$103,0)</f>
        <v>0</v>
      </c>
      <c r="R59" s="311">
        <f>IFERROR(P59*'Adjusted Schedule 1'!$E$104,0)</f>
        <v>0</v>
      </c>
      <c r="S59" s="68">
        <f t="shared" si="4"/>
        <v>0</v>
      </c>
      <c r="T59" s="311">
        <f t="shared" si="5"/>
        <v>0</v>
      </c>
      <c r="V59" s="120">
        <f>'As-Filed Schedule 2C'!N59</f>
        <v>0</v>
      </c>
      <c r="W59" s="314">
        <f>SUMIFS(Adjustments!$G:$G,Adjustments!$H:$H,"2C",Adjustments!$I:$I,'Schedule 2C Adjustments'!$V$12,Adjustments!$J:$J,'Schedule 2C Adjustments'!$A59)</f>
        <v>0</v>
      </c>
      <c r="X59" s="310">
        <f t="shared" si="6"/>
        <v>0</v>
      </c>
      <c r="Y59" s="120">
        <f>'As-Filed Schedule 2C'!O59</f>
        <v>0</v>
      </c>
      <c r="Z59" s="314">
        <f>SUMIFS(Adjustments!$G:$G,Adjustments!$H:$H,"2C",Adjustments!$I:$I,'Schedule 2C Adjustments'!$Y$12,Adjustments!$J:$J,'Schedule 2C Adjustments'!$A59)</f>
        <v>0</v>
      </c>
      <c r="AA59" s="310">
        <f t="shared" si="7"/>
        <v>0</v>
      </c>
    </row>
    <row r="60" spans="1:27" x14ac:dyDescent="0.35">
      <c r="A60" s="24">
        <v>46</v>
      </c>
      <c r="B60" s="513" t="str">
        <f>IF('As-Filed Schedule 2C'!B60:D60=0,"",'As-Filed Schedule 2C'!B60:D60)</f>
        <v/>
      </c>
      <c r="C60" s="513"/>
      <c r="D60" s="513"/>
      <c r="F60" s="117">
        <f>'As-Filed Schedule 2C'!F60</f>
        <v>0</v>
      </c>
      <c r="G60" s="314">
        <f>SUMIFS(Adjustments!$G:$G,Adjustments!$H:$H,"2C",Adjustments!$I:$I,'Schedule 2C Adjustments'!$F$12,Adjustments!$J:$J,'Schedule 2C Adjustments'!$A60)</f>
        <v>0</v>
      </c>
      <c r="H60" s="310">
        <f t="shared" si="0"/>
        <v>0</v>
      </c>
      <c r="I60" s="68">
        <f>IFERROR(F60*'As-Filed Schedule 1'!$E$103,0)</f>
        <v>0</v>
      </c>
      <c r="J60" s="311">
        <f>IFERROR(H60*'Adjusted Schedule 1'!$E$104,0)</f>
        <v>0</v>
      </c>
      <c r="K60" s="68">
        <f t="shared" si="1"/>
        <v>0</v>
      </c>
      <c r="L60" s="311">
        <f t="shared" si="2"/>
        <v>0</v>
      </c>
      <c r="N60" s="117">
        <f>'As-Filed Schedule 2C'!J60</f>
        <v>0</v>
      </c>
      <c r="O60" s="314">
        <f>SUMIFS(Adjustments!$G:$G,Adjustments!$H:$H,"2C",Adjustments!$I:$I,'Schedule 2C Adjustments'!$N$12,Adjustments!$J:$J,'Schedule 2C Adjustments'!$A60)</f>
        <v>0</v>
      </c>
      <c r="P60" s="310">
        <f t="shared" si="3"/>
        <v>0</v>
      </c>
      <c r="Q60" s="68">
        <f>IFERROR(N60*'As-Filed Schedule 1'!$E$103,0)</f>
        <v>0</v>
      </c>
      <c r="R60" s="311">
        <f>IFERROR(P60*'Adjusted Schedule 1'!$E$104,0)</f>
        <v>0</v>
      </c>
      <c r="S60" s="68">
        <f t="shared" si="4"/>
        <v>0</v>
      </c>
      <c r="T60" s="311">
        <f t="shared" si="5"/>
        <v>0</v>
      </c>
      <c r="V60" s="120">
        <f>'As-Filed Schedule 2C'!N60</f>
        <v>0</v>
      </c>
      <c r="W60" s="314">
        <f>SUMIFS(Adjustments!$G:$G,Adjustments!$H:$H,"2C",Adjustments!$I:$I,'Schedule 2C Adjustments'!$V$12,Adjustments!$J:$J,'Schedule 2C Adjustments'!$A60)</f>
        <v>0</v>
      </c>
      <c r="X60" s="310">
        <f t="shared" si="6"/>
        <v>0</v>
      </c>
      <c r="Y60" s="120">
        <f>'As-Filed Schedule 2C'!O60</f>
        <v>0</v>
      </c>
      <c r="Z60" s="314">
        <f>SUMIFS(Adjustments!$G:$G,Adjustments!$H:$H,"2C",Adjustments!$I:$I,'Schedule 2C Adjustments'!$Y$12,Adjustments!$J:$J,'Schedule 2C Adjustments'!$A60)</f>
        <v>0</v>
      </c>
      <c r="AA60" s="310">
        <f t="shared" si="7"/>
        <v>0</v>
      </c>
    </row>
    <row r="61" spans="1:27" x14ac:dyDescent="0.35">
      <c r="A61" s="24">
        <v>47</v>
      </c>
      <c r="B61" s="513" t="str">
        <f>IF('As-Filed Schedule 2C'!B61:D61=0,"",'As-Filed Schedule 2C'!B61:D61)</f>
        <v/>
      </c>
      <c r="C61" s="513"/>
      <c r="D61" s="513"/>
      <c r="F61" s="117">
        <f>'As-Filed Schedule 2C'!F61</f>
        <v>0</v>
      </c>
      <c r="G61" s="314">
        <f>SUMIFS(Adjustments!$G:$G,Adjustments!$H:$H,"2C",Adjustments!$I:$I,'Schedule 2C Adjustments'!$F$12,Adjustments!$J:$J,'Schedule 2C Adjustments'!$A61)</f>
        <v>0</v>
      </c>
      <c r="H61" s="310">
        <f t="shared" si="0"/>
        <v>0</v>
      </c>
      <c r="I61" s="68">
        <f>IFERROR(F61*'As-Filed Schedule 1'!$E$103,0)</f>
        <v>0</v>
      </c>
      <c r="J61" s="311">
        <f>IFERROR(H61*'Adjusted Schedule 1'!$E$104,0)</f>
        <v>0</v>
      </c>
      <c r="K61" s="68">
        <f t="shared" si="1"/>
        <v>0</v>
      </c>
      <c r="L61" s="311">
        <f t="shared" si="2"/>
        <v>0</v>
      </c>
      <c r="N61" s="117">
        <f>'As-Filed Schedule 2C'!J61</f>
        <v>0</v>
      </c>
      <c r="O61" s="314">
        <f>SUMIFS(Adjustments!$G:$G,Adjustments!$H:$H,"2C",Adjustments!$I:$I,'Schedule 2C Adjustments'!$N$12,Adjustments!$J:$J,'Schedule 2C Adjustments'!$A61)</f>
        <v>0</v>
      </c>
      <c r="P61" s="310">
        <f t="shared" si="3"/>
        <v>0</v>
      </c>
      <c r="Q61" s="68">
        <f>IFERROR(N61*'As-Filed Schedule 1'!$E$103,0)</f>
        <v>0</v>
      </c>
      <c r="R61" s="311">
        <f>IFERROR(P61*'Adjusted Schedule 1'!$E$104,0)</f>
        <v>0</v>
      </c>
      <c r="S61" s="68">
        <f t="shared" si="4"/>
        <v>0</v>
      </c>
      <c r="T61" s="311">
        <f t="shared" si="5"/>
        <v>0</v>
      </c>
      <c r="V61" s="120">
        <f>'As-Filed Schedule 2C'!N61</f>
        <v>0</v>
      </c>
      <c r="W61" s="314">
        <f>SUMIFS(Adjustments!$G:$G,Adjustments!$H:$H,"2C",Adjustments!$I:$I,'Schedule 2C Adjustments'!$V$12,Adjustments!$J:$J,'Schedule 2C Adjustments'!$A61)</f>
        <v>0</v>
      </c>
      <c r="X61" s="310">
        <f t="shared" si="6"/>
        <v>0</v>
      </c>
      <c r="Y61" s="120">
        <f>'As-Filed Schedule 2C'!O61</f>
        <v>0</v>
      </c>
      <c r="Z61" s="314">
        <f>SUMIFS(Adjustments!$G:$G,Adjustments!$H:$H,"2C",Adjustments!$I:$I,'Schedule 2C Adjustments'!$Y$12,Adjustments!$J:$J,'Schedule 2C Adjustments'!$A61)</f>
        <v>0</v>
      </c>
      <c r="AA61" s="310">
        <f t="shared" si="7"/>
        <v>0</v>
      </c>
    </row>
    <row r="62" spans="1:27" x14ac:dyDescent="0.35">
      <c r="A62" s="24">
        <v>48</v>
      </c>
      <c r="B62" s="513" t="str">
        <f>IF('As-Filed Schedule 2C'!B62:D62=0,"",'As-Filed Schedule 2C'!B62:D62)</f>
        <v/>
      </c>
      <c r="C62" s="513"/>
      <c r="D62" s="513"/>
      <c r="F62" s="117">
        <f>'As-Filed Schedule 2C'!F62</f>
        <v>0</v>
      </c>
      <c r="G62" s="314">
        <f>SUMIFS(Adjustments!$G:$G,Adjustments!$H:$H,"2C",Adjustments!$I:$I,'Schedule 2C Adjustments'!$F$12,Adjustments!$J:$J,'Schedule 2C Adjustments'!$A62)</f>
        <v>0</v>
      </c>
      <c r="H62" s="310">
        <f t="shared" si="0"/>
        <v>0</v>
      </c>
      <c r="I62" s="68">
        <f>IFERROR(F62*'As-Filed Schedule 1'!$E$103,0)</f>
        <v>0</v>
      </c>
      <c r="J62" s="311">
        <f>IFERROR(H62*'Adjusted Schedule 1'!$E$104,0)</f>
        <v>0</v>
      </c>
      <c r="K62" s="68">
        <f t="shared" si="1"/>
        <v>0</v>
      </c>
      <c r="L62" s="311">
        <f t="shared" si="2"/>
        <v>0</v>
      </c>
      <c r="N62" s="117">
        <f>'As-Filed Schedule 2C'!J62</f>
        <v>0</v>
      </c>
      <c r="O62" s="314">
        <f>SUMIFS(Adjustments!$G:$G,Adjustments!$H:$H,"2C",Adjustments!$I:$I,'Schedule 2C Adjustments'!$N$12,Adjustments!$J:$J,'Schedule 2C Adjustments'!$A62)</f>
        <v>0</v>
      </c>
      <c r="P62" s="310">
        <f t="shared" si="3"/>
        <v>0</v>
      </c>
      <c r="Q62" s="68">
        <f>IFERROR(N62*'As-Filed Schedule 1'!$E$103,0)</f>
        <v>0</v>
      </c>
      <c r="R62" s="311">
        <f>IFERROR(P62*'Adjusted Schedule 1'!$E$104,0)</f>
        <v>0</v>
      </c>
      <c r="S62" s="68">
        <f t="shared" si="4"/>
        <v>0</v>
      </c>
      <c r="T62" s="311">
        <f t="shared" si="5"/>
        <v>0</v>
      </c>
      <c r="V62" s="120">
        <f>'As-Filed Schedule 2C'!N62</f>
        <v>0</v>
      </c>
      <c r="W62" s="314">
        <f>SUMIFS(Adjustments!$G:$G,Adjustments!$H:$H,"2C",Adjustments!$I:$I,'Schedule 2C Adjustments'!$V$12,Adjustments!$J:$J,'Schedule 2C Adjustments'!$A62)</f>
        <v>0</v>
      </c>
      <c r="X62" s="310">
        <f t="shared" si="6"/>
        <v>0</v>
      </c>
      <c r="Y62" s="120">
        <f>'As-Filed Schedule 2C'!O62</f>
        <v>0</v>
      </c>
      <c r="Z62" s="314">
        <f>SUMIFS(Adjustments!$G:$G,Adjustments!$H:$H,"2C",Adjustments!$I:$I,'Schedule 2C Adjustments'!$Y$12,Adjustments!$J:$J,'Schedule 2C Adjustments'!$A62)</f>
        <v>0</v>
      </c>
      <c r="AA62" s="310">
        <f t="shared" si="7"/>
        <v>0</v>
      </c>
    </row>
    <row r="63" spans="1:27" x14ac:dyDescent="0.35">
      <c r="A63" s="24">
        <v>49</v>
      </c>
      <c r="B63" s="513" t="str">
        <f>IF('As-Filed Schedule 2C'!B63:D63=0,"",'As-Filed Schedule 2C'!B63:D63)</f>
        <v/>
      </c>
      <c r="C63" s="513"/>
      <c r="D63" s="513"/>
      <c r="F63" s="117">
        <f>'As-Filed Schedule 2C'!F63</f>
        <v>0</v>
      </c>
      <c r="G63" s="314">
        <f>SUMIFS(Adjustments!$G:$G,Adjustments!$H:$H,"2C",Adjustments!$I:$I,'Schedule 2C Adjustments'!$F$12,Adjustments!$J:$J,'Schedule 2C Adjustments'!$A63)</f>
        <v>0</v>
      </c>
      <c r="H63" s="310">
        <f t="shared" si="0"/>
        <v>0</v>
      </c>
      <c r="I63" s="68">
        <f>IFERROR(F63*'As-Filed Schedule 1'!$E$103,0)</f>
        <v>0</v>
      </c>
      <c r="J63" s="311">
        <f>IFERROR(H63*'Adjusted Schedule 1'!$E$104,0)</f>
        <v>0</v>
      </c>
      <c r="K63" s="68">
        <f t="shared" si="1"/>
        <v>0</v>
      </c>
      <c r="L63" s="311">
        <f t="shared" si="2"/>
        <v>0</v>
      </c>
      <c r="N63" s="117">
        <f>'As-Filed Schedule 2C'!J63</f>
        <v>0</v>
      </c>
      <c r="O63" s="314">
        <f>SUMIFS(Adjustments!$G:$G,Adjustments!$H:$H,"2C",Adjustments!$I:$I,'Schedule 2C Adjustments'!$N$12,Adjustments!$J:$J,'Schedule 2C Adjustments'!$A63)</f>
        <v>0</v>
      </c>
      <c r="P63" s="310">
        <f t="shared" si="3"/>
        <v>0</v>
      </c>
      <c r="Q63" s="68">
        <f>IFERROR(N63*'As-Filed Schedule 1'!$E$103,0)</f>
        <v>0</v>
      </c>
      <c r="R63" s="311">
        <f>IFERROR(P63*'Adjusted Schedule 1'!$E$104,0)</f>
        <v>0</v>
      </c>
      <c r="S63" s="68">
        <f t="shared" si="4"/>
        <v>0</v>
      </c>
      <c r="T63" s="311">
        <f t="shared" si="5"/>
        <v>0</v>
      </c>
      <c r="V63" s="120">
        <f>'As-Filed Schedule 2C'!N63</f>
        <v>0</v>
      </c>
      <c r="W63" s="314">
        <f>SUMIFS(Adjustments!$G:$G,Adjustments!$H:$H,"2C",Adjustments!$I:$I,'Schedule 2C Adjustments'!$V$12,Adjustments!$J:$J,'Schedule 2C Adjustments'!$A63)</f>
        <v>0</v>
      </c>
      <c r="X63" s="310">
        <f t="shared" si="6"/>
        <v>0</v>
      </c>
      <c r="Y63" s="120">
        <f>'As-Filed Schedule 2C'!O63</f>
        <v>0</v>
      </c>
      <c r="Z63" s="314">
        <f>SUMIFS(Adjustments!$G:$G,Adjustments!$H:$H,"2C",Adjustments!$I:$I,'Schedule 2C Adjustments'!$Y$12,Adjustments!$J:$J,'Schedule 2C Adjustments'!$A63)</f>
        <v>0</v>
      </c>
      <c r="AA63" s="310">
        <f t="shared" si="7"/>
        <v>0</v>
      </c>
    </row>
    <row r="64" spans="1:27" x14ac:dyDescent="0.35">
      <c r="A64" s="24">
        <v>50</v>
      </c>
      <c r="B64" s="513" t="str">
        <f>IF('As-Filed Schedule 2C'!B64:D64=0,"",'As-Filed Schedule 2C'!B64:D64)</f>
        <v/>
      </c>
      <c r="C64" s="513"/>
      <c r="D64" s="513"/>
      <c r="F64" s="117">
        <f>'As-Filed Schedule 2C'!F64</f>
        <v>0</v>
      </c>
      <c r="G64" s="314">
        <f>SUMIFS(Adjustments!$G:$G,Adjustments!$H:$H,"2C",Adjustments!$I:$I,'Schedule 2C Adjustments'!$F$12,Adjustments!$J:$J,'Schedule 2C Adjustments'!$A64)</f>
        <v>0</v>
      </c>
      <c r="H64" s="310">
        <f t="shared" si="0"/>
        <v>0</v>
      </c>
      <c r="I64" s="68">
        <f>IFERROR(F64*'As-Filed Schedule 1'!$E$103,0)</f>
        <v>0</v>
      </c>
      <c r="J64" s="311">
        <f>IFERROR(H64*'Adjusted Schedule 1'!$E$104,0)</f>
        <v>0</v>
      </c>
      <c r="K64" s="68">
        <f t="shared" si="1"/>
        <v>0</v>
      </c>
      <c r="L64" s="311">
        <f t="shared" si="2"/>
        <v>0</v>
      </c>
      <c r="N64" s="117">
        <f>'As-Filed Schedule 2C'!J64</f>
        <v>0</v>
      </c>
      <c r="O64" s="314">
        <f>SUMIFS(Adjustments!$G:$G,Adjustments!$H:$H,"2C",Adjustments!$I:$I,'Schedule 2C Adjustments'!$N$12,Adjustments!$J:$J,'Schedule 2C Adjustments'!$A64)</f>
        <v>0</v>
      </c>
      <c r="P64" s="310">
        <f t="shared" si="3"/>
        <v>0</v>
      </c>
      <c r="Q64" s="68">
        <f>IFERROR(N64*'As-Filed Schedule 1'!$E$103,0)</f>
        <v>0</v>
      </c>
      <c r="R64" s="311">
        <f>IFERROR(P64*'Adjusted Schedule 1'!$E$104,0)</f>
        <v>0</v>
      </c>
      <c r="S64" s="68">
        <f t="shared" si="4"/>
        <v>0</v>
      </c>
      <c r="T64" s="311">
        <f t="shared" si="5"/>
        <v>0</v>
      </c>
      <c r="V64" s="120">
        <f>'As-Filed Schedule 2C'!N64</f>
        <v>0</v>
      </c>
      <c r="W64" s="314">
        <f>SUMIFS(Adjustments!$G:$G,Adjustments!$H:$H,"2C",Adjustments!$I:$I,'Schedule 2C Adjustments'!$V$12,Adjustments!$J:$J,'Schedule 2C Adjustments'!$A64)</f>
        <v>0</v>
      </c>
      <c r="X64" s="310">
        <f t="shared" si="6"/>
        <v>0</v>
      </c>
      <c r="Y64" s="120">
        <f>'As-Filed Schedule 2C'!O64</f>
        <v>0</v>
      </c>
      <c r="Z64" s="314">
        <f>SUMIFS(Adjustments!$G:$G,Adjustments!$H:$H,"2C",Adjustments!$I:$I,'Schedule 2C Adjustments'!$Y$12,Adjustments!$J:$J,'Schedule 2C Adjustments'!$A64)</f>
        <v>0</v>
      </c>
      <c r="AA64" s="310">
        <f t="shared" si="7"/>
        <v>0</v>
      </c>
    </row>
    <row r="65" spans="1:27" x14ac:dyDescent="0.35">
      <c r="A65" s="24">
        <v>51</v>
      </c>
      <c r="B65" s="513" t="str">
        <f>IF('As-Filed Schedule 2C'!B65:D65=0,"",'As-Filed Schedule 2C'!B65:D65)</f>
        <v/>
      </c>
      <c r="C65" s="513"/>
      <c r="D65" s="513"/>
      <c r="F65" s="117">
        <f>'As-Filed Schedule 2C'!F65</f>
        <v>0</v>
      </c>
      <c r="G65" s="314">
        <f>SUMIFS(Adjustments!$G:$G,Adjustments!$H:$H,"2C",Adjustments!$I:$I,'Schedule 2C Adjustments'!$F$12,Adjustments!$J:$J,'Schedule 2C Adjustments'!$A65)</f>
        <v>0</v>
      </c>
      <c r="H65" s="310">
        <f t="shared" si="0"/>
        <v>0</v>
      </c>
      <c r="I65" s="68">
        <f>IFERROR(F65*'As-Filed Schedule 1'!$E$103,0)</f>
        <v>0</v>
      </c>
      <c r="J65" s="311">
        <f>IFERROR(H65*'Adjusted Schedule 1'!$E$104,0)</f>
        <v>0</v>
      </c>
      <c r="K65" s="68">
        <f t="shared" si="1"/>
        <v>0</v>
      </c>
      <c r="L65" s="311">
        <f t="shared" si="2"/>
        <v>0</v>
      </c>
      <c r="N65" s="117">
        <f>'As-Filed Schedule 2C'!J65</f>
        <v>0</v>
      </c>
      <c r="O65" s="314">
        <f>SUMIFS(Adjustments!$G:$G,Adjustments!$H:$H,"2C",Adjustments!$I:$I,'Schedule 2C Adjustments'!$N$12,Adjustments!$J:$J,'Schedule 2C Adjustments'!$A65)</f>
        <v>0</v>
      </c>
      <c r="P65" s="310">
        <f t="shared" si="3"/>
        <v>0</v>
      </c>
      <c r="Q65" s="68">
        <f>IFERROR(N65*'As-Filed Schedule 1'!$E$103,0)</f>
        <v>0</v>
      </c>
      <c r="R65" s="311">
        <f>IFERROR(P65*'Adjusted Schedule 1'!$E$104,0)</f>
        <v>0</v>
      </c>
      <c r="S65" s="68">
        <f t="shared" si="4"/>
        <v>0</v>
      </c>
      <c r="T65" s="311">
        <f t="shared" si="5"/>
        <v>0</v>
      </c>
      <c r="V65" s="120">
        <f>'As-Filed Schedule 2C'!N65</f>
        <v>0</v>
      </c>
      <c r="W65" s="314">
        <f>SUMIFS(Adjustments!$G:$G,Adjustments!$H:$H,"2C",Adjustments!$I:$I,'Schedule 2C Adjustments'!$V$12,Adjustments!$J:$J,'Schedule 2C Adjustments'!$A65)</f>
        <v>0</v>
      </c>
      <c r="X65" s="310">
        <f t="shared" si="6"/>
        <v>0</v>
      </c>
      <c r="Y65" s="120">
        <f>'As-Filed Schedule 2C'!O65</f>
        <v>0</v>
      </c>
      <c r="Z65" s="314">
        <f>SUMIFS(Adjustments!$G:$G,Adjustments!$H:$H,"2C",Adjustments!$I:$I,'Schedule 2C Adjustments'!$Y$12,Adjustments!$J:$J,'Schedule 2C Adjustments'!$A65)</f>
        <v>0</v>
      </c>
      <c r="AA65" s="310">
        <f t="shared" si="7"/>
        <v>0</v>
      </c>
    </row>
    <row r="66" spans="1:27" x14ac:dyDescent="0.35">
      <c r="A66" s="24">
        <v>52</v>
      </c>
      <c r="B66" s="513" t="str">
        <f>IF('As-Filed Schedule 2C'!B66:D66=0,"",'As-Filed Schedule 2C'!B66:D66)</f>
        <v/>
      </c>
      <c r="C66" s="513"/>
      <c r="D66" s="513"/>
      <c r="F66" s="117">
        <f>'As-Filed Schedule 2C'!F66</f>
        <v>0</v>
      </c>
      <c r="G66" s="314">
        <f>SUMIFS(Adjustments!$G:$G,Adjustments!$H:$H,"2C",Adjustments!$I:$I,'Schedule 2C Adjustments'!$F$12,Adjustments!$J:$J,'Schedule 2C Adjustments'!$A66)</f>
        <v>0</v>
      </c>
      <c r="H66" s="310">
        <f t="shared" si="0"/>
        <v>0</v>
      </c>
      <c r="I66" s="68">
        <f>IFERROR(F66*'As-Filed Schedule 1'!$E$103,0)</f>
        <v>0</v>
      </c>
      <c r="J66" s="311">
        <f>IFERROR(H66*'Adjusted Schedule 1'!$E$104,0)</f>
        <v>0</v>
      </c>
      <c r="K66" s="68">
        <f t="shared" si="1"/>
        <v>0</v>
      </c>
      <c r="L66" s="311">
        <f t="shared" si="2"/>
        <v>0</v>
      </c>
      <c r="N66" s="117">
        <f>'As-Filed Schedule 2C'!J66</f>
        <v>0</v>
      </c>
      <c r="O66" s="314">
        <f>SUMIFS(Adjustments!$G:$G,Adjustments!$H:$H,"2C",Adjustments!$I:$I,'Schedule 2C Adjustments'!$N$12,Adjustments!$J:$J,'Schedule 2C Adjustments'!$A66)</f>
        <v>0</v>
      </c>
      <c r="P66" s="310">
        <f t="shared" si="3"/>
        <v>0</v>
      </c>
      <c r="Q66" s="68">
        <f>IFERROR(N66*'As-Filed Schedule 1'!$E$103,0)</f>
        <v>0</v>
      </c>
      <c r="R66" s="311">
        <f>IFERROR(P66*'Adjusted Schedule 1'!$E$104,0)</f>
        <v>0</v>
      </c>
      <c r="S66" s="68">
        <f t="shared" si="4"/>
        <v>0</v>
      </c>
      <c r="T66" s="311">
        <f t="shared" si="5"/>
        <v>0</v>
      </c>
      <c r="V66" s="120">
        <f>'As-Filed Schedule 2C'!N66</f>
        <v>0</v>
      </c>
      <c r="W66" s="314">
        <f>SUMIFS(Adjustments!$G:$G,Adjustments!$H:$H,"2C",Adjustments!$I:$I,'Schedule 2C Adjustments'!$V$12,Adjustments!$J:$J,'Schedule 2C Adjustments'!$A66)</f>
        <v>0</v>
      </c>
      <c r="X66" s="310">
        <f t="shared" si="6"/>
        <v>0</v>
      </c>
      <c r="Y66" s="120">
        <f>'As-Filed Schedule 2C'!O66</f>
        <v>0</v>
      </c>
      <c r="Z66" s="314">
        <f>SUMIFS(Adjustments!$G:$G,Adjustments!$H:$H,"2C",Adjustments!$I:$I,'Schedule 2C Adjustments'!$Y$12,Adjustments!$J:$J,'Schedule 2C Adjustments'!$A66)</f>
        <v>0</v>
      </c>
      <c r="AA66" s="310">
        <f t="shared" si="7"/>
        <v>0</v>
      </c>
    </row>
    <row r="67" spans="1:27" x14ac:dyDescent="0.35">
      <c r="A67" s="24">
        <v>53</v>
      </c>
      <c r="B67" s="513" t="str">
        <f>IF('As-Filed Schedule 2C'!B67:D67=0,"",'As-Filed Schedule 2C'!B67:D67)</f>
        <v/>
      </c>
      <c r="C67" s="513"/>
      <c r="D67" s="513"/>
      <c r="F67" s="117">
        <f>'As-Filed Schedule 2C'!F67</f>
        <v>0</v>
      </c>
      <c r="G67" s="314">
        <f>SUMIFS(Adjustments!$G:$G,Adjustments!$H:$H,"2C",Adjustments!$I:$I,'Schedule 2C Adjustments'!$F$12,Adjustments!$J:$J,'Schedule 2C Adjustments'!$A67)</f>
        <v>0</v>
      </c>
      <c r="H67" s="310">
        <f t="shared" si="0"/>
        <v>0</v>
      </c>
      <c r="I67" s="68">
        <f>IFERROR(F67*'As-Filed Schedule 1'!$E$103,0)</f>
        <v>0</v>
      </c>
      <c r="J67" s="311">
        <f>IFERROR(H67*'Adjusted Schedule 1'!$E$104,0)</f>
        <v>0</v>
      </c>
      <c r="K67" s="68">
        <f t="shared" si="1"/>
        <v>0</v>
      </c>
      <c r="L67" s="311">
        <f t="shared" si="2"/>
        <v>0</v>
      </c>
      <c r="N67" s="117">
        <f>'As-Filed Schedule 2C'!J67</f>
        <v>0</v>
      </c>
      <c r="O67" s="314">
        <f>SUMIFS(Adjustments!$G:$G,Adjustments!$H:$H,"2C",Adjustments!$I:$I,'Schedule 2C Adjustments'!$N$12,Adjustments!$J:$J,'Schedule 2C Adjustments'!$A67)</f>
        <v>0</v>
      </c>
      <c r="P67" s="310">
        <f t="shared" si="3"/>
        <v>0</v>
      </c>
      <c r="Q67" s="68">
        <f>IFERROR(N67*'As-Filed Schedule 1'!$E$103,0)</f>
        <v>0</v>
      </c>
      <c r="R67" s="311">
        <f>IFERROR(P67*'Adjusted Schedule 1'!$E$104,0)</f>
        <v>0</v>
      </c>
      <c r="S67" s="68">
        <f t="shared" si="4"/>
        <v>0</v>
      </c>
      <c r="T67" s="311">
        <f t="shared" si="5"/>
        <v>0</v>
      </c>
      <c r="V67" s="120">
        <f>'As-Filed Schedule 2C'!N67</f>
        <v>0</v>
      </c>
      <c r="W67" s="314">
        <f>SUMIFS(Adjustments!$G:$G,Adjustments!$H:$H,"2C",Adjustments!$I:$I,'Schedule 2C Adjustments'!$V$12,Adjustments!$J:$J,'Schedule 2C Adjustments'!$A67)</f>
        <v>0</v>
      </c>
      <c r="X67" s="310">
        <f t="shared" si="6"/>
        <v>0</v>
      </c>
      <c r="Y67" s="120">
        <f>'As-Filed Schedule 2C'!O67</f>
        <v>0</v>
      </c>
      <c r="Z67" s="314">
        <f>SUMIFS(Adjustments!$G:$G,Adjustments!$H:$H,"2C",Adjustments!$I:$I,'Schedule 2C Adjustments'!$Y$12,Adjustments!$J:$J,'Schedule 2C Adjustments'!$A67)</f>
        <v>0</v>
      </c>
      <c r="AA67" s="310">
        <f t="shared" si="7"/>
        <v>0</v>
      </c>
    </row>
    <row r="68" spans="1:27" x14ac:dyDescent="0.35">
      <c r="A68" s="24">
        <v>54</v>
      </c>
      <c r="B68" s="513" t="str">
        <f>IF('As-Filed Schedule 2C'!B68:D68=0,"",'As-Filed Schedule 2C'!B68:D68)</f>
        <v/>
      </c>
      <c r="C68" s="513"/>
      <c r="D68" s="513"/>
      <c r="F68" s="117">
        <f>'As-Filed Schedule 2C'!F68</f>
        <v>0</v>
      </c>
      <c r="G68" s="314">
        <f>SUMIFS(Adjustments!$G:$G,Adjustments!$H:$H,"2C",Adjustments!$I:$I,'Schedule 2C Adjustments'!$F$12,Adjustments!$J:$J,'Schedule 2C Adjustments'!$A68)</f>
        <v>0</v>
      </c>
      <c r="H68" s="310">
        <f t="shared" si="0"/>
        <v>0</v>
      </c>
      <c r="I68" s="68">
        <f>IFERROR(F68*'As-Filed Schedule 1'!$E$103,0)</f>
        <v>0</v>
      </c>
      <c r="J68" s="311">
        <f>IFERROR(H68*'Adjusted Schedule 1'!$E$104,0)</f>
        <v>0</v>
      </c>
      <c r="K68" s="68">
        <f t="shared" si="1"/>
        <v>0</v>
      </c>
      <c r="L68" s="311">
        <f t="shared" si="2"/>
        <v>0</v>
      </c>
      <c r="N68" s="117">
        <f>'As-Filed Schedule 2C'!J68</f>
        <v>0</v>
      </c>
      <c r="O68" s="314">
        <f>SUMIFS(Adjustments!$G:$G,Adjustments!$H:$H,"2C",Adjustments!$I:$I,'Schedule 2C Adjustments'!$N$12,Adjustments!$J:$J,'Schedule 2C Adjustments'!$A68)</f>
        <v>0</v>
      </c>
      <c r="P68" s="310">
        <f t="shared" si="3"/>
        <v>0</v>
      </c>
      <c r="Q68" s="68">
        <f>IFERROR(N68*'As-Filed Schedule 1'!$E$103,0)</f>
        <v>0</v>
      </c>
      <c r="R68" s="311">
        <f>IFERROR(P68*'Adjusted Schedule 1'!$E$104,0)</f>
        <v>0</v>
      </c>
      <c r="S68" s="68">
        <f t="shared" si="4"/>
        <v>0</v>
      </c>
      <c r="T68" s="311">
        <f t="shared" si="5"/>
        <v>0</v>
      </c>
      <c r="V68" s="120">
        <f>'As-Filed Schedule 2C'!N68</f>
        <v>0</v>
      </c>
      <c r="W68" s="314">
        <f>SUMIFS(Adjustments!$G:$G,Adjustments!$H:$H,"2C",Adjustments!$I:$I,'Schedule 2C Adjustments'!$V$12,Adjustments!$J:$J,'Schedule 2C Adjustments'!$A68)</f>
        <v>0</v>
      </c>
      <c r="X68" s="310">
        <f t="shared" si="6"/>
        <v>0</v>
      </c>
      <c r="Y68" s="120">
        <f>'As-Filed Schedule 2C'!O68</f>
        <v>0</v>
      </c>
      <c r="Z68" s="314">
        <f>SUMIFS(Adjustments!$G:$G,Adjustments!$H:$H,"2C",Adjustments!$I:$I,'Schedule 2C Adjustments'!$Y$12,Adjustments!$J:$J,'Schedule 2C Adjustments'!$A68)</f>
        <v>0</v>
      </c>
      <c r="AA68" s="310">
        <f t="shared" si="7"/>
        <v>0</v>
      </c>
    </row>
    <row r="69" spans="1:27" x14ac:dyDescent="0.35">
      <c r="A69" s="24">
        <v>55</v>
      </c>
      <c r="B69" s="513" t="str">
        <f>IF('As-Filed Schedule 2C'!B69:D69=0,"",'As-Filed Schedule 2C'!B69:D69)</f>
        <v/>
      </c>
      <c r="C69" s="513"/>
      <c r="D69" s="513"/>
      <c r="F69" s="117">
        <f>'As-Filed Schedule 2C'!F69</f>
        <v>0</v>
      </c>
      <c r="G69" s="314">
        <f>SUMIFS(Adjustments!$G:$G,Adjustments!$H:$H,"2C",Adjustments!$I:$I,'Schedule 2C Adjustments'!$F$12,Adjustments!$J:$J,'Schedule 2C Adjustments'!$A69)</f>
        <v>0</v>
      </c>
      <c r="H69" s="310">
        <f t="shared" si="0"/>
        <v>0</v>
      </c>
      <c r="I69" s="68">
        <f>IFERROR(F69*'As-Filed Schedule 1'!$E$103,0)</f>
        <v>0</v>
      </c>
      <c r="J69" s="311">
        <f>IFERROR(H69*'Adjusted Schedule 1'!$E$104,0)</f>
        <v>0</v>
      </c>
      <c r="K69" s="68">
        <f t="shared" si="1"/>
        <v>0</v>
      </c>
      <c r="L69" s="311">
        <f t="shared" si="2"/>
        <v>0</v>
      </c>
      <c r="N69" s="117">
        <f>'As-Filed Schedule 2C'!J69</f>
        <v>0</v>
      </c>
      <c r="O69" s="314">
        <f>SUMIFS(Adjustments!$G:$G,Adjustments!$H:$H,"2C",Adjustments!$I:$I,'Schedule 2C Adjustments'!$N$12,Adjustments!$J:$J,'Schedule 2C Adjustments'!$A69)</f>
        <v>0</v>
      </c>
      <c r="P69" s="310">
        <f t="shared" si="3"/>
        <v>0</v>
      </c>
      <c r="Q69" s="68">
        <f>IFERROR(N69*'As-Filed Schedule 1'!$E$103,0)</f>
        <v>0</v>
      </c>
      <c r="R69" s="311">
        <f>IFERROR(P69*'Adjusted Schedule 1'!$E$104,0)</f>
        <v>0</v>
      </c>
      <c r="S69" s="68">
        <f t="shared" si="4"/>
        <v>0</v>
      </c>
      <c r="T69" s="311">
        <f t="shared" si="5"/>
        <v>0</v>
      </c>
      <c r="V69" s="120">
        <f>'As-Filed Schedule 2C'!N69</f>
        <v>0</v>
      </c>
      <c r="W69" s="314">
        <f>SUMIFS(Adjustments!$G:$G,Adjustments!$H:$H,"2C",Adjustments!$I:$I,'Schedule 2C Adjustments'!$V$12,Adjustments!$J:$J,'Schedule 2C Adjustments'!$A69)</f>
        <v>0</v>
      </c>
      <c r="X69" s="310">
        <f t="shared" si="6"/>
        <v>0</v>
      </c>
      <c r="Y69" s="120">
        <f>'As-Filed Schedule 2C'!O69</f>
        <v>0</v>
      </c>
      <c r="Z69" s="314">
        <f>SUMIFS(Adjustments!$G:$G,Adjustments!$H:$H,"2C",Adjustments!$I:$I,'Schedule 2C Adjustments'!$Y$12,Adjustments!$J:$J,'Schedule 2C Adjustments'!$A69)</f>
        <v>0</v>
      </c>
      <c r="AA69" s="310">
        <f t="shared" si="7"/>
        <v>0</v>
      </c>
    </row>
    <row r="70" spans="1:27" x14ac:dyDescent="0.35">
      <c r="A70" s="24">
        <v>56</v>
      </c>
      <c r="B70" s="513" t="str">
        <f>IF('As-Filed Schedule 2C'!B70:D70=0,"",'As-Filed Schedule 2C'!B70:D70)</f>
        <v/>
      </c>
      <c r="C70" s="513"/>
      <c r="D70" s="513"/>
      <c r="F70" s="117">
        <f>'As-Filed Schedule 2C'!F70</f>
        <v>0</v>
      </c>
      <c r="G70" s="314">
        <f>SUMIFS(Adjustments!$G:$G,Adjustments!$H:$H,"2C",Adjustments!$I:$I,'Schedule 2C Adjustments'!$F$12,Adjustments!$J:$J,'Schedule 2C Adjustments'!$A70)</f>
        <v>0</v>
      </c>
      <c r="H70" s="310">
        <f t="shared" si="0"/>
        <v>0</v>
      </c>
      <c r="I70" s="68">
        <f>IFERROR(F70*'As-Filed Schedule 1'!$E$103,0)</f>
        <v>0</v>
      </c>
      <c r="J70" s="311">
        <f>IFERROR(H70*'Adjusted Schedule 1'!$E$104,0)</f>
        <v>0</v>
      </c>
      <c r="K70" s="68">
        <f t="shared" si="1"/>
        <v>0</v>
      </c>
      <c r="L70" s="311">
        <f t="shared" si="2"/>
        <v>0</v>
      </c>
      <c r="N70" s="117">
        <f>'As-Filed Schedule 2C'!J70</f>
        <v>0</v>
      </c>
      <c r="O70" s="314">
        <f>SUMIFS(Adjustments!$G:$G,Adjustments!$H:$H,"2C",Adjustments!$I:$I,'Schedule 2C Adjustments'!$N$12,Adjustments!$J:$J,'Schedule 2C Adjustments'!$A70)</f>
        <v>0</v>
      </c>
      <c r="P70" s="310">
        <f t="shared" si="3"/>
        <v>0</v>
      </c>
      <c r="Q70" s="68">
        <f>IFERROR(N70*'As-Filed Schedule 1'!$E$103,0)</f>
        <v>0</v>
      </c>
      <c r="R70" s="311">
        <f>IFERROR(P70*'Adjusted Schedule 1'!$E$104,0)</f>
        <v>0</v>
      </c>
      <c r="S70" s="68">
        <f t="shared" si="4"/>
        <v>0</v>
      </c>
      <c r="T70" s="311">
        <f t="shared" si="5"/>
        <v>0</v>
      </c>
      <c r="V70" s="120">
        <f>'As-Filed Schedule 2C'!N70</f>
        <v>0</v>
      </c>
      <c r="W70" s="314">
        <f>SUMIFS(Adjustments!$G:$G,Adjustments!$H:$H,"2C",Adjustments!$I:$I,'Schedule 2C Adjustments'!$V$12,Adjustments!$J:$J,'Schedule 2C Adjustments'!$A70)</f>
        <v>0</v>
      </c>
      <c r="X70" s="310">
        <f t="shared" si="6"/>
        <v>0</v>
      </c>
      <c r="Y70" s="120">
        <f>'As-Filed Schedule 2C'!O70</f>
        <v>0</v>
      </c>
      <c r="Z70" s="314">
        <f>SUMIFS(Adjustments!$G:$G,Adjustments!$H:$H,"2C",Adjustments!$I:$I,'Schedule 2C Adjustments'!$Y$12,Adjustments!$J:$J,'Schedule 2C Adjustments'!$A70)</f>
        <v>0</v>
      </c>
      <c r="AA70" s="310">
        <f t="shared" si="7"/>
        <v>0</v>
      </c>
    </row>
    <row r="71" spans="1:27" x14ac:dyDescent="0.35">
      <c r="A71" s="24">
        <v>57</v>
      </c>
      <c r="B71" s="513" t="str">
        <f>IF('As-Filed Schedule 2C'!B71:D71=0,"",'As-Filed Schedule 2C'!B71:D71)</f>
        <v/>
      </c>
      <c r="C71" s="513"/>
      <c r="D71" s="513"/>
      <c r="F71" s="117">
        <f>'As-Filed Schedule 2C'!F71</f>
        <v>0</v>
      </c>
      <c r="G71" s="314">
        <f>SUMIFS(Adjustments!$G:$G,Adjustments!$H:$H,"2C",Adjustments!$I:$I,'Schedule 2C Adjustments'!$F$12,Adjustments!$J:$J,'Schedule 2C Adjustments'!$A71)</f>
        <v>0</v>
      </c>
      <c r="H71" s="310">
        <f t="shared" si="0"/>
        <v>0</v>
      </c>
      <c r="I71" s="68">
        <f>IFERROR(F71*'As-Filed Schedule 1'!$E$103,0)</f>
        <v>0</v>
      </c>
      <c r="J71" s="311">
        <f>IFERROR(H71*'Adjusted Schedule 1'!$E$104,0)</f>
        <v>0</v>
      </c>
      <c r="K71" s="68">
        <f t="shared" si="1"/>
        <v>0</v>
      </c>
      <c r="L71" s="311">
        <f t="shared" si="2"/>
        <v>0</v>
      </c>
      <c r="N71" s="117">
        <f>'As-Filed Schedule 2C'!J71</f>
        <v>0</v>
      </c>
      <c r="O71" s="314">
        <f>SUMIFS(Adjustments!$G:$G,Adjustments!$H:$H,"2C",Adjustments!$I:$I,'Schedule 2C Adjustments'!$N$12,Adjustments!$J:$J,'Schedule 2C Adjustments'!$A71)</f>
        <v>0</v>
      </c>
      <c r="P71" s="310">
        <f t="shared" si="3"/>
        <v>0</v>
      </c>
      <c r="Q71" s="68">
        <f>IFERROR(N71*'As-Filed Schedule 1'!$E$103,0)</f>
        <v>0</v>
      </c>
      <c r="R71" s="311">
        <f>IFERROR(P71*'Adjusted Schedule 1'!$E$104,0)</f>
        <v>0</v>
      </c>
      <c r="S71" s="68">
        <f t="shared" si="4"/>
        <v>0</v>
      </c>
      <c r="T71" s="311">
        <f t="shared" si="5"/>
        <v>0</v>
      </c>
      <c r="V71" s="120">
        <f>'As-Filed Schedule 2C'!N71</f>
        <v>0</v>
      </c>
      <c r="W71" s="314">
        <f>SUMIFS(Adjustments!$G:$G,Adjustments!$H:$H,"2C",Adjustments!$I:$I,'Schedule 2C Adjustments'!$V$12,Adjustments!$J:$J,'Schedule 2C Adjustments'!$A71)</f>
        <v>0</v>
      </c>
      <c r="X71" s="310">
        <f t="shared" si="6"/>
        <v>0</v>
      </c>
      <c r="Y71" s="120">
        <f>'As-Filed Schedule 2C'!O71</f>
        <v>0</v>
      </c>
      <c r="Z71" s="314">
        <f>SUMIFS(Adjustments!$G:$G,Adjustments!$H:$H,"2C",Adjustments!$I:$I,'Schedule 2C Adjustments'!$Y$12,Adjustments!$J:$J,'Schedule 2C Adjustments'!$A71)</f>
        <v>0</v>
      </c>
      <c r="AA71" s="310">
        <f t="shared" si="7"/>
        <v>0</v>
      </c>
    </row>
    <row r="72" spans="1:27" x14ac:dyDescent="0.35">
      <c r="A72" s="24">
        <v>58</v>
      </c>
      <c r="B72" s="513" t="str">
        <f>IF('As-Filed Schedule 2C'!B72:D72=0,"",'As-Filed Schedule 2C'!B72:D72)</f>
        <v/>
      </c>
      <c r="C72" s="513"/>
      <c r="D72" s="513"/>
      <c r="F72" s="117">
        <f>'As-Filed Schedule 2C'!F72</f>
        <v>0</v>
      </c>
      <c r="G72" s="314">
        <f>SUMIFS(Adjustments!$G:$G,Adjustments!$H:$H,"2C",Adjustments!$I:$I,'Schedule 2C Adjustments'!$F$12,Adjustments!$J:$J,'Schedule 2C Adjustments'!$A72)</f>
        <v>0</v>
      </c>
      <c r="H72" s="310">
        <f t="shared" si="0"/>
        <v>0</v>
      </c>
      <c r="I72" s="68">
        <f>IFERROR(F72*'As-Filed Schedule 1'!$E$103,0)</f>
        <v>0</v>
      </c>
      <c r="J72" s="311">
        <f>IFERROR(H72*'Adjusted Schedule 1'!$E$104,0)</f>
        <v>0</v>
      </c>
      <c r="K72" s="68">
        <f t="shared" si="1"/>
        <v>0</v>
      </c>
      <c r="L72" s="311">
        <f t="shared" si="2"/>
        <v>0</v>
      </c>
      <c r="N72" s="117">
        <f>'As-Filed Schedule 2C'!J72</f>
        <v>0</v>
      </c>
      <c r="O72" s="314">
        <f>SUMIFS(Adjustments!$G:$G,Adjustments!$H:$H,"2C",Adjustments!$I:$I,'Schedule 2C Adjustments'!$N$12,Adjustments!$J:$J,'Schedule 2C Adjustments'!$A72)</f>
        <v>0</v>
      </c>
      <c r="P72" s="310">
        <f t="shared" si="3"/>
        <v>0</v>
      </c>
      <c r="Q72" s="68">
        <f>IFERROR(N72*'As-Filed Schedule 1'!$E$103,0)</f>
        <v>0</v>
      </c>
      <c r="R72" s="311">
        <f>IFERROR(P72*'Adjusted Schedule 1'!$E$104,0)</f>
        <v>0</v>
      </c>
      <c r="S72" s="68">
        <f t="shared" si="4"/>
        <v>0</v>
      </c>
      <c r="T72" s="311">
        <f t="shared" si="5"/>
        <v>0</v>
      </c>
      <c r="V72" s="120">
        <f>'As-Filed Schedule 2C'!N72</f>
        <v>0</v>
      </c>
      <c r="W72" s="314">
        <f>SUMIFS(Adjustments!$G:$G,Adjustments!$H:$H,"2C",Adjustments!$I:$I,'Schedule 2C Adjustments'!$V$12,Adjustments!$J:$J,'Schedule 2C Adjustments'!$A72)</f>
        <v>0</v>
      </c>
      <c r="X72" s="310">
        <f t="shared" si="6"/>
        <v>0</v>
      </c>
      <c r="Y72" s="120">
        <f>'As-Filed Schedule 2C'!O72</f>
        <v>0</v>
      </c>
      <c r="Z72" s="314">
        <f>SUMIFS(Adjustments!$G:$G,Adjustments!$H:$H,"2C",Adjustments!$I:$I,'Schedule 2C Adjustments'!$Y$12,Adjustments!$J:$J,'Schedule 2C Adjustments'!$A72)</f>
        <v>0</v>
      </c>
      <c r="AA72" s="310">
        <f t="shared" si="7"/>
        <v>0</v>
      </c>
    </row>
    <row r="73" spans="1:27" x14ac:dyDescent="0.35">
      <c r="A73" s="24">
        <v>59</v>
      </c>
      <c r="F73" s="18">
        <f>SUM(F15:F72)</f>
        <v>25850337.087696463</v>
      </c>
      <c r="G73" s="18">
        <f t="shared" ref="G73:L73" si="8">SUM(G15:G72)</f>
        <v>0</v>
      </c>
      <c r="H73" s="18">
        <f t="shared" si="8"/>
        <v>25850337.087696463</v>
      </c>
      <c r="I73" s="18">
        <f t="shared" si="8"/>
        <v>7979555.6164201554</v>
      </c>
      <c r="J73" s="312">
        <f t="shared" si="8"/>
        <v>7979555.6164201554</v>
      </c>
      <c r="K73" s="18">
        <f t="shared" si="8"/>
        <v>33829892.70411662</v>
      </c>
      <c r="L73" s="312">
        <f t="shared" si="8"/>
        <v>33829892.70411662</v>
      </c>
      <c r="N73" s="18">
        <f>SUM(N15:N72)</f>
        <v>176870</v>
      </c>
      <c r="O73" s="18">
        <f t="shared" ref="O73:T73" si="9">SUM(O15:O72)</f>
        <v>0</v>
      </c>
      <c r="P73" s="312">
        <f t="shared" si="9"/>
        <v>176870</v>
      </c>
      <c r="Q73" s="18">
        <f t="shared" si="9"/>
        <v>54596.734931861516</v>
      </c>
      <c r="R73" s="312">
        <f t="shared" si="9"/>
        <v>54596.734931861516</v>
      </c>
      <c r="S73" s="18">
        <f t="shared" si="9"/>
        <v>231466.73493186152</v>
      </c>
      <c r="T73" s="18">
        <f t="shared" si="9"/>
        <v>231466.73493186152</v>
      </c>
      <c r="W73"/>
      <c r="X73"/>
      <c r="Y73" s="83" t="s">
        <v>313</v>
      </c>
      <c r="Z73"/>
      <c r="AA73"/>
    </row>
    <row r="74" spans="1:27" ht="15" thickBot="1" x14ac:dyDescent="0.4">
      <c r="G74"/>
      <c r="H74"/>
      <c r="J74" s="37" t="s">
        <v>257</v>
      </c>
      <c r="L74" s="325" t="s">
        <v>257</v>
      </c>
      <c r="O74"/>
      <c r="P74"/>
      <c r="R74" s="37" t="s">
        <v>258</v>
      </c>
      <c r="T74" s="325" t="s">
        <v>258</v>
      </c>
      <c r="W74"/>
      <c r="X74"/>
    </row>
    <row r="75" spans="1:27" s="72" customFormat="1" ht="16" thickBot="1" x14ac:dyDescent="0.4">
      <c r="A75" s="24">
        <v>60</v>
      </c>
      <c r="B75" s="73" t="s">
        <v>461</v>
      </c>
      <c r="F75" s="75">
        <f>K73+S73</f>
        <v>34061359.439048484</v>
      </c>
      <c r="G75"/>
      <c r="H75" s="335">
        <f>L73+T73</f>
        <v>34061359.439048484</v>
      </c>
      <c r="I75" s="74"/>
      <c r="J75"/>
      <c r="K75" s="74"/>
      <c r="L75" s="326"/>
      <c r="M75" s="74"/>
      <c r="N75" s="74"/>
      <c r="O75" s="333"/>
      <c r="P75" s="326"/>
      <c r="Q75" s="74"/>
      <c r="R75" s="326"/>
      <c r="T75" s="328"/>
      <c r="W75" s="331"/>
      <c r="X75" s="328"/>
      <c r="Z75" s="331"/>
      <c r="AA75" s="328"/>
    </row>
  </sheetData>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B19:D19"/>
    <mergeCell ref="A3:K3"/>
    <mergeCell ref="B12:D12"/>
    <mergeCell ref="B13: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 ref="Z13:Z14"/>
    <mergeCell ref="AA13:AA14"/>
    <mergeCell ref="F13:L13"/>
    <mergeCell ref="N13:T13"/>
    <mergeCell ref="W13:W14"/>
    <mergeCell ref="X13:X14"/>
    <mergeCell ref="Y13:Y14"/>
    <mergeCell ref="V13:V14"/>
  </mergeCells>
  <pageMargins left="0.7" right="0.7" top="0.75" bottom="0.75" header="0.3" footer="0.3"/>
  <pageSetup orientation="portrait" horizontalDpi="1200" verticalDpi="1200"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2"/>
  <dimension ref="A1:AA75"/>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494" t="s">
        <v>753</v>
      </c>
      <c r="B3" s="494"/>
      <c r="C3" s="494"/>
      <c r="D3" s="494"/>
      <c r="E3" s="494"/>
      <c r="F3" s="494"/>
      <c r="G3" s="494"/>
      <c r="H3" s="494"/>
      <c r="I3" s="494"/>
      <c r="J3" s="494"/>
      <c r="K3" s="494"/>
      <c r="L3" s="322"/>
    </row>
    <row r="5" spans="1:27" x14ac:dyDescent="0.35">
      <c r="A5" s="1" t="s">
        <v>773</v>
      </c>
      <c r="C5" s="421" t="str">
        <f>Results!$C$6</f>
        <v>Health Solutions</v>
      </c>
    </row>
    <row r="6" spans="1:27" x14ac:dyDescent="0.35">
      <c r="A6" s="1" t="s">
        <v>0</v>
      </c>
      <c r="C6" s="35">
        <f>Results!$C$7</f>
        <v>45473</v>
      </c>
      <c r="F6" s="35"/>
      <c r="G6" s="320"/>
      <c r="H6" s="60"/>
    </row>
    <row r="8" spans="1:27" x14ac:dyDescent="0.35">
      <c r="A8" s="1" t="s">
        <v>253</v>
      </c>
      <c r="B8" s="1" t="s">
        <v>628</v>
      </c>
      <c r="C8" s="1"/>
      <c r="F8" s="119" t="str">
        <f>'As-Filed Schedule 2D'!F8</f>
        <v>Yes</v>
      </c>
      <c r="G8" s="41" t="s">
        <v>259</v>
      </c>
    </row>
    <row r="10" spans="1:27" x14ac:dyDescent="0.35">
      <c r="A10" s="1" t="s">
        <v>254</v>
      </c>
      <c r="B10" s="1" t="s">
        <v>256</v>
      </c>
      <c r="C10" s="1"/>
    </row>
    <row r="11" spans="1:27" x14ac:dyDescent="0.35">
      <c r="B11" s="334" t="s">
        <v>598</v>
      </c>
    </row>
    <row r="12" spans="1:27" x14ac:dyDescent="0.35">
      <c r="B12" s="508">
        <v>1</v>
      </c>
      <c r="C12" s="508"/>
      <c r="D12" s="508"/>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x14ac:dyDescent="0.35">
      <c r="B13" s="509" t="s">
        <v>255</v>
      </c>
      <c r="C13" s="509"/>
      <c r="D13" s="509"/>
      <c r="F13" s="511" t="s">
        <v>261</v>
      </c>
      <c r="G13" s="516"/>
      <c r="H13" s="516"/>
      <c r="I13" s="516"/>
      <c r="J13" s="516"/>
      <c r="K13" s="516"/>
      <c r="L13" s="512"/>
      <c r="N13" s="511" t="s">
        <v>262</v>
      </c>
      <c r="O13" s="516"/>
      <c r="P13" s="516"/>
      <c r="Q13" s="516"/>
      <c r="R13" s="516"/>
      <c r="S13" s="516"/>
      <c r="T13" s="512"/>
      <c r="V13" s="510" t="s">
        <v>250</v>
      </c>
      <c r="W13" s="568" t="s">
        <v>620</v>
      </c>
      <c r="X13" s="569" t="s">
        <v>621</v>
      </c>
      <c r="Y13" s="510" t="s">
        <v>312</v>
      </c>
      <c r="Z13" s="568" t="s">
        <v>630</v>
      </c>
      <c r="AA13" s="569" t="s">
        <v>631</v>
      </c>
    </row>
    <row r="14" spans="1:27" ht="55.5" customHeight="1" x14ac:dyDescent="0.35">
      <c r="B14" s="509"/>
      <c r="C14" s="509"/>
      <c r="D14" s="509"/>
      <c r="E14" s="48"/>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U14" s="48"/>
      <c r="V14" s="510"/>
      <c r="W14" s="568"/>
      <c r="X14" s="569"/>
      <c r="Y14" s="510"/>
      <c r="Z14" s="568"/>
      <c r="AA14" s="569"/>
    </row>
    <row r="15" spans="1:27" x14ac:dyDescent="0.35">
      <c r="A15" s="24">
        <v>1</v>
      </c>
      <c r="B15" s="513" t="str">
        <f>IF('As-Filed Schedule 2D'!B15:D15=0,"",'As-Filed Schedule 2D'!B15:D15)</f>
        <v>Assertive Community Treatment (ACT)</v>
      </c>
      <c r="C15" s="513"/>
      <c r="D15" s="513"/>
      <c r="F15" s="117">
        <f>'As-Filed Schedule 2D'!F15</f>
        <v>988359.81556269422</v>
      </c>
      <c r="G15" s="455">
        <f>SUMIFS(Adjustments!$G:$G,Adjustments!$H:$H,"2D",Adjustments!$I:$I,'Schedule 2D Adjustments'!$F$12,Adjustments!$J:$J,'Schedule 2D Adjustments'!$A15)</f>
        <v>0</v>
      </c>
      <c r="H15" s="310">
        <f>SUM(F15:G15)</f>
        <v>988359.81556269422</v>
      </c>
      <c r="I15" s="68">
        <f>IFERROR(F15*'As-Filed Schedule 1'!$E$103,0)</f>
        <v>305089.72051551961</v>
      </c>
      <c r="J15" s="311">
        <f>IFERROR(H15*'Adjusted Schedule 1'!$E$104,0)</f>
        <v>305089.72051551961</v>
      </c>
      <c r="K15" s="68">
        <f>SUM(F15,I15)</f>
        <v>1293449.5360782137</v>
      </c>
      <c r="L15" s="311">
        <f>SUM(H15,J15)</f>
        <v>1293449.5360782137</v>
      </c>
      <c r="N15" s="117">
        <f>'As-Filed Schedule 2D'!J15</f>
        <v>0</v>
      </c>
      <c r="O15" s="314">
        <f>SUMIFS(Adjustments!$G:$G,Adjustments!$H:$H,"2D",Adjustments!$I:$I,'Schedule 2D Adjustments'!$N$12,Adjustments!$J:$J,'Schedule 2D Adjustments'!$A15)</f>
        <v>0</v>
      </c>
      <c r="P15" s="310">
        <f>SUM(N15:O15)</f>
        <v>0</v>
      </c>
      <c r="Q15" s="68">
        <f>IFERROR(N15*'As-Filed Schedule 1'!$E$103,0)</f>
        <v>0</v>
      </c>
      <c r="R15" s="68">
        <f>IFERROR(P15*'Adjusted Schedule 1'!$E$104,0)</f>
        <v>0</v>
      </c>
      <c r="S15" s="68">
        <f>SUM(N15,Q15)</f>
        <v>0</v>
      </c>
      <c r="T15" s="311">
        <f>SUM(P15,R15)</f>
        <v>0</v>
      </c>
      <c r="V15" s="120">
        <f>'As-Filed Schedule 2D'!N15</f>
        <v>11.3675</v>
      </c>
      <c r="W15" s="314">
        <f>SUMIFS(Adjustments!$G:$G,Adjustments!$H:$H,"2D",Adjustments!$I:$I,'Schedule 2D Adjustments'!$V$12,Adjustments!$J:$J,'Schedule 2D Adjustments'!$A15)</f>
        <v>0</v>
      </c>
      <c r="X15" s="310">
        <f>SUM(V15:W15)</f>
        <v>11.3675</v>
      </c>
      <c r="Y15" s="120">
        <f>'As-Filed Schedule 2D'!O15</f>
        <v>145</v>
      </c>
      <c r="Z15" s="314">
        <f>SUMIFS(Adjustments!$G:$G,Adjustments!$H:$H,"2D",Adjustments!$I:$I,'Schedule 2D Adjustments'!$Y$12,Adjustments!$J:$J,'Schedule 2D Adjustments'!$A15)</f>
        <v>0</v>
      </c>
      <c r="AA15" s="310">
        <f>SUM(Y15:Z15)</f>
        <v>145</v>
      </c>
    </row>
    <row r="16" spans="1:27" x14ac:dyDescent="0.35">
      <c r="A16" s="24">
        <v>2</v>
      </c>
      <c r="B16" s="513" t="str">
        <f>IF('As-Filed Schedule 2D'!B16:D16=0,"",'As-Filed Schedule 2D'!B16:D16)</f>
        <v>First Episode of Psychosis</v>
      </c>
      <c r="C16" s="513"/>
      <c r="D16" s="513"/>
      <c r="F16" s="117">
        <f>'As-Filed Schedule 2D'!F16</f>
        <v>422351.89278951968</v>
      </c>
      <c r="G16" s="455">
        <f>SUMIFS(Adjustments!$G:$G,Adjustments!$H:$H,"2D",Adjustments!$I:$I,'Schedule 2D Adjustments'!$F$12,Adjustments!$J:$J,'Schedule 2D Adjustments'!$A16)</f>
        <v>0</v>
      </c>
      <c r="H16" s="310">
        <f t="shared" ref="H16:H72" si="0">SUM(F16:G16)</f>
        <v>422351.89278951968</v>
      </c>
      <c r="I16" s="68">
        <f>IFERROR(F16*'As-Filed Schedule 1'!$E$103,0)</f>
        <v>130372.78418386045</v>
      </c>
      <c r="J16" s="311">
        <f>IFERROR(H16*'Adjusted Schedule 1'!$E$104,0)</f>
        <v>130372.78418386045</v>
      </c>
      <c r="K16" s="68">
        <f t="shared" ref="K16:K72" si="1">SUM(F16,I16)</f>
        <v>552724.67697338015</v>
      </c>
      <c r="L16" s="311">
        <f t="shared" ref="L16:L72" si="2">SUM(H16,J16)</f>
        <v>552724.67697338015</v>
      </c>
      <c r="N16" s="117">
        <f>'As-Filed Schedule 2D'!J16</f>
        <v>0</v>
      </c>
      <c r="O16" s="314">
        <f>SUMIFS(Adjustments!$G:$G,Adjustments!$H:$H,"2D",Adjustments!$I:$I,'Schedule 2D Adjustments'!$N$12,Adjustments!$J:$J,'Schedule 2D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2D'!N16</f>
        <v>3.3275000000000001</v>
      </c>
      <c r="W16" s="314">
        <f>SUMIFS(Adjustments!$G:$G,Adjustments!$H:$H,"2D",Adjustments!$I:$I,'Schedule 2D Adjustments'!$V$12,Adjustments!$J:$J,'Schedule 2D Adjustments'!$A16)</f>
        <v>0</v>
      </c>
      <c r="X16" s="310">
        <f t="shared" ref="X16:X72" si="6">SUM(V16:W16)</f>
        <v>3.3275000000000001</v>
      </c>
      <c r="Y16" s="120">
        <f>'As-Filed Schedule 2D'!O16</f>
        <v>129</v>
      </c>
      <c r="Z16" s="314">
        <f>SUMIFS(Adjustments!$G:$G,Adjustments!$H:$H,"2D",Adjustments!$I:$I,'Schedule 2D Adjustments'!$Y$12,Adjustments!$J:$J,'Schedule 2D Adjustments'!$A16)</f>
        <v>0</v>
      </c>
      <c r="AA16" s="310">
        <f t="shared" ref="AA16:AA72" si="7">SUM(Y16:Z16)</f>
        <v>129</v>
      </c>
    </row>
    <row r="17" spans="1:27" x14ac:dyDescent="0.35">
      <c r="A17" s="24">
        <v>3</v>
      </c>
      <c r="B17" s="513" t="str">
        <f>IF('As-Filed Schedule 2D'!B17:D17=0,"",'As-Filed Schedule 2D'!B17:D17)</f>
        <v>Mobile Early Intervention Services</v>
      </c>
      <c r="C17" s="513"/>
      <c r="D17" s="513"/>
      <c r="F17" s="117">
        <f>'As-Filed Schedule 2D'!F17</f>
        <v>355097.70095643448</v>
      </c>
      <c r="G17" s="314">
        <f>SUMIFS(Adjustments!$G:$G,Adjustments!$H:$H,"2D",Adjustments!$I:$I,'Schedule 2D Adjustments'!$F$12,Adjustments!$J:$J,'Schedule 2D Adjustments'!$A17)</f>
        <v>0</v>
      </c>
      <c r="H17" s="310">
        <f t="shared" si="0"/>
        <v>355097.70095643448</v>
      </c>
      <c r="I17" s="68">
        <f>IFERROR(F17*'As-Filed Schedule 1'!$E$103,0)</f>
        <v>109612.56885866387</v>
      </c>
      <c r="J17" s="311">
        <f>IFERROR(H17*'Adjusted Schedule 1'!$E$104,0)</f>
        <v>109612.56885866387</v>
      </c>
      <c r="K17" s="68">
        <f t="shared" si="1"/>
        <v>464710.26981509838</v>
      </c>
      <c r="L17" s="311">
        <f t="shared" si="2"/>
        <v>464710.26981509838</v>
      </c>
      <c r="N17" s="117">
        <f>'As-Filed Schedule 2D'!J17</f>
        <v>0</v>
      </c>
      <c r="O17" s="314">
        <f>SUMIFS(Adjustments!$G:$G,Adjustments!$H:$H,"2D",Adjustments!$I:$I,'Schedule 2D Adjustments'!$N$12,Adjustments!$J:$J,'Schedule 2D Adjustments'!$A17)</f>
        <v>0</v>
      </c>
      <c r="P17" s="310">
        <f t="shared" si="3"/>
        <v>0</v>
      </c>
      <c r="Q17" s="68">
        <f>IFERROR(N17*'As-Filed Schedule 1'!$E$103,0)</f>
        <v>0</v>
      </c>
      <c r="R17" s="68">
        <f>IFERROR(P17*'Adjusted Schedule 1'!$E$104,0)</f>
        <v>0</v>
      </c>
      <c r="S17" s="68">
        <f t="shared" si="4"/>
        <v>0</v>
      </c>
      <c r="T17" s="311">
        <f t="shared" si="5"/>
        <v>0</v>
      </c>
      <c r="V17" s="120">
        <f>'As-Filed Schedule 2D'!N17</f>
        <v>3.6383333333333336</v>
      </c>
      <c r="W17" s="314">
        <f>SUMIFS(Adjustments!$G:$G,Adjustments!$H:$H,"2D",Adjustments!$I:$I,'Schedule 2D Adjustments'!$V$12,Adjustments!$J:$J,'Schedule 2D Adjustments'!$A17)</f>
        <v>0</v>
      </c>
      <c r="X17" s="310">
        <f t="shared" si="6"/>
        <v>3.6383333333333336</v>
      </c>
      <c r="Y17" s="120">
        <f>'As-Filed Schedule 2D'!O17</f>
        <v>764</v>
      </c>
      <c r="Z17" s="314">
        <f>SUMIFS(Adjustments!$G:$G,Adjustments!$H:$H,"2D",Adjustments!$I:$I,'Schedule 2D Adjustments'!$Y$12,Adjustments!$J:$J,'Schedule 2D Adjustments'!$A17)</f>
        <v>0</v>
      </c>
      <c r="AA17" s="310">
        <f t="shared" si="7"/>
        <v>764</v>
      </c>
    </row>
    <row r="18" spans="1:27" x14ac:dyDescent="0.35">
      <c r="A18" s="24">
        <v>4</v>
      </c>
      <c r="B18" s="513" t="str">
        <f>IF('As-Filed Schedule 2D'!B18:D18=0,"",'As-Filed Schedule 2D'!B18:D18)</f>
        <v>Multi-Systemic Therapy (MST)</v>
      </c>
      <c r="C18" s="513"/>
      <c r="D18" s="513"/>
      <c r="F18" s="117">
        <f>'As-Filed Schedule 2D'!F18</f>
        <v>651233.26176527701</v>
      </c>
      <c r="G18" s="314">
        <f>SUMIFS(Adjustments!$G:$G,Adjustments!$H:$H,"2D",Adjustments!$I:$I,'Schedule 2D Adjustments'!$F$12,Adjustments!$J:$J,'Schedule 2D Adjustments'!$A18)</f>
        <v>0</v>
      </c>
      <c r="H18" s="310">
        <f t="shared" si="0"/>
        <v>651233.26176527701</v>
      </c>
      <c r="I18" s="68">
        <f>IFERROR(F18*'As-Filed Schedule 1'!$E$103,0)</f>
        <v>201024.5365037056</v>
      </c>
      <c r="J18" s="311">
        <f>IFERROR(H18*'Adjusted Schedule 1'!$E$104,0)</f>
        <v>201024.5365037056</v>
      </c>
      <c r="K18" s="68">
        <f t="shared" si="1"/>
        <v>852257.79826898267</v>
      </c>
      <c r="L18" s="311">
        <f t="shared" si="2"/>
        <v>852257.79826898267</v>
      </c>
      <c r="N18" s="117">
        <f>'As-Filed Schedule 2D'!J18</f>
        <v>0</v>
      </c>
      <c r="O18" s="314">
        <f>SUMIFS(Adjustments!$G:$G,Adjustments!$H:$H,"2D",Adjustments!$I:$I,'Schedule 2D Adjustments'!$N$12,Adjustments!$J:$J,'Schedule 2D Adjustments'!$A18)</f>
        <v>0</v>
      </c>
      <c r="P18" s="310">
        <f t="shared" si="3"/>
        <v>0</v>
      </c>
      <c r="Q18" s="68">
        <f>IFERROR(N18*'As-Filed Schedule 1'!$E$103,0)</f>
        <v>0</v>
      </c>
      <c r="R18" s="68">
        <f>IFERROR(P18*'Adjusted Schedule 1'!$E$104,0)</f>
        <v>0</v>
      </c>
      <c r="S18" s="68">
        <f t="shared" si="4"/>
        <v>0</v>
      </c>
      <c r="T18" s="311">
        <f t="shared" si="5"/>
        <v>0</v>
      </c>
      <c r="V18" s="120">
        <f>'As-Filed Schedule 2D'!N18</f>
        <v>5.9833333333333334</v>
      </c>
      <c r="W18" s="314">
        <f>SUMIFS(Adjustments!$G:$G,Adjustments!$H:$H,"2D",Adjustments!$I:$I,'Schedule 2D Adjustments'!$V$12,Adjustments!$J:$J,'Schedule 2D Adjustments'!$A18)</f>
        <v>0</v>
      </c>
      <c r="X18" s="310">
        <f t="shared" si="6"/>
        <v>5.9833333333333334</v>
      </c>
      <c r="Y18" s="120">
        <f>'As-Filed Schedule 2D'!O18</f>
        <v>170</v>
      </c>
      <c r="Z18" s="314">
        <f>SUMIFS(Adjustments!$G:$G,Adjustments!$H:$H,"2D",Adjustments!$I:$I,'Schedule 2D Adjustments'!$Y$12,Adjustments!$J:$J,'Schedule 2D Adjustments'!$A18)</f>
        <v>0</v>
      </c>
      <c r="AA18" s="310">
        <f t="shared" si="7"/>
        <v>170</v>
      </c>
    </row>
    <row r="19" spans="1:27" x14ac:dyDescent="0.35">
      <c r="A19" s="24">
        <v>5</v>
      </c>
      <c r="B19" s="513" t="str">
        <f>IF('As-Filed Schedule 2D'!B19:D19=0,"",'As-Filed Schedule 2D'!B19:D19)</f>
        <v/>
      </c>
      <c r="C19" s="513"/>
      <c r="D19" s="513"/>
      <c r="F19" s="117">
        <f>'As-Filed Schedule 2D'!F19</f>
        <v>0</v>
      </c>
      <c r="G19" s="314">
        <f>SUMIFS(Adjustments!$G:$G,Adjustments!$H:$H,"2D",Adjustments!$I:$I,'Schedule 2D Adjustments'!$F$12,Adjustments!$J:$J,'Schedule 2D Adjustments'!$A19)</f>
        <v>0</v>
      </c>
      <c r="H19" s="310">
        <f t="shared" si="0"/>
        <v>0</v>
      </c>
      <c r="I19" s="68">
        <f>IFERROR(F19*'As-Filed Schedule 1'!$E$103,0)</f>
        <v>0</v>
      </c>
      <c r="J19" s="311">
        <f>IFERROR(H19*'Adjusted Schedule 1'!$E$104,0)</f>
        <v>0</v>
      </c>
      <c r="K19" s="68">
        <f t="shared" si="1"/>
        <v>0</v>
      </c>
      <c r="L19" s="311">
        <f>SUM(H19,J19)</f>
        <v>0</v>
      </c>
      <c r="N19" s="117">
        <f>'As-Filed Schedule 2D'!J19</f>
        <v>0</v>
      </c>
      <c r="O19" s="314">
        <f>SUMIFS(Adjustments!$G:$G,Adjustments!$H:$H,"2D",Adjustments!$I:$I,'Schedule 2D Adjustments'!$N$12,Adjustments!$J:$J,'Schedule 2D Adjustments'!$A19)</f>
        <v>0</v>
      </c>
      <c r="P19" s="310">
        <f t="shared" si="3"/>
        <v>0</v>
      </c>
      <c r="Q19" s="68">
        <f>IFERROR(N19*'As-Filed Schedule 1'!$E$103,0)</f>
        <v>0</v>
      </c>
      <c r="R19" s="68">
        <f>IFERROR(P19*'Adjusted Schedule 1'!$E$104,0)</f>
        <v>0</v>
      </c>
      <c r="S19" s="68">
        <f t="shared" si="4"/>
        <v>0</v>
      </c>
      <c r="T19" s="311">
        <f t="shared" si="5"/>
        <v>0</v>
      </c>
      <c r="V19" s="120">
        <f>'As-Filed Schedule 2D'!N19</f>
        <v>0</v>
      </c>
      <c r="W19" s="314">
        <f>SUMIFS(Adjustments!$G:$G,Adjustments!$H:$H,"2D",Adjustments!$I:$I,'Schedule 2D Adjustments'!$V$12,Adjustments!$J:$J,'Schedule 2D Adjustments'!$A19)</f>
        <v>0</v>
      </c>
      <c r="X19" s="310">
        <f t="shared" si="6"/>
        <v>0</v>
      </c>
      <c r="Y19" s="120">
        <f>'As-Filed Schedule 2D'!O19</f>
        <v>0</v>
      </c>
      <c r="Z19" s="314">
        <f>SUMIFS(Adjustments!$G:$G,Adjustments!$H:$H,"2D",Adjustments!$I:$I,'Schedule 2D Adjustments'!$Y$12,Adjustments!$J:$J,'Schedule 2D Adjustments'!$A19)</f>
        <v>0</v>
      </c>
      <c r="AA19" s="310">
        <f t="shared" si="7"/>
        <v>0</v>
      </c>
    </row>
    <row r="20" spans="1:27" x14ac:dyDescent="0.35">
      <c r="A20" s="24">
        <v>6</v>
      </c>
      <c r="B20" s="513" t="str">
        <f>IF('As-Filed Schedule 2D'!B20:D20=0,"",'As-Filed Schedule 2D'!B20:D20)</f>
        <v/>
      </c>
      <c r="C20" s="513"/>
      <c r="D20" s="513"/>
      <c r="F20" s="117">
        <f>'As-Filed Schedule 2D'!F20</f>
        <v>0</v>
      </c>
      <c r="G20" s="314">
        <f>SUMIFS(Adjustments!$G:$G,Adjustments!$H:$H,"2D",Adjustments!$I:$I,'Schedule 2D Adjustments'!$F$12,Adjustments!$J:$J,'Schedule 2D Adjustments'!$A20)</f>
        <v>0</v>
      </c>
      <c r="H20" s="310">
        <f t="shared" si="0"/>
        <v>0</v>
      </c>
      <c r="I20" s="68">
        <f>IFERROR(F20*'As-Filed Schedule 1'!$E$103,0)</f>
        <v>0</v>
      </c>
      <c r="J20" s="311">
        <f>IFERROR(H20*'Adjusted Schedule 1'!$E$104,0)</f>
        <v>0</v>
      </c>
      <c r="K20" s="68">
        <f>SUM(F20,I20)</f>
        <v>0</v>
      </c>
      <c r="L20" s="311">
        <f t="shared" si="2"/>
        <v>0</v>
      </c>
      <c r="N20" s="117">
        <f>'As-Filed Schedule 2D'!J20</f>
        <v>0</v>
      </c>
      <c r="O20" s="314">
        <f>SUMIFS(Adjustments!$G:$G,Adjustments!$H:$H,"2D",Adjustments!$I:$I,'Schedule 2D Adjustments'!$N$12,Adjustments!$J:$J,'Schedule 2D Adjustments'!$A20)</f>
        <v>0</v>
      </c>
      <c r="P20" s="310">
        <f t="shared" si="3"/>
        <v>0</v>
      </c>
      <c r="Q20" s="68">
        <f>IFERROR(N20*'As-Filed Schedule 1'!$E$103,0)</f>
        <v>0</v>
      </c>
      <c r="R20" s="68">
        <f>IFERROR(P20*'Adjusted Schedule 1'!$E$104,0)</f>
        <v>0</v>
      </c>
      <c r="S20" s="68">
        <f t="shared" si="4"/>
        <v>0</v>
      </c>
      <c r="T20" s="311">
        <f t="shared" si="5"/>
        <v>0</v>
      </c>
      <c r="V20" s="120">
        <f>'As-Filed Schedule 2D'!N20</f>
        <v>0</v>
      </c>
      <c r="W20" s="314">
        <f>SUMIFS(Adjustments!$G:$G,Adjustments!$H:$H,"2D",Adjustments!$I:$I,'Schedule 2D Adjustments'!$V$12,Adjustments!$J:$J,'Schedule 2D Adjustments'!$A20)</f>
        <v>0</v>
      </c>
      <c r="X20" s="310">
        <f t="shared" si="6"/>
        <v>0</v>
      </c>
      <c r="Y20" s="120">
        <f>'As-Filed Schedule 2D'!O20</f>
        <v>0</v>
      </c>
      <c r="Z20" s="314">
        <f>SUMIFS(Adjustments!$G:$G,Adjustments!$H:$H,"2D",Adjustments!$I:$I,'Schedule 2D Adjustments'!$Y$12,Adjustments!$J:$J,'Schedule 2D Adjustments'!$A20)</f>
        <v>0</v>
      </c>
      <c r="AA20" s="310">
        <f t="shared" si="7"/>
        <v>0</v>
      </c>
    </row>
    <row r="21" spans="1:27" x14ac:dyDescent="0.35">
      <c r="A21" s="24">
        <v>7</v>
      </c>
      <c r="B21" s="513" t="str">
        <f>IF('As-Filed Schedule 2D'!B21:D21=0,"",'As-Filed Schedule 2D'!B21:D21)</f>
        <v/>
      </c>
      <c r="C21" s="513"/>
      <c r="D21" s="513"/>
      <c r="F21" s="117">
        <f>'As-Filed Schedule 2D'!F21</f>
        <v>0</v>
      </c>
      <c r="G21" s="314">
        <f>SUMIFS(Adjustments!$G:$G,Adjustments!$H:$H,"2D",Adjustments!$I:$I,'Schedule 2D Adjustments'!$F$12,Adjustments!$J:$J,'Schedule 2D Adjustments'!$A21)</f>
        <v>0</v>
      </c>
      <c r="H21" s="310">
        <f t="shared" si="0"/>
        <v>0</v>
      </c>
      <c r="I21" s="68">
        <f>IFERROR(F21*'As-Filed Schedule 1'!$E$103,0)</f>
        <v>0</v>
      </c>
      <c r="J21" s="311">
        <f>IFERROR(H21*'Adjusted Schedule 1'!$E$104,0)</f>
        <v>0</v>
      </c>
      <c r="K21" s="68">
        <f t="shared" si="1"/>
        <v>0</v>
      </c>
      <c r="L21" s="311">
        <f t="shared" si="2"/>
        <v>0</v>
      </c>
      <c r="N21" s="117">
        <f>'As-Filed Schedule 2D'!J21</f>
        <v>0</v>
      </c>
      <c r="O21" s="314">
        <f>SUMIFS(Adjustments!$G:$G,Adjustments!$H:$H,"2D",Adjustments!$I:$I,'Schedule 2D Adjustments'!$N$12,Adjustments!$J:$J,'Schedule 2D Adjustments'!$A21)</f>
        <v>0</v>
      </c>
      <c r="P21" s="310">
        <f t="shared" si="3"/>
        <v>0</v>
      </c>
      <c r="Q21" s="68">
        <f>IFERROR(N21*'As-Filed Schedule 1'!$E$103,0)</f>
        <v>0</v>
      </c>
      <c r="R21" s="68">
        <f>IFERROR(P21*'Adjusted Schedule 1'!$E$104,0)</f>
        <v>0</v>
      </c>
      <c r="S21" s="68">
        <f>SUM(N21,Q21)</f>
        <v>0</v>
      </c>
      <c r="T21" s="311">
        <f>SUM(P21,R21)</f>
        <v>0</v>
      </c>
      <c r="V21" s="120">
        <f>'As-Filed Schedule 2D'!N21</f>
        <v>0</v>
      </c>
      <c r="W21" s="314">
        <f>SUMIFS(Adjustments!$G:$G,Adjustments!$H:$H,"2D",Adjustments!$I:$I,'Schedule 2D Adjustments'!$V$12,Adjustments!$J:$J,'Schedule 2D Adjustments'!$A21)</f>
        <v>0</v>
      </c>
      <c r="X21" s="310">
        <f t="shared" si="6"/>
        <v>0</v>
      </c>
      <c r="Y21" s="120">
        <f>'As-Filed Schedule 2D'!O21</f>
        <v>0</v>
      </c>
      <c r="Z21" s="314">
        <f>SUMIFS(Adjustments!$G:$G,Adjustments!$H:$H,"2D",Adjustments!$I:$I,'Schedule 2D Adjustments'!$Y$12,Adjustments!$J:$J,'Schedule 2D Adjustments'!$A21)</f>
        <v>0</v>
      </c>
      <c r="AA21" s="310">
        <f t="shared" si="7"/>
        <v>0</v>
      </c>
    </row>
    <row r="22" spans="1:27" x14ac:dyDescent="0.35">
      <c r="A22" s="24">
        <v>8</v>
      </c>
      <c r="B22" s="513" t="str">
        <f>IF('As-Filed Schedule 2D'!B22:D22=0,"",'As-Filed Schedule 2D'!B22:D22)</f>
        <v/>
      </c>
      <c r="C22" s="513"/>
      <c r="D22" s="513"/>
      <c r="F22" s="117">
        <f>'As-Filed Schedule 2D'!F22</f>
        <v>0</v>
      </c>
      <c r="G22" s="314">
        <f>SUMIFS(Adjustments!$G:$G,Adjustments!$H:$H,"2D",Adjustments!$I:$I,'Schedule 2D Adjustments'!$F$12,Adjustments!$J:$J,'Schedule 2D Adjustments'!$A22)</f>
        <v>0</v>
      </c>
      <c r="H22" s="310">
        <f t="shared" si="0"/>
        <v>0</v>
      </c>
      <c r="I22" s="68">
        <f>IFERROR(F22*'As-Filed Schedule 1'!$E$103,0)</f>
        <v>0</v>
      </c>
      <c r="J22" s="311">
        <f>IFERROR(H22*'Adjusted Schedule 1'!$E$104,0)</f>
        <v>0</v>
      </c>
      <c r="K22" s="68">
        <f t="shared" si="1"/>
        <v>0</v>
      </c>
      <c r="L22" s="311">
        <f t="shared" si="2"/>
        <v>0</v>
      </c>
      <c r="N22" s="117">
        <f>'As-Filed Schedule 2D'!J22</f>
        <v>0</v>
      </c>
      <c r="O22" s="314">
        <f>SUMIFS(Adjustments!$G:$G,Adjustments!$H:$H,"2D",Adjustments!$I:$I,'Schedule 2D Adjustments'!$N$12,Adjustments!$J:$J,'Schedule 2D Adjustments'!$A22)</f>
        <v>0</v>
      </c>
      <c r="P22" s="310">
        <f t="shared" si="3"/>
        <v>0</v>
      </c>
      <c r="Q22" s="68">
        <f>IFERROR(N22*'As-Filed Schedule 1'!$E$103,0)</f>
        <v>0</v>
      </c>
      <c r="R22" s="68">
        <f>IFERROR(P22*'Adjusted Schedule 1'!$E$104,0)</f>
        <v>0</v>
      </c>
      <c r="S22" s="68">
        <f t="shared" si="4"/>
        <v>0</v>
      </c>
      <c r="T22" s="311">
        <f t="shared" si="5"/>
        <v>0</v>
      </c>
      <c r="V22" s="120">
        <f>'As-Filed Schedule 2D'!N22</f>
        <v>0</v>
      </c>
      <c r="W22" s="314">
        <f>SUMIFS(Adjustments!$G:$G,Adjustments!$H:$H,"2D",Adjustments!$I:$I,'Schedule 2D Adjustments'!$V$12,Adjustments!$J:$J,'Schedule 2D Adjustments'!$A22)</f>
        <v>0</v>
      </c>
      <c r="X22" s="310">
        <f t="shared" si="6"/>
        <v>0</v>
      </c>
      <c r="Y22" s="120">
        <f>'As-Filed Schedule 2D'!O22</f>
        <v>0</v>
      </c>
      <c r="Z22" s="314">
        <f>SUMIFS(Adjustments!$G:$G,Adjustments!$H:$H,"2D",Adjustments!$I:$I,'Schedule 2D Adjustments'!$Y$12,Adjustments!$J:$J,'Schedule 2D Adjustments'!$A22)</f>
        <v>0</v>
      </c>
      <c r="AA22" s="310">
        <f t="shared" si="7"/>
        <v>0</v>
      </c>
    </row>
    <row r="23" spans="1:27" x14ac:dyDescent="0.35">
      <c r="A23" s="24">
        <v>9</v>
      </c>
      <c r="B23" s="513" t="str">
        <f>IF('As-Filed Schedule 2D'!B23:D23=0,"",'As-Filed Schedule 2D'!B23:D23)</f>
        <v/>
      </c>
      <c r="C23" s="513"/>
      <c r="D23" s="513"/>
      <c r="F23" s="117">
        <f>'As-Filed Schedule 2D'!F23</f>
        <v>0</v>
      </c>
      <c r="G23" s="314">
        <f>SUMIFS(Adjustments!$G:$G,Adjustments!$H:$H,"2D",Adjustments!$I:$I,'Schedule 2D Adjustments'!$F$12,Adjustments!$J:$J,'Schedule 2D Adjustments'!$A23)</f>
        <v>0</v>
      </c>
      <c r="H23" s="310">
        <f t="shared" si="0"/>
        <v>0</v>
      </c>
      <c r="I23" s="68">
        <f>IFERROR(F23*'As-Filed Schedule 1'!$E$103,0)</f>
        <v>0</v>
      </c>
      <c r="J23" s="311">
        <f>IFERROR(H23*'Adjusted Schedule 1'!$E$104,0)</f>
        <v>0</v>
      </c>
      <c r="K23" s="68">
        <f t="shared" si="1"/>
        <v>0</v>
      </c>
      <c r="L23" s="311">
        <f t="shared" si="2"/>
        <v>0</v>
      </c>
      <c r="N23" s="117">
        <f>'As-Filed Schedule 2D'!J23</f>
        <v>0</v>
      </c>
      <c r="O23" s="314">
        <f>SUMIFS(Adjustments!$G:$G,Adjustments!$H:$H,"2D",Adjustments!$I:$I,'Schedule 2D Adjustments'!$N$12,Adjustments!$J:$J,'Schedule 2D Adjustments'!$A23)</f>
        <v>0</v>
      </c>
      <c r="P23" s="310">
        <f t="shared" si="3"/>
        <v>0</v>
      </c>
      <c r="Q23" s="68">
        <f>IFERROR(N23*'As-Filed Schedule 1'!$E$103,0)</f>
        <v>0</v>
      </c>
      <c r="R23" s="68">
        <f>IFERROR(P23*'Adjusted Schedule 1'!$E$104,0)</f>
        <v>0</v>
      </c>
      <c r="S23" s="68">
        <f t="shared" si="4"/>
        <v>0</v>
      </c>
      <c r="T23" s="311">
        <f t="shared" si="5"/>
        <v>0</v>
      </c>
      <c r="V23" s="120">
        <f>'As-Filed Schedule 2D'!N23</f>
        <v>0</v>
      </c>
      <c r="W23" s="314">
        <f>SUMIFS(Adjustments!$G:$G,Adjustments!$H:$H,"2D",Adjustments!$I:$I,'Schedule 2D Adjustments'!$V$12,Adjustments!$J:$J,'Schedule 2D Adjustments'!$A23)</f>
        <v>0</v>
      </c>
      <c r="X23" s="310">
        <f t="shared" si="6"/>
        <v>0</v>
      </c>
      <c r="Y23" s="120">
        <f>'As-Filed Schedule 2D'!O23</f>
        <v>0</v>
      </c>
      <c r="Z23" s="314">
        <f>SUMIFS(Adjustments!$G:$G,Adjustments!$H:$H,"2D",Adjustments!$I:$I,'Schedule 2D Adjustments'!$Y$12,Adjustments!$J:$J,'Schedule 2D Adjustments'!$A23)</f>
        <v>0</v>
      </c>
      <c r="AA23" s="310">
        <f t="shared" si="7"/>
        <v>0</v>
      </c>
    </row>
    <row r="24" spans="1:27" x14ac:dyDescent="0.35">
      <c r="A24" s="24">
        <v>10</v>
      </c>
      <c r="B24" s="513" t="str">
        <f>IF('As-Filed Schedule 2D'!B24:D24=0,"",'As-Filed Schedule 2D'!B24:D24)</f>
        <v/>
      </c>
      <c r="C24" s="513"/>
      <c r="D24" s="513"/>
      <c r="F24" s="117">
        <f>'As-Filed Schedule 2D'!F24</f>
        <v>0</v>
      </c>
      <c r="G24" s="314">
        <f>SUMIFS(Adjustments!$G:$G,Adjustments!$H:$H,"2D",Adjustments!$I:$I,'Schedule 2D Adjustments'!$F$12,Adjustments!$J:$J,'Schedule 2D Adjustments'!$A24)</f>
        <v>0</v>
      </c>
      <c r="H24" s="310">
        <f t="shared" si="0"/>
        <v>0</v>
      </c>
      <c r="I24" s="68">
        <f>IFERROR(F24*'As-Filed Schedule 1'!$E$103,0)</f>
        <v>0</v>
      </c>
      <c r="J24" s="311">
        <f>IFERROR(H24*'Adjusted Schedule 1'!$E$104,0)</f>
        <v>0</v>
      </c>
      <c r="K24" s="68">
        <f t="shared" si="1"/>
        <v>0</v>
      </c>
      <c r="L24" s="311">
        <f t="shared" si="2"/>
        <v>0</v>
      </c>
      <c r="N24" s="117">
        <f>'As-Filed Schedule 2D'!J24</f>
        <v>0</v>
      </c>
      <c r="O24" s="314">
        <f>SUMIFS(Adjustments!$G:$G,Adjustments!$H:$H,"2D",Adjustments!$I:$I,'Schedule 2D Adjustments'!$N$12,Adjustments!$J:$J,'Schedule 2D Adjustments'!$A24)</f>
        <v>0</v>
      </c>
      <c r="P24" s="310">
        <f t="shared" si="3"/>
        <v>0</v>
      </c>
      <c r="Q24" s="68">
        <f>IFERROR(N24*'As-Filed Schedule 1'!$E$103,0)</f>
        <v>0</v>
      </c>
      <c r="R24" s="68">
        <f>IFERROR(P24*'Adjusted Schedule 1'!$E$104,0)</f>
        <v>0</v>
      </c>
      <c r="S24" s="68">
        <f t="shared" si="4"/>
        <v>0</v>
      </c>
      <c r="T24" s="311">
        <f t="shared" si="5"/>
        <v>0</v>
      </c>
      <c r="V24" s="120">
        <f>'As-Filed Schedule 2D'!N24</f>
        <v>0</v>
      </c>
      <c r="W24" s="314">
        <f>SUMIFS(Adjustments!$G:$G,Adjustments!$H:$H,"2D",Adjustments!$I:$I,'Schedule 2D Adjustments'!$V$12,Adjustments!$J:$J,'Schedule 2D Adjustments'!$A24)</f>
        <v>0</v>
      </c>
      <c r="X24" s="310">
        <f t="shared" si="6"/>
        <v>0</v>
      </c>
      <c r="Y24" s="120">
        <f>'As-Filed Schedule 2D'!O24</f>
        <v>0</v>
      </c>
      <c r="Z24" s="314">
        <f>SUMIFS(Adjustments!$G:$G,Adjustments!$H:$H,"2D",Adjustments!$I:$I,'Schedule 2D Adjustments'!$Y$12,Adjustments!$J:$J,'Schedule 2D Adjustments'!$A24)</f>
        <v>0</v>
      </c>
      <c r="AA24" s="310">
        <f t="shared" si="7"/>
        <v>0</v>
      </c>
    </row>
    <row r="25" spans="1:27" x14ac:dyDescent="0.35">
      <c r="A25" s="24">
        <v>11</v>
      </c>
      <c r="B25" s="513" t="str">
        <f>IF('As-Filed Schedule 2D'!B25:D25=0,"",'As-Filed Schedule 2D'!B25:D25)</f>
        <v/>
      </c>
      <c r="C25" s="513"/>
      <c r="D25" s="513"/>
      <c r="F25" s="117">
        <f>'As-Filed Schedule 2D'!F25</f>
        <v>0</v>
      </c>
      <c r="G25" s="314">
        <f>SUMIFS(Adjustments!$G:$G,Adjustments!$H:$H,"2D",Adjustments!$I:$I,'Schedule 2D Adjustments'!$F$12,Adjustments!$J:$J,'Schedule 2D Adjustments'!$A25)</f>
        <v>0</v>
      </c>
      <c r="H25" s="310">
        <f t="shared" si="0"/>
        <v>0</v>
      </c>
      <c r="I25" s="68">
        <f>IFERROR(F25*'As-Filed Schedule 1'!$E$103,0)</f>
        <v>0</v>
      </c>
      <c r="J25" s="311">
        <f>IFERROR(H25*'Adjusted Schedule 1'!$E$104,0)</f>
        <v>0</v>
      </c>
      <c r="K25" s="68">
        <f t="shared" si="1"/>
        <v>0</v>
      </c>
      <c r="L25" s="311">
        <f t="shared" si="2"/>
        <v>0</v>
      </c>
      <c r="N25" s="117">
        <f>'As-Filed Schedule 2D'!J25</f>
        <v>0</v>
      </c>
      <c r="O25" s="314">
        <f>SUMIFS(Adjustments!$G:$G,Adjustments!$H:$H,"2D",Adjustments!$I:$I,'Schedule 2D Adjustments'!$N$12,Adjustments!$J:$J,'Schedule 2D Adjustments'!$A25)</f>
        <v>0</v>
      </c>
      <c r="P25" s="310">
        <f t="shared" si="3"/>
        <v>0</v>
      </c>
      <c r="Q25" s="68">
        <f>IFERROR(N25*'As-Filed Schedule 1'!$E$103,0)</f>
        <v>0</v>
      </c>
      <c r="R25" s="68">
        <f>IFERROR(P25*'Adjusted Schedule 1'!$E$104,0)</f>
        <v>0</v>
      </c>
      <c r="S25" s="68">
        <f t="shared" si="4"/>
        <v>0</v>
      </c>
      <c r="T25" s="311">
        <f t="shared" si="5"/>
        <v>0</v>
      </c>
      <c r="V25" s="120">
        <f>'As-Filed Schedule 2D'!N25</f>
        <v>0</v>
      </c>
      <c r="W25" s="314">
        <f>SUMIFS(Adjustments!$G:$G,Adjustments!$H:$H,"2D",Adjustments!$I:$I,'Schedule 2D Adjustments'!$V$12,Adjustments!$J:$J,'Schedule 2D Adjustments'!$A25)</f>
        <v>0</v>
      </c>
      <c r="X25" s="310">
        <f t="shared" si="6"/>
        <v>0</v>
      </c>
      <c r="Y25" s="120">
        <f>'As-Filed Schedule 2D'!O25</f>
        <v>0</v>
      </c>
      <c r="Z25" s="314">
        <f>SUMIFS(Adjustments!$G:$G,Adjustments!$H:$H,"2D",Adjustments!$I:$I,'Schedule 2D Adjustments'!$Y$12,Adjustments!$J:$J,'Schedule 2D Adjustments'!$A25)</f>
        <v>0</v>
      </c>
      <c r="AA25" s="310">
        <f t="shared" si="7"/>
        <v>0</v>
      </c>
    </row>
    <row r="26" spans="1:27" x14ac:dyDescent="0.35">
      <c r="A26" s="24">
        <v>12</v>
      </c>
      <c r="B26" s="513" t="str">
        <f>IF('As-Filed Schedule 2D'!B26:D26=0,"",'As-Filed Schedule 2D'!B26:D26)</f>
        <v/>
      </c>
      <c r="C26" s="513"/>
      <c r="D26" s="513"/>
      <c r="F26" s="117">
        <f>'As-Filed Schedule 2D'!F26</f>
        <v>0</v>
      </c>
      <c r="G26" s="314">
        <f>SUMIFS(Adjustments!$G:$G,Adjustments!$H:$H,"2D",Adjustments!$I:$I,'Schedule 2D Adjustments'!$F$12,Adjustments!$J:$J,'Schedule 2D Adjustments'!$A26)</f>
        <v>0</v>
      </c>
      <c r="H26" s="310">
        <f t="shared" si="0"/>
        <v>0</v>
      </c>
      <c r="I26" s="68">
        <f>IFERROR(F26*'As-Filed Schedule 1'!$E$103,0)</f>
        <v>0</v>
      </c>
      <c r="J26" s="311">
        <f>IFERROR(H26*'Adjusted Schedule 1'!$E$104,0)</f>
        <v>0</v>
      </c>
      <c r="K26" s="68">
        <f t="shared" si="1"/>
        <v>0</v>
      </c>
      <c r="L26" s="311">
        <f t="shared" si="2"/>
        <v>0</v>
      </c>
      <c r="N26" s="117">
        <f>'As-Filed Schedule 2D'!J26</f>
        <v>0</v>
      </c>
      <c r="O26" s="314">
        <f>SUMIFS(Adjustments!$G:$G,Adjustments!$H:$H,"2D",Adjustments!$I:$I,'Schedule 2D Adjustments'!$N$12,Adjustments!$J:$J,'Schedule 2D Adjustments'!$A26)</f>
        <v>0</v>
      </c>
      <c r="P26" s="310">
        <f t="shared" si="3"/>
        <v>0</v>
      </c>
      <c r="Q26" s="68">
        <f>IFERROR(N26*'As-Filed Schedule 1'!$E$103,0)</f>
        <v>0</v>
      </c>
      <c r="R26" s="68">
        <f>IFERROR(P26*'Adjusted Schedule 1'!$E$104,0)</f>
        <v>0</v>
      </c>
      <c r="S26" s="68">
        <f t="shared" si="4"/>
        <v>0</v>
      </c>
      <c r="T26" s="311">
        <f t="shared" si="5"/>
        <v>0</v>
      </c>
      <c r="V26" s="120">
        <f>'As-Filed Schedule 2D'!N26</f>
        <v>0</v>
      </c>
      <c r="W26" s="314">
        <f>SUMIFS(Adjustments!$G:$G,Adjustments!$H:$H,"2D",Adjustments!$I:$I,'Schedule 2D Adjustments'!$V$12,Adjustments!$J:$J,'Schedule 2D Adjustments'!$A26)</f>
        <v>0</v>
      </c>
      <c r="X26" s="310">
        <f t="shared" si="6"/>
        <v>0</v>
      </c>
      <c r="Y26" s="120">
        <f>'As-Filed Schedule 2D'!O26</f>
        <v>0</v>
      </c>
      <c r="Z26" s="314">
        <f>SUMIFS(Adjustments!$G:$G,Adjustments!$H:$H,"2D",Adjustments!$I:$I,'Schedule 2D Adjustments'!$Y$12,Adjustments!$J:$J,'Schedule 2D Adjustments'!$A26)</f>
        <v>0</v>
      </c>
      <c r="AA26" s="310">
        <f t="shared" si="7"/>
        <v>0</v>
      </c>
    </row>
    <row r="27" spans="1:27" x14ac:dyDescent="0.35">
      <c r="A27" s="24">
        <v>13</v>
      </c>
      <c r="B27" s="513" t="str">
        <f>IF('As-Filed Schedule 2D'!B27:D27=0,"",'As-Filed Schedule 2D'!B27:D27)</f>
        <v/>
      </c>
      <c r="C27" s="513"/>
      <c r="D27" s="513"/>
      <c r="F27" s="117">
        <f>'As-Filed Schedule 2D'!F27</f>
        <v>0</v>
      </c>
      <c r="G27" s="314">
        <f>SUMIFS(Adjustments!$G:$G,Adjustments!$H:$H,"2D",Adjustments!$I:$I,'Schedule 2D Adjustments'!$F$12,Adjustments!$J:$J,'Schedule 2D Adjustments'!$A27)</f>
        <v>0</v>
      </c>
      <c r="H27" s="310">
        <f t="shared" si="0"/>
        <v>0</v>
      </c>
      <c r="I27" s="68">
        <f>IFERROR(F27*'As-Filed Schedule 1'!$E$103,0)</f>
        <v>0</v>
      </c>
      <c r="J27" s="311">
        <f>IFERROR(H27*'Adjusted Schedule 1'!$E$104,0)</f>
        <v>0</v>
      </c>
      <c r="K27" s="68">
        <f t="shared" si="1"/>
        <v>0</v>
      </c>
      <c r="L27" s="311">
        <f t="shared" si="2"/>
        <v>0</v>
      </c>
      <c r="N27" s="117">
        <f>'As-Filed Schedule 2D'!J27</f>
        <v>0</v>
      </c>
      <c r="O27" s="314">
        <f>SUMIFS(Adjustments!$G:$G,Adjustments!$H:$H,"2D",Adjustments!$I:$I,'Schedule 2D Adjustments'!$N$12,Adjustments!$J:$J,'Schedule 2D Adjustments'!$A27)</f>
        <v>0</v>
      </c>
      <c r="P27" s="310">
        <f t="shared" si="3"/>
        <v>0</v>
      </c>
      <c r="Q27" s="68">
        <f>IFERROR(N27*'As-Filed Schedule 1'!$E$103,0)</f>
        <v>0</v>
      </c>
      <c r="R27" s="68">
        <f>IFERROR(P27*'Adjusted Schedule 1'!$E$104,0)</f>
        <v>0</v>
      </c>
      <c r="S27" s="68">
        <f t="shared" si="4"/>
        <v>0</v>
      </c>
      <c r="T27" s="311">
        <f t="shared" si="5"/>
        <v>0</v>
      </c>
      <c r="V27" s="120">
        <f>'As-Filed Schedule 2D'!N27</f>
        <v>0</v>
      </c>
      <c r="W27" s="314">
        <f>SUMIFS(Adjustments!$G:$G,Adjustments!$H:$H,"2D",Adjustments!$I:$I,'Schedule 2D Adjustments'!$V$12,Adjustments!$J:$J,'Schedule 2D Adjustments'!$A27)</f>
        <v>0</v>
      </c>
      <c r="X27" s="310">
        <f t="shared" si="6"/>
        <v>0</v>
      </c>
      <c r="Y27" s="120">
        <f>'As-Filed Schedule 2D'!O27</f>
        <v>0</v>
      </c>
      <c r="Z27" s="314">
        <f>SUMIFS(Adjustments!$G:$G,Adjustments!$H:$H,"2D",Adjustments!$I:$I,'Schedule 2D Adjustments'!$Y$12,Adjustments!$J:$J,'Schedule 2D Adjustments'!$A27)</f>
        <v>0</v>
      </c>
      <c r="AA27" s="310">
        <f t="shared" si="7"/>
        <v>0</v>
      </c>
    </row>
    <row r="28" spans="1:27" x14ac:dyDescent="0.35">
      <c r="A28" s="24">
        <v>14</v>
      </c>
      <c r="B28" s="513" t="str">
        <f>IF('As-Filed Schedule 2D'!B28:D28=0,"",'As-Filed Schedule 2D'!B28:D28)</f>
        <v/>
      </c>
      <c r="C28" s="513"/>
      <c r="D28" s="513"/>
      <c r="F28" s="117">
        <f>'As-Filed Schedule 2D'!F28</f>
        <v>0</v>
      </c>
      <c r="G28" s="314">
        <f>SUMIFS(Adjustments!$G:$G,Adjustments!$H:$H,"2D",Adjustments!$I:$I,'Schedule 2D Adjustments'!$F$12,Adjustments!$J:$J,'Schedule 2D Adjustments'!$A28)</f>
        <v>0</v>
      </c>
      <c r="H28" s="310">
        <f t="shared" si="0"/>
        <v>0</v>
      </c>
      <c r="I28" s="68">
        <f>IFERROR(F28*'As-Filed Schedule 1'!$E$103,0)</f>
        <v>0</v>
      </c>
      <c r="J28" s="311">
        <f>IFERROR(H28*'Adjusted Schedule 1'!$E$104,0)</f>
        <v>0</v>
      </c>
      <c r="K28" s="68">
        <f t="shared" si="1"/>
        <v>0</v>
      </c>
      <c r="L28" s="311">
        <f t="shared" si="2"/>
        <v>0</v>
      </c>
      <c r="N28" s="117">
        <f>'As-Filed Schedule 2D'!J28</f>
        <v>0</v>
      </c>
      <c r="O28" s="314">
        <f>SUMIFS(Adjustments!$G:$G,Adjustments!$H:$H,"2D",Adjustments!$I:$I,'Schedule 2D Adjustments'!$N$12,Adjustments!$J:$J,'Schedule 2D Adjustments'!$A28)</f>
        <v>0</v>
      </c>
      <c r="P28" s="310">
        <f t="shared" si="3"/>
        <v>0</v>
      </c>
      <c r="Q28" s="68">
        <f>IFERROR(N28*'As-Filed Schedule 1'!$E$103,0)</f>
        <v>0</v>
      </c>
      <c r="R28" s="68">
        <f>IFERROR(P28*'Adjusted Schedule 1'!$E$104,0)</f>
        <v>0</v>
      </c>
      <c r="S28" s="68">
        <f t="shared" si="4"/>
        <v>0</v>
      </c>
      <c r="T28" s="311">
        <f t="shared" si="5"/>
        <v>0</v>
      </c>
      <c r="V28" s="120">
        <f>'As-Filed Schedule 2D'!N28</f>
        <v>0</v>
      </c>
      <c r="W28" s="314">
        <f>SUMIFS(Adjustments!$G:$G,Adjustments!$H:$H,"2D",Adjustments!$I:$I,'Schedule 2D Adjustments'!$V$12,Adjustments!$J:$J,'Schedule 2D Adjustments'!$A28)</f>
        <v>0</v>
      </c>
      <c r="X28" s="310">
        <f t="shared" si="6"/>
        <v>0</v>
      </c>
      <c r="Y28" s="120">
        <f>'As-Filed Schedule 2D'!O28</f>
        <v>0</v>
      </c>
      <c r="Z28" s="314">
        <f>SUMIFS(Adjustments!$G:$G,Adjustments!$H:$H,"2D",Adjustments!$I:$I,'Schedule 2D Adjustments'!$Y$12,Adjustments!$J:$J,'Schedule 2D Adjustments'!$A28)</f>
        <v>0</v>
      </c>
      <c r="AA28" s="310">
        <f t="shared" si="7"/>
        <v>0</v>
      </c>
    </row>
    <row r="29" spans="1:27" x14ac:dyDescent="0.35">
      <c r="A29" s="24">
        <v>15</v>
      </c>
      <c r="B29" s="513" t="str">
        <f>IF('As-Filed Schedule 2D'!B29:D29=0,"",'As-Filed Schedule 2D'!B29:D29)</f>
        <v/>
      </c>
      <c r="C29" s="513"/>
      <c r="D29" s="513"/>
      <c r="F29" s="117">
        <f>'As-Filed Schedule 2D'!F29</f>
        <v>0</v>
      </c>
      <c r="G29" s="314">
        <f>SUMIFS(Adjustments!$G:$G,Adjustments!$H:$H,"2D",Adjustments!$I:$I,'Schedule 2D Adjustments'!$F$12,Adjustments!$J:$J,'Schedule 2D Adjustments'!$A29)</f>
        <v>0</v>
      </c>
      <c r="H29" s="310">
        <f t="shared" si="0"/>
        <v>0</v>
      </c>
      <c r="I29" s="68">
        <f>IFERROR(F29*'As-Filed Schedule 1'!$E$103,0)</f>
        <v>0</v>
      </c>
      <c r="J29" s="311">
        <f>IFERROR(H29*'Adjusted Schedule 1'!$E$104,0)</f>
        <v>0</v>
      </c>
      <c r="K29" s="68">
        <f t="shared" si="1"/>
        <v>0</v>
      </c>
      <c r="L29" s="311">
        <f t="shared" si="2"/>
        <v>0</v>
      </c>
      <c r="N29" s="117">
        <f>'As-Filed Schedule 2D'!J29</f>
        <v>0</v>
      </c>
      <c r="O29" s="314">
        <f>SUMIFS(Adjustments!$G:$G,Adjustments!$H:$H,"2D",Adjustments!$I:$I,'Schedule 2D Adjustments'!$N$12,Adjustments!$J:$J,'Schedule 2D Adjustments'!$A29)</f>
        <v>0</v>
      </c>
      <c r="P29" s="310">
        <f t="shared" si="3"/>
        <v>0</v>
      </c>
      <c r="Q29" s="68">
        <f>IFERROR(N29*'As-Filed Schedule 1'!$E$103,0)</f>
        <v>0</v>
      </c>
      <c r="R29" s="68">
        <f>IFERROR(P29*'Adjusted Schedule 1'!$E$104,0)</f>
        <v>0</v>
      </c>
      <c r="S29" s="68">
        <f t="shared" si="4"/>
        <v>0</v>
      </c>
      <c r="T29" s="311">
        <f t="shared" si="5"/>
        <v>0</v>
      </c>
      <c r="V29" s="120">
        <f>'As-Filed Schedule 2D'!N29</f>
        <v>0</v>
      </c>
      <c r="W29" s="314">
        <f>SUMIFS(Adjustments!$G:$G,Adjustments!$H:$H,"2D",Adjustments!$I:$I,'Schedule 2D Adjustments'!$V$12,Adjustments!$J:$J,'Schedule 2D Adjustments'!$A29)</f>
        <v>0</v>
      </c>
      <c r="X29" s="310">
        <f t="shared" si="6"/>
        <v>0</v>
      </c>
      <c r="Y29" s="120">
        <f>'As-Filed Schedule 2D'!O29</f>
        <v>0</v>
      </c>
      <c r="Z29" s="314">
        <f>SUMIFS(Adjustments!$G:$G,Adjustments!$H:$H,"2D",Adjustments!$I:$I,'Schedule 2D Adjustments'!$Y$12,Adjustments!$J:$J,'Schedule 2D Adjustments'!$A29)</f>
        <v>0</v>
      </c>
      <c r="AA29" s="310">
        <f t="shared" si="7"/>
        <v>0</v>
      </c>
    </row>
    <row r="30" spans="1:27" x14ac:dyDescent="0.35">
      <c r="A30" s="24">
        <v>16</v>
      </c>
      <c r="B30" s="513" t="str">
        <f>IF('As-Filed Schedule 2D'!B30:D30=0,"",'As-Filed Schedule 2D'!B30:D30)</f>
        <v/>
      </c>
      <c r="C30" s="513"/>
      <c r="D30" s="513"/>
      <c r="F30" s="117">
        <f>'As-Filed Schedule 2D'!F30</f>
        <v>0</v>
      </c>
      <c r="G30" s="314">
        <f>SUMIFS(Adjustments!$G:$G,Adjustments!$H:$H,"2D",Adjustments!$I:$I,'Schedule 2D Adjustments'!$F$12,Adjustments!$J:$J,'Schedule 2D Adjustments'!$A30)</f>
        <v>0</v>
      </c>
      <c r="H30" s="310">
        <f t="shared" si="0"/>
        <v>0</v>
      </c>
      <c r="I30" s="68">
        <f>IFERROR(F30*'As-Filed Schedule 1'!$E$103,0)</f>
        <v>0</v>
      </c>
      <c r="J30" s="311">
        <f>IFERROR(H30*'Adjusted Schedule 1'!$E$104,0)</f>
        <v>0</v>
      </c>
      <c r="K30" s="68">
        <f t="shared" si="1"/>
        <v>0</v>
      </c>
      <c r="L30" s="311">
        <f t="shared" si="2"/>
        <v>0</v>
      </c>
      <c r="N30" s="117">
        <f>'As-Filed Schedule 2D'!J30</f>
        <v>0</v>
      </c>
      <c r="O30" s="314">
        <f>SUMIFS(Adjustments!$G:$G,Adjustments!$H:$H,"2D",Adjustments!$I:$I,'Schedule 2D Adjustments'!$N$12,Adjustments!$J:$J,'Schedule 2D Adjustments'!$A30)</f>
        <v>0</v>
      </c>
      <c r="P30" s="310">
        <f t="shared" si="3"/>
        <v>0</v>
      </c>
      <c r="Q30" s="68">
        <f>IFERROR(N30*'As-Filed Schedule 1'!$E$103,0)</f>
        <v>0</v>
      </c>
      <c r="R30" s="68">
        <f>IFERROR(P30*'Adjusted Schedule 1'!$E$104,0)</f>
        <v>0</v>
      </c>
      <c r="S30" s="68">
        <f t="shared" si="4"/>
        <v>0</v>
      </c>
      <c r="T30" s="311">
        <f t="shared" si="5"/>
        <v>0</v>
      </c>
      <c r="V30" s="120">
        <f>'As-Filed Schedule 2D'!N30</f>
        <v>0</v>
      </c>
      <c r="W30" s="314">
        <f>SUMIFS(Adjustments!$G:$G,Adjustments!$H:$H,"2D",Adjustments!$I:$I,'Schedule 2D Adjustments'!$V$12,Adjustments!$J:$J,'Schedule 2D Adjustments'!$A30)</f>
        <v>0</v>
      </c>
      <c r="X30" s="310">
        <f t="shared" si="6"/>
        <v>0</v>
      </c>
      <c r="Y30" s="120">
        <f>'As-Filed Schedule 2D'!O30</f>
        <v>0</v>
      </c>
      <c r="Z30" s="314">
        <f>SUMIFS(Adjustments!$G:$G,Adjustments!$H:$H,"2D",Adjustments!$I:$I,'Schedule 2D Adjustments'!$Y$12,Adjustments!$J:$J,'Schedule 2D Adjustments'!$A30)</f>
        <v>0</v>
      </c>
      <c r="AA30" s="310">
        <f t="shared" si="7"/>
        <v>0</v>
      </c>
    </row>
    <row r="31" spans="1:27" x14ac:dyDescent="0.35">
      <c r="A31" s="24">
        <v>17</v>
      </c>
      <c r="B31" s="513" t="str">
        <f>IF('As-Filed Schedule 2D'!B31:D31=0,"",'As-Filed Schedule 2D'!B31:D31)</f>
        <v/>
      </c>
      <c r="C31" s="513"/>
      <c r="D31" s="513"/>
      <c r="F31" s="117">
        <f>'As-Filed Schedule 2D'!F31</f>
        <v>0</v>
      </c>
      <c r="G31" s="314">
        <f>SUMIFS(Adjustments!$G:$G,Adjustments!$H:$H,"2D",Adjustments!$I:$I,'Schedule 2D Adjustments'!$F$12,Adjustments!$J:$J,'Schedule 2D Adjustments'!$A31)</f>
        <v>0</v>
      </c>
      <c r="H31" s="310">
        <f t="shared" si="0"/>
        <v>0</v>
      </c>
      <c r="I31" s="68">
        <f>IFERROR(F31*'As-Filed Schedule 1'!$E$103,0)</f>
        <v>0</v>
      </c>
      <c r="J31" s="311">
        <f>IFERROR(H31*'Adjusted Schedule 1'!$E$104,0)</f>
        <v>0</v>
      </c>
      <c r="K31" s="68">
        <f t="shared" si="1"/>
        <v>0</v>
      </c>
      <c r="L31" s="311">
        <f t="shared" si="2"/>
        <v>0</v>
      </c>
      <c r="N31" s="117">
        <f>'As-Filed Schedule 2D'!J31</f>
        <v>0</v>
      </c>
      <c r="O31" s="314">
        <f>SUMIFS(Adjustments!$G:$G,Adjustments!$H:$H,"2D",Adjustments!$I:$I,'Schedule 2D Adjustments'!$N$12,Adjustments!$J:$J,'Schedule 2D Adjustments'!$A31)</f>
        <v>0</v>
      </c>
      <c r="P31" s="310">
        <f t="shared" si="3"/>
        <v>0</v>
      </c>
      <c r="Q31" s="68">
        <f>IFERROR(N31*'As-Filed Schedule 1'!$E$103,0)</f>
        <v>0</v>
      </c>
      <c r="R31" s="68">
        <f>IFERROR(P31*'Adjusted Schedule 1'!$E$104,0)</f>
        <v>0</v>
      </c>
      <c r="S31" s="68">
        <f t="shared" si="4"/>
        <v>0</v>
      </c>
      <c r="T31" s="311">
        <f t="shared" si="5"/>
        <v>0</v>
      </c>
      <c r="V31" s="120">
        <f>'As-Filed Schedule 2D'!N31</f>
        <v>0</v>
      </c>
      <c r="W31" s="314">
        <f>SUMIFS(Adjustments!$G:$G,Adjustments!$H:$H,"2D",Adjustments!$I:$I,'Schedule 2D Adjustments'!$V$12,Adjustments!$J:$J,'Schedule 2D Adjustments'!$A31)</f>
        <v>0</v>
      </c>
      <c r="X31" s="310">
        <f t="shared" si="6"/>
        <v>0</v>
      </c>
      <c r="Y31" s="120">
        <f>'As-Filed Schedule 2D'!O31</f>
        <v>0</v>
      </c>
      <c r="Z31" s="314">
        <f>SUMIFS(Adjustments!$G:$G,Adjustments!$H:$H,"2D",Adjustments!$I:$I,'Schedule 2D Adjustments'!$Y$12,Adjustments!$J:$J,'Schedule 2D Adjustments'!$A31)</f>
        <v>0</v>
      </c>
      <c r="AA31" s="310">
        <f t="shared" si="7"/>
        <v>0</v>
      </c>
    </row>
    <row r="32" spans="1:27" x14ac:dyDescent="0.35">
      <c r="A32" s="24">
        <v>18</v>
      </c>
      <c r="B32" s="513" t="str">
        <f>IF('As-Filed Schedule 2D'!B32:D32=0,"",'As-Filed Schedule 2D'!B32:D32)</f>
        <v/>
      </c>
      <c r="C32" s="513"/>
      <c r="D32" s="513"/>
      <c r="F32" s="117">
        <f>'As-Filed Schedule 2D'!F32</f>
        <v>0</v>
      </c>
      <c r="G32" s="314">
        <f>SUMIFS(Adjustments!$G:$G,Adjustments!$H:$H,"2D",Adjustments!$I:$I,'Schedule 2D Adjustments'!$F$12,Adjustments!$J:$J,'Schedule 2D Adjustments'!$A32)</f>
        <v>0</v>
      </c>
      <c r="H32" s="310">
        <f t="shared" si="0"/>
        <v>0</v>
      </c>
      <c r="I32" s="68">
        <f>IFERROR(F32*'As-Filed Schedule 1'!$E$103,0)</f>
        <v>0</v>
      </c>
      <c r="J32" s="311">
        <f>IFERROR(H32*'Adjusted Schedule 1'!$E$104,0)</f>
        <v>0</v>
      </c>
      <c r="K32" s="68">
        <f t="shared" si="1"/>
        <v>0</v>
      </c>
      <c r="L32" s="311">
        <f t="shared" si="2"/>
        <v>0</v>
      </c>
      <c r="N32" s="117">
        <f>'As-Filed Schedule 2D'!J32</f>
        <v>0</v>
      </c>
      <c r="O32" s="314">
        <f>SUMIFS(Adjustments!$G:$G,Adjustments!$H:$H,"2D",Adjustments!$I:$I,'Schedule 2D Adjustments'!$N$12,Adjustments!$J:$J,'Schedule 2D Adjustments'!$A32)</f>
        <v>0</v>
      </c>
      <c r="P32" s="310">
        <f t="shared" si="3"/>
        <v>0</v>
      </c>
      <c r="Q32" s="68">
        <f>IFERROR(N32*'As-Filed Schedule 1'!$E$103,0)</f>
        <v>0</v>
      </c>
      <c r="R32" s="68">
        <f>IFERROR(P32*'Adjusted Schedule 1'!$E$104,0)</f>
        <v>0</v>
      </c>
      <c r="S32" s="68">
        <f t="shared" si="4"/>
        <v>0</v>
      </c>
      <c r="T32" s="311">
        <f t="shared" si="5"/>
        <v>0</v>
      </c>
      <c r="V32" s="120">
        <f>'As-Filed Schedule 2D'!N32</f>
        <v>0</v>
      </c>
      <c r="W32" s="314">
        <f>SUMIFS(Adjustments!$G:$G,Adjustments!$H:$H,"2D",Adjustments!$I:$I,'Schedule 2D Adjustments'!$V$12,Adjustments!$J:$J,'Schedule 2D Adjustments'!$A32)</f>
        <v>0</v>
      </c>
      <c r="X32" s="310">
        <f t="shared" si="6"/>
        <v>0</v>
      </c>
      <c r="Y32" s="120">
        <f>'As-Filed Schedule 2D'!O32</f>
        <v>0</v>
      </c>
      <c r="Z32" s="314">
        <f>SUMIFS(Adjustments!$G:$G,Adjustments!$H:$H,"2D",Adjustments!$I:$I,'Schedule 2D Adjustments'!$Y$12,Adjustments!$J:$J,'Schedule 2D Adjustments'!$A32)</f>
        <v>0</v>
      </c>
      <c r="AA32" s="310">
        <f t="shared" si="7"/>
        <v>0</v>
      </c>
    </row>
    <row r="33" spans="1:27" x14ac:dyDescent="0.35">
      <c r="A33" s="24">
        <v>19</v>
      </c>
      <c r="B33" s="513" t="str">
        <f>IF('As-Filed Schedule 2D'!B33:D33=0,"",'As-Filed Schedule 2D'!B33:D33)</f>
        <v/>
      </c>
      <c r="C33" s="513"/>
      <c r="D33" s="513"/>
      <c r="F33" s="117">
        <f>'As-Filed Schedule 2D'!F33</f>
        <v>0</v>
      </c>
      <c r="G33" s="314">
        <f>SUMIFS(Adjustments!$G:$G,Adjustments!$H:$H,"2D",Adjustments!$I:$I,'Schedule 2D Adjustments'!$F$12,Adjustments!$J:$J,'Schedule 2D Adjustments'!$A33)</f>
        <v>0</v>
      </c>
      <c r="H33" s="310">
        <f t="shared" si="0"/>
        <v>0</v>
      </c>
      <c r="I33" s="68">
        <f>IFERROR(F33*'As-Filed Schedule 1'!$E$103,0)</f>
        <v>0</v>
      </c>
      <c r="J33" s="311">
        <f>IFERROR(H33*'Adjusted Schedule 1'!$E$104,0)</f>
        <v>0</v>
      </c>
      <c r="K33" s="68">
        <f t="shared" si="1"/>
        <v>0</v>
      </c>
      <c r="L33" s="311">
        <f t="shared" si="2"/>
        <v>0</v>
      </c>
      <c r="N33" s="117">
        <f>'As-Filed Schedule 2D'!J33</f>
        <v>0</v>
      </c>
      <c r="O33" s="314">
        <f>SUMIFS(Adjustments!$G:$G,Adjustments!$H:$H,"2D",Adjustments!$I:$I,'Schedule 2D Adjustments'!$N$12,Adjustments!$J:$J,'Schedule 2D Adjustments'!$A33)</f>
        <v>0</v>
      </c>
      <c r="P33" s="310">
        <f t="shared" si="3"/>
        <v>0</v>
      </c>
      <c r="Q33" s="68">
        <f>IFERROR(N33*'As-Filed Schedule 1'!$E$103,0)</f>
        <v>0</v>
      </c>
      <c r="R33" s="68">
        <f>IFERROR(P33*'Adjusted Schedule 1'!$E$104,0)</f>
        <v>0</v>
      </c>
      <c r="S33" s="68">
        <f t="shared" si="4"/>
        <v>0</v>
      </c>
      <c r="T33" s="311">
        <f t="shared" si="5"/>
        <v>0</v>
      </c>
      <c r="V33" s="120">
        <f>'As-Filed Schedule 2D'!N33</f>
        <v>0</v>
      </c>
      <c r="W33" s="314">
        <f>SUMIFS(Adjustments!$G:$G,Adjustments!$H:$H,"2D",Adjustments!$I:$I,'Schedule 2D Adjustments'!$V$12,Adjustments!$J:$J,'Schedule 2D Adjustments'!$A33)</f>
        <v>0</v>
      </c>
      <c r="X33" s="310">
        <f t="shared" si="6"/>
        <v>0</v>
      </c>
      <c r="Y33" s="120">
        <f>'As-Filed Schedule 2D'!O33</f>
        <v>0</v>
      </c>
      <c r="Z33" s="314">
        <f>SUMIFS(Adjustments!$G:$G,Adjustments!$H:$H,"2D",Adjustments!$I:$I,'Schedule 2D Adjustments'!$Y$12,Adjustments!$J:$J,'Schedule 2D Adjustments'!$A33)</f>
        <v>0</v>
      </c>
      <c r="AA33" s="310">
        <f t="shared" si="7"/>
        <v>0</v>
      </c>
    </row>
    <row r="34" spans="1:27" x14ac:dyDescent="0.35">
      <c r="A34" s="24">
        <v>20</v>
      </c>
      <c r="B34" s="513" t="str">
        <f>IF('As-Filed Schedule 2D'!B34:D34=0,"",'As-Filed Schedule 2D'!B34:D34)</f>
        <v/>
      </c>
      <c r="C34" s="513"/>
      <c r="D34" s="513"/>
      <c r="F34" s="117">
        <f>'As-Filed Schedule 2D'!F34</f>
        <v>0</v>
      </c>
      <c r="G34" s="314">
        <f>SUMIFS(Adjustments!$G:$G,Adjustments!$H:$H,"2D",Adjustments!$I:$I,'Schedule 2D Adjustments'!$F$12,Adjustments!$J:$J,'Schedule 2D Adjustments'!$A34)</f>
        <v>0</v>
      </c>
      <c r="H34" s="310">
        <f t="shared" si="0"/>
        <v>0</v>
      </c>
      <c r="I34" s="68">
        <f>IFERROR(F34*'As-Filed Schedule 1'!$E$103,0)</f>
        <v>0</v>
      </c>
      <c r="J34" s="311">
        <f>IFERROR(H34*'Adjusted Schedule 1'!$E$104,0)</f>
        <v>0</v>
      </c>
      <c r="K34" s="68">
        <f t="shared" si="1"/>
        <v>0</v>
      </c>
      <c r="L34" s="311">
        <f t="shared" si="2"/>
        <v>0</v>
      </c>
      <c r="N34" s="117">
        <f>'As-Filed Schedule 2D'!J34</f>
        <v>0</v>
      </c>
      <c r="O34" s="314">
        <f>SUMIFS(Adjustments!$G:$G,Adjustments!$H:$H,"2D",Adjustments!$I:$I,'Schedule 2D Adjustments'!$N$12,Adjustments!$J:$J,'Schedule 2D Adjustments'!$A34)</f>
        <v>0</v>
      </c>
      <c r="P34" s="310">
        <f t="shared" si="3"/>
        <v>0</v>
      </c>
      <c r="Q34" s="68">
        <f>IFERROR(N34*'As-Filed Schedule 1'!$E$103,0)</f>
        <v>0</v>
      </c>
      <c r="R34" s="68">
        <f>IFERROR(P34*'Adjusted Schedule 1'!$E$104,0)</f>
        <v>0</v>
      </c>
      <c r="S34" s="68">
        <f t="shared" si="4"/>
        <v>0</v>
      </c>
      <c r="T34" s="311">
        <f t="shared" si="5"/>
        <v>0</v>
      </c>
      <c r="V34" s="120">
        <f>'As-Filed Schedule 2D'!N34</f>
        <v>0</v>
      </c>
      <c r="W34" s="314">
        <f>SUMIFS(Adjustments!$G:$G,Adjustments!$H:$H,"2D",Adjustments!$I:$I,'Schedule 2D Adjustments'!$V$12,Adjustments!$J:$J,'Schedule 2D Adjustments'!$A34)</f>
        <v>0</v>
      </c>
      <c r="X34" s="310">
        <f t="shared" si="6"/>
        <v>0</v>
      </c>
      <c r="Y34" s="120">
        <f>'As-Filed Schedule 2D'!O34</f>
        <v>0</v>
      </c>
      <c r="Z34" s="314">
        <f>SUMIFS(Adjustments!$G:$G,Adjustments!$H:$H,"2D",Adjustments!$I:$I,'Schedule 2D Adjustments'!$Y$12,Adjustments!$J:$J,'Schedule 2D Adjustments'!$A34)</f>
        <v>0</v>
      </c>
      <c r="AA34" s="310">
        <f t="shared" si="7"/>
        <v>0</v>
      </c>
    </row>
    <row r="35" spans="1:27" x14ac:dyDescent="0.35">
      <c r="A35" s="24">
        <v>21</v>
      </c>
      <c r="B35" s="513" t="str">
        <f>IF('As-Filed Schedule 2D'!B35:D35=0,"",'As-Filed Schedule 2D'!B35:D35)</f>
        <v/>
      </c>
      <c r="C35" s="513"/>
      <c r="D35" s="513"/>
      <c r="F35" s="117">
        <f>'As-Filed Schedule 2D'!F35</f>
        <v>0</v>
      </c>
      <c r="G35" s="314">
        <f>SUMIFS(Adjustments!$G:$G,Adjustments!$H:$H,"2D",Adjustments!$I:$I,'Schedule 2D Adjustments'!$F$12,Adjustments!$J:$J,'Schedule 2D Adjustments'!$A35)</f>
        <v>0</v>
      </c>
      <c r="H35" s="310">
        <f t="shared" si="0"/>
        <v>0</v>
      </c>
      <c r="I35" s="68">
        <f>IFERROR(F35*'As-Filed Schedule 1'!$E$103,0)</f>
        <v>0</v>
      </c>
      <c r="J35" s="311">
        <f>IFERROR(H35*'Adjusted Schedule 1'!$E$104,0)</f>
        <v>0</v>
      </c>
      <c r="K35" s="68">
        <f t="shared" si="1"/>
        <v>0</v>
      </c>
      <c r="L35" s="311">
        <f t="shared" si="2"/>
        <v>0</v>
      </c>
      <c r="N35" s="117">
        <f>'As-Filed Schedule 2D'!J35</f>
        <v>0</v>
      </c>
      <c r="O35" s="314">
        <f>SUMIFS(Adjustments!$G:$G,Adjustments!$H:$H,"2D",Adjustments!$I:$I,'Schedule 2D Adjustments'!$N$12,Adjustments!$J:$J,'Schedule 2D Adjustments'!$A35)</f>
        <v>0</v>
      </c>
      <c r="P35" s="310">
        <f t="shared" si="3"/>
        <v>0</v>
      </c>
      <c r="Q35" s="68">
        <f>IFERROR(N35*'As-Filed Schedule 1'!$E$103,0)</f>
        <v>0</v>
      </c>
      <c r="R35" s="68">
        <f>IFERROR(P35*'Adjusted Schedule 1'!$E$104,0)</f>
        <v>0</v>
      </c>
      <c r="S35" s="68">
        <f t="shared" si="4"/>
        <v>0</v>
      </c>
      <c r="T35" s="311">
        <f t="shared" si="5"/>
        <v>0</v>
      </c>
      <c r="V35" s="120">
        <f>'As-Filed Schedule 2D'!N35</f>
        <v>0</v>
      </c>
      <c r="W35" s="314">
        <f>SUMIFS(Adjustments!$G:$G,Adjustments!$H:$H,"2D",Adjustments!$I:$I,'Schedule 2D Adjustments'!$V$12,Adjustments!$J:$J,'Schedule 2D Adjustments'!$A35)</f>
        <v>0</v>
      </c>
      <c r="X35" s="310">
        <f t="shared" si="6"/>
        <v>0</v>
      </c>
      <c r="Y35" s="120">
        <f>'As-Filed Schedule 2D'!O35</f>
        <v>0</v>
      </c>
      <c r="Z35" s="314">
        <f>SUMIFS(Adjustments!$G:$G,Adjustments!$H:$H,"2D",Adjustments!$I:$I,'Schedule 2D Adjustments'!$Y$12,Adjustments!$J:$J,'Schedule 2D Adjustments'!$A35)</f>
        <v>0</v>
      </c>
      <c r="AA35" s="310">
        <f t="shared" si="7"/>
        <v>0</v>
      </c>
    </row>
    <row r="36" spans="1:27" x14ac:dyDescent="0.35">
      <c r="A36" s="24">
        <v>22</v>
      </c>
      <c r="B36" s="513" t="str">
        <f>IF('As-Filed Schedule 2D'!B36:D36=0,"",'As-Filed Schedule 2D'!B36:D36)</f>
        <v/>
      </c>
      <c r="C36" s="513"/>
      <c r="D36" s="513"/>
      <c r="F36" s="117">
        <f>'As-Filed Schedule 2D'!F36</f>
        <v>0</v>
      </c>
      <c r="G36" s="314">
        <f>SUMIFS(Adjustments!$G:$G,Adjustments!$H:$H,"2D",Adjustments!$I:$I,'Schedule 2D Adjustments'!$F$12,Adjustments!$J:$J,'Schedule 2D Adjustments'!$A36)</f>
        <v>0</v>
      </c>
      <c r="H36" s="310">
        <f t="shared" si="0"/>
        <v>0</v>
      </c>
      <c r="I36" s="68">
        <f>IFERROR(F36*'As-Filed Schedule 1'!$E$103,0)</f>
        <v>0</v>
      </c>
      <c r="J36" s="311">
        <f>IFERROR(H36*'Adjusted Schedule 1'!$E$104,0)</f>
        <v>0</v>
      </c>
      <c r="K36" s="68">
        <f t="shared" si="1"/>
        <v>0</v>
      </c>
      <c r="L36" s="311">
        <f t="shared" si="2"/>
        <v>0</v>
      </c>
      <c r="N36" s="117">
        <f>'As-Filed Schedule 2D'!J36</f>
        <v>0</v>
      </c>
      <c r="O36" s="314">
        <f>SUMIFS(Adjustments!$G:$G,Adjustments!$H:$H,"2D",Adjustments!$I:$I,'Schedule 2D Adjustments'!$N$12,Adjustments!$J:$J,'Schedule 2D Adjustments'!$A36)</f>
        <v>0</v>
      </c>
      <c r="P36" s="310">
        <f t="shared" si="3"/>
        <v>0</v>
      </c>
      <c r="Q36" s="68">
        <f>IFERROR(N36*'As-Filed Schedule 1'!$E$103,0)</f>
        <v>0</v>
      </c>
      <c r="R36" s="68">
        <f>IFERROR(P36*'Adjusted Schedule 1'!$E$104,0)</f>
        <v>0</v>
      </c>
      <c r="S36" s="68">
        <f t="shared" si="4"/>
        <v>0</v>
      </c>
      <c r="T36" s="311">
        <f t="shared" si="5"/>
        <v>0</v>
      </c>
      <c r="V36" s="120">
        <f>'As-Filed Schedule 2D'!N36</f>
        <v>0</v>
      </c>
      <c r="W36" s="314">
        <f>SUMIFS(Adjustments!$G:$G,Adjustments!$H:$H,"2D",Adjustments!$I:$I,'Schedule 2D Adjustments'!$V$12,Adjustments!$J:$J,'Schedule 2D Adjustments'!$A36)</f>
        <v>0</v>
      </c>
      <c r="X36" s="310">
        <f t="shared" si="6"/>
        <v>0</v>
      </c>
      <c r="Y36" s="120">
        <f>'As-Filed Schedule 2D'!O36</f>
        <v>0</v>
      </c>
      <c r="Z36" s="314">
        <f>SUMIFS(Adjustments!$G:$G,Adjustments!$H:$H,"2D",Adjustments!$I:$I,'Schedule 2D Adjustments'!$Y$12,Adjustments!$J:$J,'Schedule 2D Adjustments'!$A36)</f>
        <v>0</v>
      </c>
      <c r="AA36" s="310">
        <f t="shared" si="7"/>
        <v>0</v>
      </c>
    </row>
    <row r="37" spans="1:27" x14ac:dyDescent="0.35">
      <c r="A37" s="24">
        <v>23</v>
      </c>
      <c r="B37" s="513" t="str">
        <f>IF('As-Filed Schedule 2D'!B37:D37=0,"",'As-Filed Schedule 2D'!B37:D37)</f>
        <v/>
      </c>
      <c r="C37" s="513"/>
      <c r="D37" s="513"/>
      <c r="F37" s="117">
        <f>'As-Filed Schedule 2D'!F37</f>
        <v>0</v>
      </c>
      <c r="G37" s="314">
        <f>SUMIFS(Adjustments!$G:$G,Adjustments!$H:$H,"2D",Adjustments!$I:$I,'Schedule 2D Adjustments'!$F$12,Adjustments!$J:$J,'Schedule 2D Adjustments'!$A37)</f>
        <v>0</v>
      </c>
      <c r="H37" s="310">
        <f t="shared" si="0"/>
        <v>0</v>
      </c>
      <c r="I37" s="68">
        <f>IFERROR(F37*'As-Filed Schedule 1'!$E$103,0)</f>
        <v>0</v>
      </c>
      <c r="J37" s="311">
        <f>IFERROR(H37*'Adjusted Schedule 1'!$E$104,0)</f>
        <v>0</v>
      </c>
      <c r="K37" s="68">
        <f t="shared" si="1"/>
        <v>0</v>
      </c>
      <c r="L37" s="311">
        <f t="shared" si="2"/>
        <v>0</v>
      </c>
      <c r="N37" s="117">
        <f>'As-Filed Schedule 2D'!J37</f>
        <v>0</v>
      </c>
      <c r="O37" s="314">
        <f>SUMIFS(Adjustments!$G:$G,Adjustments!$H:$H,"2D",Adjustments!$I:$I,'Schedule 2D Adjustments'!$N$12,Adjustments!$J:$J,'Schedule 2D Adjustments'!$A37)</f>
        <v>0</v>
      </c>
      <c r="P37" s="310">
        <f t="shared" si="3"/>
        <v>0</v>
      </c>
      <c r="Q37" s="68">
        <f>IFERROR(N37*'As-Filed Schedule 1'!$E$103,0)</f>
        <v>0</v>
      </c>
      <c r="R37" s="68">
        <f>IFERROR(P37*'Adjusted Schedule 1'!$E$104,0)</f>
        <v>0</v>
      </c>
      <c r="S37" s="68">
        <f t="shared" si="4"/>
        <v>0</v>
      </c>
      <c r="T37" s="311">
        <f t="shared" si="5"/>
        <v>0</v>
      </c>
      <c r="V37" s="120">
        <f>'As-Filed Schedule 2D'!N37</f>
        <v>0</v>
      </c>
      <c r="W37" s="314">
        <f>SUMIFS(Adjustments!$G:$G,Adjustments!$H:$H,"2D",Adjustments!$I:$I,'Schedule 2D Adjustments'!$V$12,Adjustments!$J:$J,'Schedule 2D Adjustments'!$A37)</f>
        <v>0</v>
      </c>
      <c r="X37" s="310">
        <f t="shared" si="6"/>
        <v>0</v>
      </c>
      <c r="Y37" s="120">
        <f>'As-Filed Schedule 2D'!O37</f>
        <v>0</v>
      </c>
      <c r="Z37" s="314">
        <f>SUMIFS(Adjustments!$G:$G,Adjustments!$H:$H,"2D",Adjustments!$I:$I,'Schedule 2D Adjustments'!$Y$12,Adjustments!$J:$J,'Schedule 2D Adjustments'!$A37)</f>
        <v>0</v>
      </c>
      <c r="AA37" s="310">
        <f t="shared" si="7"/>
        <v>0</v>
      </c>
    </row>
    <row r="38" spans="1:27" x14ac:dyDescent="0.35">
      <c r="A38" s="24">
        <v>24</v>
      </c>
      <c r="B38" s="513" t="str">
        <f>IF('As-Filed Schedule 2D'!B38:D38=0,"",'As-Filed Schedule 2D'!B38:D38)</f>
        <v/>
      </c>
      <c r="C38" s="513"/>
      <c r="D38" s="513"/>
      <c r="F38" s="117">
        <f>'As-Filed Schedule 2D'!F38</f>
        <v>0</v>
      </c>
      <c r="G38" s="314">
        <f>SUMIFS(Adjustments!$G:$G,Adjustments!$H:$H,"2D",Adjustments!$I:$I,'Schedule 2D Adjustments'!$F$12,Adjustments!$J:$J,'Schedule 2D Adjustments'!$A38)</f>
        <v>0</v>
      </c>
      <c r="H38" s="310">
        <f t="shared" si="0"/>
        <v>0</v>
      </c>
      <c r="I38" s="68">
        <f>IFERROR(F38*'As-Filed Schedule 1'!$E$103,0)</f>
        <v>0</v>
      </c>
      <c r="J38" s="311">
        <f>IFERROR(H38*'Adjusted Schedule 1'!$E$104,0)</f>
        <v>0</v>
      </c>
      <c r="K38" s="68">
        <f t="shared" si="1"/>
        <v>0</v>
      </c>
      <c r="L38" s="311">
        <f t="shared" si="2"/>
        <v>0</v>
      </c>
      <c r="N38" s="117">
        <f>'As-Filed Schedule 2D'!J38</f>
        <v>0</v>
      </c>
      <c r="O38" s="314">
        <f>SUMIFS(Adjustments!$G:$G,Adjustments!$H:$H,"2D",Adjustments!$I:$I,'Schedule 2D Adjustments'!$N$12,Adjustments!$J:$J,'Schedule 2D Adjustments'!$A38)</f>
        <v>0</v>
      </c>
      <c r="P38" s="310">
        <f t="shared" si="3"/>
        <v>0</v>
      </c>
      <c r="Q38" s="68">
        <f>IFERROR(N38*'As-Filed Schedule 1'!$E$103,0)</f>
        <v>0</v>
      </c>
      <c r="R38" s="68">
        <f>IFERROR(P38*'Adjusted Schedule 1'!$E$104,0)</f>
        <v>0</v>
      </c>
      <c r="S38" s="68">
        <f t="shared" si="4"/>
        <v>0</v>
      </c>
      <c r="T38" s="311">
        <f t="shared" si="5"/>
        <v>0</v>
      </c>
      <c r="V38" s="120">
        <f>'As-Filed Schedule 2D'!N38</f>
        <v>0</v>
      </c>
      <c r="W38" s="314">
        <f>SUMIFS(Adjustments!$G:$G,Adjustments!$H:$H,"2D",Adjustments!$I:$I,'Schedule 2D Adjustments'!$V$12,Adjustments!$J:$J,'Schedule 2D Adjustments'!$A38)</f>
        <v>0</v>
      </c>
      <c r="X38" s="310">
        <f t="shared" si="6"/>
        <v>0</v>
      </c>
      <c r="Y38" s="120">
        <f>'As-Filed Schedule 2D'!O38</f>
        <v>0</v>
      </c>
      <c r="Z38" s="314">
        <f>SUMIFS(Adjustments!$G:$G,Adjustments!$H:$H,"2D",Adjustments!$I:$I,'Schedule 2D Adjustments'!$Y$12,Adjustments!$J:$J,'Schedule 2D Adjustments'!$A38)</f>
        <v>0</v>
      </c>
      <c r="AA38" s="310">
        <f t="shared" si="7"/>
        <v>0</v>
      </c>
    </row>
    <row r="39" spans="1:27" x14ac:dyDescent="0.35">
      <c r="A39" s="24">
        <v>25</v>
      </c>
      <c r="B39" s="513" t="str">
        <f>IF('As-Filed Schedule 2D'!B39:D39=0,"",'As-Filed Schedule 2D'!B39:D39)</f>
        <v/>
      </c>
      <c r="C39" s="513"/>
      <c r="D39" s="513"/>
      <c r="F39" s="117">
        <f>'As-Filed Schedule 2D'!F39</f>
        <v>0</v>
      </c>
      <c r="G39" s="314">
        <f>SUMIFS(Adjustments!$G:$G,Adjustments!$H:$H,"2D",Adjustments!$I:$I,'Schedule 2D Adjustments'!$F$12,Adjustments!$J:$J,'Schedule 2D Adjustments'!$A39)</f>
        <v>0</v>
      </c>
      <c r="H39" s="310">
        <f t="shared" si="0"/>
        <v>0</v>
      </c>
      <c r="I39" s="68">
        <f>IFERROR(F39*'As-Filed Schedule 1'!$E$103,0)</f>
        <v>0</v>
      </c>
      <c r="J39" s="311">
        <f>IFERROR(H39*'Adjusted Schedule 1'!$E$104,0)</f>
        <v>0</v>
      </c>
      <c r="K39" s="68">
        <f t="shared" si="1"/>
        <v>0</v>
      </c>
      <c r="L39" s="311">
        <f t="shared" si="2"/>
        <v>0</v>
      </c>
      <c r="N39" s="117">
        <f>'As-Filed Schedule 2D'!J39</f>
        <v>0</v>
      </c>
      <c r="O39" s="314">
        <f>SUMIFS(Adjustments!$G:$G,Adjustments!$H:$H,"2D",Adjustments!$I:$I,'Schedule 2D Adjustments'!$N$12,Adjustments!$J:$J,'Schedule 2D Adjustments'!$A39)</f>
        <v>0</v>
      </c>
      <c r="P39" s="310">
        <f t="shared" si="3"/>
        <v>0</v>
      </c>
      <c r="Q39" s="68">
        <f>IFERROR(N39*'As-Filed Schedule 1'!$E$103,0)</f>
        <v>0</v>
      </c>
      <c r="R39" s="68">
        <f>IFERROR(P39*'Adjusted Schedule 1'!$E$104,0)</f>
        <v>0</v>
      </c>
      <c r="S39" s="68">
        <f t="shared" si="4"/>
        <v>0</v>
      </c>
      <c r="T39" s="311">
        <f t="shared" si="5"/>
        <v>0</v>
      </c>
      <c r="V39" s="120">
        <f>'As-Filed Schedule 2D'!N39</f>
        <v>0</v>
      </c>
      <c r="W39" s="314">
        <f>SUMIFS(Adjustments!$G:$G,Adjustments!$H:$H,"2D",Adjustments!$I:$I,'Schedule 2D Adjustments'!$V$12,Adjustments!$J:$J,'Schedule 2D Adjustments'!$A39)</f>
        <v>0</v>
      </c>
      <c r="X39" s="310">
        <f t="shared" si="6"/>
        <v>0</v>
      </c>
      <c r="Y39" s="120">
        <f>'As-Filed Schedule 2D'!O39</f>
        <v>0</v>
      </c>
      <c r="Z39" s="314">
        <f>SUMIFS(Adjustments!$G:$G,Adjustments!$H:$H,"2D",Adjustments!$I:$I,'Schedule 2D Adjustments'!$Y$12,Adjustments!$J:$J,'Schedule 2D Adjustments'!$A39)</f>
        <v>0</v>
      </c>
      <c r="AA39" s="310">
        <f t="shared" si="7"/>
        <v>0</v>
      </c>
    </row>
    <row r="40" spans="1:27" x14ac:dyDescent="0.35">
      <c r="A40" s="24">
        <v>26</v>
      </c>
      <c r="B40" s="513" t="str">
        <f>IF('As-Filed Schedule 2D'!B40:D40=0,"",'As-Filed Schedule 2D'!B40:D40)</f>
        <v/>
      </c>
      <c r="C40" s="513"/>
      <c r="D40" s="513"/>
      <c r="F40" s="117">
        <f>'As-Filed Schedule 2D'!F40</f>
        <v>0</v>
      </c>
      <c r="G40" s="314">
        <f>SUMIFS(Adjustments!$G:$G,Adjustments!$H:$H,"2D",Adjustments!$I:$I,'Schedule 2D Adjustments'!$F$12,Adjustments!$J:$J,'Schedule 2D Adjustments'!$A40)</f>
        <v>0</v>
      </c>
      <c r="H40" s="310">
        <f t="shared" si="0"/>
        <v>0</v>
      </c>
      <c r="I40" s="68">
        <f>IFERROR(F40*'As-Filed Schedule 1'!$E$103,0)</f>
        <v>0</v>
      </c>
      <c r="J40" s="311">
        <f>IFERROR(H40*'Adjusted Schedule 1'!$E$104,0)</f>
        <v>0</v>
      </c>
      <c r="K40" s="68">
        <f t="shared" si="1"/>
        <v>0</v>
      </c>
      <c r="L40" s="311">
        <f t="shared" si="2"/>
        <v>0</v>
      </c>
      <c r="N40" s="117">
        <f>'As-Filed Schedule 2D'!J40</f>
        <v>0</v>
      </c>
      <c r="O40" s="314">
        <f>SUMIFS(Adjustments!$G:$G,Adjustments!$H:$H,"2D",Adjustments!$I:$I,'Schedule 2D Adjustments'!$N$12,Adjustments!$J:$J,'Schedule 2D Adjustments'!$A40)</f>
        <v>0</v>
      </c>
      <c r="P40" s="310">
        <f t="shared" si="3"/>
        <v>0</v>
      </c>
      <c r="Q40" s="68">
        <f>IFERROR(N40*'As-Filed Schedule 1'!$E$103,0)</f>
        <v>0</v>
      </c>
      <c r="R40" s="68">
        <f>IFERROR(P40*'Adjusted Schedule 1'!$E$104,0)</f>
        <v>0</v>
      </c>
      <c r="S40" s="68">
        <f t="shared" si="4"/>
        <v>0</v>
      </c>
      <c r="T40" s="311">
        <f t="shared" si="5"/>
        <v>0</v>
      </c>
      <c r="V40" s="120">
        <f>'As-Filed Schedule 2D'!N40</f>
        <v>0</v>
      </c>
      <c r="W40" s="314">
        <f>SUMIFS(Adjustments!$G:$G,Adjustments!$H:$H,"2D",Adjustments!$I:$I,'Schedule 2D Adjustments'!$V$12,Adjustments!$J:$J,'Schedule 2D Adjustments'!$A40)</f>
        <v>0</v>
      </c>
      <c r="X40" s="310">
        <f t="shared" si="6"/>
        <v>0</v>
      </c>
      <c r="Y40" s="120">
        <f>'As-Filed Schedule 2D'!O40</f>
        <v>0</v>
      </c>
      <c r="Z40" s="314">
        <f>SUMIFS(Adjustments!$G:$G,Adjustments!$H:$H,"2D",Adjustments!$I:$I,'Schedule 2D Adjustments'!$Y$12,Adjustments!$J:$J,'Schedule 2D Adjustments'!$A40)</f>
        <v>0</v>
      </c>
      <c r="AA40" s="310">
        <f t="shared" si="7"/>
        <v>0</v>
      </c>
    </row>
    <row r="41" spans="1:27" x14ac:dyDescent="0.35">
      <c r="A41" s="24">
        <v>27</v>
      </c>
      <c r="B41" s="513" t="str">
        <f>IF('As-Filed Schedule 2D'!B41:D41=0,"",'As-Filed Schedule 2D'!B41:D41)</f>
        <v/>
      </c>
      <c r="C41" s="513"/>
      <c r="D41" s="513"/>
      <c r="F41" s="117">
        <f>'As-Filed Schedule 2D'!F41</f>
        <v>0</v>
      </c>
      <c r="G41" s="314">
        <f>SUMIFS(Adjustments!$G:$G,Adjustments!$H:$H,"2D",Adjustments!$I:$I,'Schedule 2D Adjustments'!$F$12,Adjustments!$J:$J,'Schedule 2D Adjustments'!$A41)</f>
        <v>0</v>
      </c>
      <c r="H41" s="310">
        <f t="shared" si="0"/>
        <v>0</v>
      </c>
      <c r="I41" s="68">
        <f>IFERROR(F41*'As-Filed Schedule 1'!$E$103,0)</f>
        <v>0</v>
      </c>
      <c r="J41" s="311">
        <f>IFERROR(H41*'Adjusted Schedule 1'!$E$104,0)</f>
        <v>0</v>
      </c>
      <c r="K41" s="68">
        <f t="shared" si="1"/>
        <v>0</v>
      </c>
      <c r="L41" s="311">
        <f t="shared" si="2"/>
        <v>0</v>
      </c>
      <c r="N41" s="117">
        <f>'As-Filed Schedule 2D'!J41</f>
        <v>0</v>
      </c>
      <c r="O41" s="314">
        <f>SUMIFS(Adjustments!$G:$G,Adjustments!$H:$H,"2D",Adjustments!$I:$I,'Schedule 2D Adjustments'!$N$12,Adjustments!$J:$J,'Schedule 2D Adjustments'!$A41)</f>
        <v>0</v>
      </c>
      <c r="P41" s="310">
        <f t="shared" si="3"/>
        <v>0</v>
      </c>
      <c r="Q41" s="68">
        <f>IFERROR(N41*'As-Filed Schedule 1'!$E$103,0)</f>
        <v>0</v>
      </c>
      <c r="R41" s="68">
        <f>IFERROR(P41*'Adjusted Schedule 1'!$E$104,0)</f>
        <v>0</v>
      </c>
      <c r="S41" s="68">
        <f t="shared" si="4"/>
        <v>0</v>
      </c>
      <c r="T41" s="311">
        <f t="shared" si="5"/>
        <v>0</v>
      </c>
      <c r="V41" s="120">
        <f>'As-Filed Schedule 2D'!N41</f>
        <v>0</v>
      </c>
      <c r="W41" s="314">
        <f>SUMIFS(Adjustments!$G:$G,Adjustments!$H:$H,"2D",Adjustments!$I:$I,'Schedule 2D Adjustments'!$V$12,Adjustments!$J:$J,'Schedule 2D Adjustments'!$A41)</f>
        <v>0</v>
      </c>
      <c r="X41" s="310">
        <f t="shared" si="6"/>
        <v>0</v>
      </c>
      <c r="Y41" s="120">
        <f>'As-Filed Schedule 2D'!O41</f>
        <v>0</v>
      </c>
      <c r="Z41" s="314">
        <f>SUMIFS(Adjustments!$G:$G,Adjustments!$H:$H,"2D",Adjustments!$I:$I,'Schedule 2D Adjustments'!$Y$12,Adjustments!$J:$J,'Schedule 2D Adjustments'!$A41)</f>
        <v>0</v>
      </c>
      <c r="AA41" s="310">
        <f t="shared" si="7"/>
        <v>0</v>
      </c>
    </row>
    <row r="42" spans="1:27" x14ac:dyDescent="0.35">
      <c r="A42" s="24">
        <v>28</v>
      </c>
      <c r="B42" s="513" t="str">
        <f>IF('As-Filed Schedule 2D'!B42:D42=0,"",'As-Filed Schedule 2D'!B42:D42)</f>
        <v/>
      </c>
      <c r="C42" s="513"/>
      <c r="D42" s="513"/>
      <c r="F42" s="117">
        <f>'As-Filed Schedule 2D'!F42</f>
        <v>0</v>
      </c>
      <c r="G42" s="314">
        <f>SUMIFS(Adjustments!$G:$G,Adjustments!$H:$H,"2D",Adjustments!$I:$I,'Schedule 2D Adjustments'!$F$12,Adjustments!$J:$J,'Schedule 2D Adjustments'!$A42)</f>
        <v>0</v>
      </c>
      <c r="H42" s="310">
        <f t="shared" si="0"/>
        <v>0</v>
      </c>
      <c r="I42" s="68">
        <f>IFERROR(F42*'As-Filed Schedule 1'!$E$103,0)</f>
        <v>0</v>
      </c>
      <c r="J42" s="311">
        <f>IFERROR(H42*'Adjusted Schedule 1'!$E$104,0)</f>
        <v>0</v>
      </c>
      <c r="K42" s="68">
        <f t="shared" si="1"/>
        <v>0</v>
      </c>
      <c r="L42" s="311">
        <f t="shared" si="2"/>
        <v>0</v>
      </c>
      <c r="N42" s="117">
        <f>'As-Filed Schedule 2D'!J42</f>
        <v>0</v>
      </c>
      <c r="O42" s="314">
        <f>SUMIFS(Adjustments!$G:$G,Adjustments!$H:$H,"2D",Adjustments!$I:$I,'Schedule 2D Adjustments'!$N$12,Adjustments!$J:$J,'Schedule 2D Adjustments'!$A42)</f>
        <v>0</v>
      </c>
      <c r="P42" s="310">
        <f t="shared" si="3"/>
        <v>0</v>
      </c>
      <c r="Q42" s="68">
        <f>IFERROR(N42*'As-Filed Schedule 1'!$E$103,0)</f>
        <v>0</v>
      </c>
      <c r="R42" s="68">
        <f>IFERROR(P42*'Adjusted Schedule 1'!$E$104,0)</f>
        <v>0</v>
      </c>
      <c r="S42" s="68">
        <f t="shared" si="4"/>
        <v>0</v>
      </c>
      <c r="T42" s="311">
        <f t="shared" si="5"/>
        <v>0</v>
      </c>
      <c r="V42" s="120">
        <f>'As-Filed Schedule 2D'!N42</f>
        <v>0</v>
      </c>
      <c r="W42" s="314">
        <f>SUMIFS(Adjustments!$G:$G,Adjustments!$H:$H,"2D",Adjustments!$I:$I,'Schedule 2D Adjustments'!$V$12,Adjustments!$J:$J,'Schedule 2D Adjustments'!$A42)</f>
        <v>0</v>
      </c>
      <c r="X42" s="310">
        <f t="shared" si="6"/>
        <v>0</v>
      </c>
      <c r="Y42" s="120">
        <f>'As-Filed Schedule 2D'!O42</f>
        <v>0</v>
      </c>
      <c r="Z42" s="314">
        <f>SUMIFS(Adjustments!$G:$G,Adjustments!$H:$H,"2D",Adjustments!$I:$I,'Schedule 2D Adjustments'!$Y$12,Adjustments!$J:$J,'Schedule 2D Adjustments'!$A42)</f>
        <v>0</v>
      </c>
      <c r="AA42" s="310">
        <f t="shared" si="7"/>
        <v>0</v>
      </c>
    </row>
    <row r="43" spans="1:27" x14ac:dyDescent="0.35">
      <c r="A43" s="24">
        <v>29</v>
      </c>
      <c r="B43" s="513" t="str">
        <f>IF('As-Filed Schedule 2D'!B43:D43=0,"",'As-Filed Schedule 2D'!B43:D43)</f>
        <v/>
      </c>
      <c r="C43" s="513"/>
      <c r="D43" s="513"/>
      <c r="F43" s="117">
        <f>'As-Filed Schedule 2D'!F43</f>
        <v>0</v>
      </c>
      <c r="G43" s="314">
        <f>SUMIFS(Adjustments!$G:$G,Adjustments!$H:$H,"2D",Adjustments!$I:$I,'Schedule 2D Adjustments'!$F$12,Adjustments!$J:$J,'Schedule 2D Adjustments'!$A43)</f>
        <v>0</v>
      </c>
      <c r="H43" s="310">
        <f t="shared" si="0"/>
        <v>0</v>
      </c>
      <c r="I43" s="68">
        <f>IFERROR(F43*'As-Filed Schedule 1'!$E$103,0)</f>
        <v>0</v>
      </c>
      <c r="J43" s="311">
        <f>IFERROR(H43*'Adjusted Schedule 1'!$E$104,0)</f>
        <v>0</v>
      </c>
      <c r="K43" s="68">
        <f t="shared" si="1"/>
        <v>0</v>
      </c>
      <c r="L43" s="311">
        <f t="shared" si="2"/>
        <v>0</v>
      </c>
      <c r="N43" s="117">
        <f>'As-Filed Schedule 2D'!J43</f>
        <v>0</v>
      </c>
      <c r="O43" s="314">
        <f>SUMIFS(Adjustments!$G:$G,Adjustments!$H:$H,"2D",Adjustments!$I:$I,'Schedule 2D Adjustments'!$N$12,Adjustments!$J:$J,'Schedule 2D Adjustments'!$A43)</f>
        <v>0</v>
      </c>
      <c r="P43" s="310">
        <f t="shared" si="3"/>
        <v>0</v>
      </c>
      <c r="Q43" s="68">
        <f>IFERROR(N43*'As-Filed Schedule 1'!$E$103,0)</f>
        <v>0</v>
      </c>
      <c r="R43" s="68">
        <f>IFERROR(P43*'Adjusted Schedule 1'!$E$104,0)</f>
        <v>0</v>
      </c>
      <c r="S43" s="68">
        <f t="shared" si="4"/>
        <v>0</v>
      </c>
      <c r="T43" s="311">
        <f t="shared" si="5"/>
        <v>0</v>
      </c>
      <c r="V43" s="120">
        <f>'As-Filed Schedule 2D'!N43</f>
        <v>0</v>
      </c>
      <c r="W43" s="314">
        <f>SUMIFS(Adjustments!$G:$G,Adjustments!$H:$H,"2D",Adjustments!$I:$I,'Schedule 2D Adjustments'!$V$12,Adjustments!$J:$J,'Schedule 2D Adjustments'!$A43)</f>
        <v>0</v>
      </c>
      <c r="X43" s="310">
        <f t="shared" si="6"/>
        <v>0</v>
      </c>
      <c r="Y43" s="120">
        <f>'As-Filed Schedule 2D'!O43</f>
        <v>0</v>
      </c>
      <c r="Z43" s="314">
        <f>SUMIFS(Adjustments!$G:$G,Adjustments!$H:$H,"2D",Adjustments!$I:$I,'Schedule 2D Adjustments'!$Y$12,Adjustments!$J:$J,'Schedule 2D Adjustments'!$A43)</f>
        <v>0</v>
      </c>
      <c r="AA43" s="310">
        <f t="shared" si="7"/>
        <v>0</v>
      </c>
    </row>
    <row r="44" spans="1:27" x14ac:dyDescent="0.35">
      <c r="A44" s="24">
        <v>30</v>
      </c>
      <c r="B44" s="513" t="str">
        <f>IF('As-Filed Schedule 2D'!B44:D44=0,"",'As-Filed Schedule 2D'!B44:D44)</f>
        <v/>
      </c>
      <c r="C44" s="513"/>
      <c r="D44" s="513"/>
      <c r="F44" s="117">
        <f>'As-Filed Schedule 2D'!F44</f>
        <v>0</v>
      </c>
      <c r="G44" s="314">
        <f>SUMIFS(Adjustments!$G:$G,Adjustments!$H:$H,"2D",Adjustments!$I:$I,'Schedule 2D Adjustments'!$F$12,Adjustments!$J:$J,'Schedule 2D Adjustments'!$A44)</f>
        <v>0</v>
      </c>
      <c r="H44" s="310">
        <f t="shared" si="0"/>
        <v>0</v>
      </c>
      <c r="I44" s="68">
        <f>IFERROR(F44*'As-Filed Schedule 1'!$E$103,0)</f>
        <v>0</v>
      </c>
      <c r="J44" s="311">
        <f>IFERROR(H44*'Adjusted Schedule 1'!$E$104,0)</f>
        <v>0</v>
      </c>
      <c r="K44" s="68">
        <f t="shared" si="1"/>
        <v>0</v>
      </c>
      <c r="L44" s="311">
        <f t="shared" si="2"/>
        <v>0</v>
      </c>
      <c r="N44" s="117">
        <f>'As-Filed Schedule 2D'!J44</f>
        <v>0</v>
      </c>
      <c r="O44" s="314">
        <f>SUMIFS(Adjustments!$G:$G,Adjustments!$H:$H,"2D",Adjustments!$I:$I,'Schedule 2D Adjustments'!$N$12,Adjustments!$J:$J,'Schedule 2D Adjustments'!$A44)</f>
        <v>0</v>
      </c>
      <c r="P44" s="310">
        <f t="shared" si="3"/>
        <v>0</v>
      </c>
      <c r="Q44" s="68">
        <f>IFERROR(N44*'As-Filed Schedule 1'!$E$103,0)</f>
        <v>0</v>
      </c>
      <c r="R44" s="68">
        <f>IFERROR(P44*'Adjusted Schedule 1'!$E$104,0)</f>
        <v>0</v>
      </c>
      <c r="S44" s="68">
        <f t="shared" si="4"/>
        <v>0</v>
      </c>
      <c r="T44" s="311">
        <f t="shared" si="5"/>
        <v>0</v>
      </c>
      <c r="V44" s="120">
        <f>'As-Filed Schedule 2D'!N44</f>
        <v>0</v>
      </c>
      <c r="W44" s="314">
        <f>SUMIFS(Adjustments!$G:$G,Adjustments!$H:$H,"2D",Adjustments!$I:$I,'Schedule 2D Adjustments'!$V$12,Adjustments!$J:$J,'Schedule 2D Adjustments'!$A44)</f>
        <v>0</v>
      </c>
      <c r="X44" s="310">
        <f t="shared" si="6"/>
        <v>0</v>
      </c>
      <c r="Y44" s="120">
        <f>'As-Filed Schedule 2D'!O44</f>
        <v>0</v>
      </c>
      <c r="Z44" s="314">
        <f>SUMIFS(Adjustments!$G:$G,Adjustments!$H:$H,"2D",Adjustments!$I:$I,'Schedule 2D Adjustments'!$Y$12,Adjustments!$J:$J,'Schedule 2D Adjustments'!$A44)</f>
        <v>0</v>
      </c>
      <c r="AA44" s="310">
        <f t="shared" si="7"/>
        <v>0</v>
      </c>
    </row>
    <row r="45" spans="1:27" x14ac:dyDescent="0.35">
      <c r="A45" s="24">
        <v>31</v>
      </c>
      <c r="B45" s="513" t="str">
        <f>IF('As-Filed Schedule 2D'!B45:D45=0,"",'As-Filed Schedule 2D'!B45:D45)</f>
        <v/>
      </c>
      <c r="C45" s="513"/>
      <c r="D45" s="513"/>
      <c r="F45" s="117">
        <f>'As-Filed Schedule 2D'!F45</f>
        <v>0</v>
      </c>
      <c r="G45" s="314">
        <f>SUMIFS(Adjustments!$G:$G,Adjustments!$H:$H,"2D",Adjustments!$I:$I,'Schedule 2D Adjustments'!$F$12,Adjustments!$J:$J,'Schedule 2D Adjustments'!$A45)</f>
        <v>0</v>
      </c>
      <c r="H45" s="310">
        <f t="shared" si="0"/>
        <v>0</v>
      </c>
      <c r="I45" s="68">
        <f>IFERROR(F45*'As-Filed Schedule 1'!$E$103,0)</f>
        <v>0</v>
      </c>
      <c r="J45" s="311">
        <f>IFERROR(H45*'Adjusted Schedule 1'!$E$104,0)</f>
        <v>0</v>
      </c>
      <c r="K45" s="68">
        <f t="shared" si="1"/>
        <v>0</v>
      </c>
      <c r="L45" s="311">
        <f t="shared" si="2"/>
        <v>0</v>
      </c>
      <c r="N45" s="117">
        <f>'As-Filed Schedule 2D'!J45</f>
        <v>0</v>
      </c>
      <c r="O45" s="314">
        <f>SUMIFS(Adjustments!$G:$G,Adjustments!$H:$H,"2D",Adjustments!$I:$I,'Schedule 2D Adjustments'!$N$12,Adjustments!$J:$J,'Schedule 2D Adjustments'!$A45)</f>
        <v>0</v>
      </c>
      <c r="P45" s="310">
        <f t="shared" si="3"/>
        <v>0</v>
      </c>
      <c r="Q45" s="68">
        <f>IFERROR(N45*'As-Filed Schedule 1'!$E$103,0)</f>
        <v>0</v>
      </c>
      <c r="R45" s="68">
        <f>IFERROR(P45*'Adjusted Schedule 1'!$E$104,0)</f>
        <v>0</v>
      </c>
      <c r="S45" s="68">
        <f t="shared" si="4"/>
        <v>0</v>
      </c>
      <c r="T45" s="311">
        <f t="shared" si="5"/>
        <v>0</v>
      </c>
      <c r="V45" s="120">
        <f>'As-Filed Schedule 2D'!N45</f>
        <v>0</v>
      </c>
      <c r="W45" s="314">
        <f>SUMIFS(Adjustments!$G:$G,Adjustments!$H:$H,"2D",Adjustments!$I:$I,'Schedule 2D Adjustments'!$V$12,Adjustments!$J:$J,'Schedule 2D Adjustments'!$A45)</f>
        <v>0</v>
      </c>
      <c r="X45" s="310">
        <f t="shared" si="6"/>
        <v>0</v>
      </c>
      <c r="Y45" s="120">
        <f>'As-Filed Schedule 2D'!O45</f>
        <v>0</v>
      </c>
      <c r="Z45" s="314">
        <f>SUMIFS(Adjustments!$G:$G,Adjustments!$H:$H,"2D",Adjustments!$I:$I,'Schedule 2D Adjustments'!$Y$12,Adjustments!$J:$J,'Schedule 2D Adjustments'!$A45)</f>
        <v>0</v>
      </c>
      <c r="AA45" s="310">
        <f t="shared" si="7"/>
        <v>0</v>
      </c>
    </row>
    <row r="46" spans="1:27" x14ac:dyDescent="0.35">
      <c r="A46" s="24">
        <v>32</v>
      </c>
      <c r="B46" s="513" t="str">
        <f>IF('As-Filed Schedule 2D'!B46:D46=0,"",'As-Filed Schedule 2D'!B46:D46)</f>
        <v/>
      </c>
      <c r="C46" s="513"/>
      <c r="D46" s="513"/>
      <c r="F46" s="117">
        <f>'As-Filed Schedule 2D'!F46</f>
        <v>0</v>
      </c>
      <c r="G46" s="314">
        <f>SUMIFS(Adjustments!$G:$G,Adjustments!$H:$H,"2D",Adjustments!$I:$I,'Schedule 2D Adjustments'!$F$12,Adjustments!$J:$J,'Schedule 2D Adjustments'!$A46)</f>
        <v>0</v>
      </c>
      <c r="H46" s="310">
        <f t="shared" si="0"/>
        <v>0</v>
      </c>
      <c r="I46" s="68">
        <f>IFERROR(F46*'As-Filed Schedule 1'!$E$103,0)</f>
        <v>0</v>
      </c>
      <c r="J46" s="311">
        <f>IFERROR(H46*'Adjusted Schedule 1'!$E$104,0)</f>
        <v>0</v>
      </c>
      <c r="K46" s="68">
        <f t="shared" si="1"/>
        <v>0</v>
      </c>
      <c r="L46" s="311">
        <f t="shared" si="2"/>
        <v>0</v>
      </c>
      <c r="N46" s="117">
        <f>'As-Filed Schedule 2D'!J46</f>
        <v>0</v>
      </c>
      <c r="O46" s="314">
        <f>SUMIFS(Adjustments!$G:$G,Adjustments!$H:$H,"2D",Adjustments!$I:$I,'Schedule 2D Adjustments'!$N$12,Adjustments!$J:$J,'Schedule 2D Adjustments'!$A46)</f>
        <v>0</v>
      </c>
      <c r="P46" s="310">
        <f t="shared" si="3"/>
        <v>0</v>
      </c>
      <c r="Q46" s="68">
        <f>IFERROR(N46*'As-Filed Schedule 1'!$E$103,0)</f>
        <v>0</v>
      </c>
      <c r="R46" s="68">
        <f>IFERROR(P46*'Adjusted Schedule 1'!$E$104,0)</f>
        <v>0</v>
      </c>
      <c r="S46" s="68">
        <f t="shared" si="4"/>
        <v>0</v>
      </c>
      <c r="T46" s="311">
        <f t="shared" si="5"/>
        <v>0</v>
      </c>
      <c r="V46" s="120">
        <f>'As-Filed Schedule 2D'!N46</f>
        <v>0</v>
      </c>
      <c r="W46" s="314">
        <f>SUMIFS(Adjustments!$G:$G,Adjustments!$H:$H,"2D",Adjustments!$I:$I,'Schedule 2D Adjustments'!$V$12,Adjustments!$J:$J,'Schedule 2D Adjustments'!$A46)</f>
        <v>0</v>
      </c>
      <c r="X46" s="310">
        <f t="shared" si="6"/>
        <v>0</v>
      </c>
      <c r="Y46" s="120">
        <f>'As-Filed Schedule 2D'!O46</f>
        <v>0</v>
      </c>
      <c r="Z46" s="314">
        <f>SUMIFS(Adjustments!$G:$G,Adjustments!$H:$H,"2D",Adjustments!$I:$I,'Schedule 2D Adjustments'!$Y$12,Adjustments!$J:$J,'Schedule 2D Adjustments'!$A46)</f>
        <v>0</v>
      </c>
      <c r="AA46" s="310">
        <f t="shared" si="7"/>
        <v>0</v>
      </c>
    </row>
    <row r="47" spans="1:27" x14ac:dyDescent="0.35">
      <c r="A47" s="24">
        <v>33</v>
      </c>
      <c r="B47" s="513" t="str">
        <f>IF('As-Filed Schedule 2D'!B47:D47=0,"",'As-Filed Schedule 2D'!B47:D47)</f>
        <v/>
      </c>
      <c r="C47" s="513"/>
      <c r="D47" s="513"/>
      <c r="F47" s="117">
        <f>'As-Filed Schedule 2D'!F47</f>
        <v>0</v>
      </c>
      <c r="G47" s="314">
        <f>SUMIFS(Adjustments!$G:$G,Adjustments!$H:$H,"2D",Adjustments!$I:$I,'Schedule 2D Adjustments'!$F$12,Adjustments!$J:$J,'Schedule 2D Adjustments'!$A47)</f>
        <v>0</v>
      </c>
      <c r="H47" s="310">
        <f t="shared" si="0"/>
        <v>0</v>
      </c>
      <c r="I47" s="68">
        <f>IFERROR(F47*'As-Filed Schedule 1'!$E$103,0)</f>
        <v>0</v>
      </c>
      <c r="J47" s="311">
        <f>IFERROR(H47*'Adjusted Schedule 1'!$E$104,0)</f>
        <v>0</v>
      </c>
      <c r="K47" s="68">
        <f t="shared" si="1"/>
        <v>0</v>
      </c>
      <c r="L47" s="311">
        <f t="shared" si="2"/>
        <v>0</v>
      </c>
      <c r="N47" s="117">
        <f>'As-Filed Schedule 2D'!J47</f>
        <v>0</v>
      </c>
      <c r="O47" s="314">
        <f>SUMIFS(Adjustments!$G:$G,Adjustments!$H:$H,"2D",Adjustments!$I:$I,'Schedule 2D Adjustments'!$N$12,Adjustments!$J:$J,'Schedule 2D Adjustments'!$A47)</f>
        <v>0</v>
      </c>
      <c r="P47" s="310">
        <f t="shared" si="3"/>
        <v>0</v>
      </c>
      <c r="Q47" s="68">
        <f>IFERROR(N47*'As-Filed Schedule 1'!$E$103,0)</f>
        <v>0</v>
      </c>
      <c r="R47" s="68">
        <f>IFERROR(P47*'Adjusted Schedule 1'!$E$104,0)</f>
        <v>0</v>
      </c>
      <c r="S47" s="68">
        <f t="shared" si="4"/>
        <v>0</v>
      </c>
      <c r="T47" s="311">
        <f t="shared" si="5"/>
        <v>0</v>
      </c>
      <c r="V47" s="120">
        <f>'As-Filed Schedule 2D'!N47</f>
        <v>0</v>
      </c>
      <c r="W47" s="314">
        <f>SUMIFS(Adjustments!$G:$G,Adjustments!$H:$H,"2D",Adjustments!$I:$I,'Schedule 2D Adjustments'!$V$12,Adjustments!$J:$J,'Schedule 2D Adjustments'!$A47)</f>
        <v>0</v>
      </c>
      <c r="X47" s="310">
        <f t="shared" si="6"/>
        <v>0</v>
      </c>
      <c r="Y47" s="120">
        <f>'As-Filed Schedule 2D'!O47</f>
        <v>0</v>
      </c>
      <c r="Z47" s="314">
        <f>SUMIFS(Adjustments!$G:$G,Adjustments!$H:$H,"2D",Adjustments!$I:$I,'Schedule 2D Adjustments'!$Y$12,Adjustments!$J:$J,'Schedule 2D Adjustments'!$A47)</f>
        <v>0</v>
      </c>
      <c r="AA47" s="310">
        <f t="shared" si="7"/>
        <v>0</v>
      </c>
    </row>
    <row r="48" spans="1:27" x14ac:dyDescent="0.35">
      <c r="A48" s="24">
        <v>34</v>
      </c>
      <c r="B48" s="513" t="str">
        <f>IF('As-Filed Schedule 2D'!B48:D48=0,"",'As-Filed Schedule 2D'!B48:D48)</f>
        <v/>
      </c>
      <c r="C48" s="513"/>
      <c r="D48" s="513"/>
      <c r="F48" s="117">
        <f>'As-Filed Schedule 2D'!F48</f>
        <v>0</v>
      </c>
      <c r="G48" s="314">
        <f>SUMIFS(Adjustments!$G:$G,Adjustments!$H:$H,"2D",Adjustments!$I:$I,'Schedule 2D Adjustments'!$F$12,Adjustments!$J:$J,'Schedule 2D Adjustments'!$A48)</f>
        <v>0</v>
      </c>
      <c r="H48" s="310">
        <f t="shared" si="0"/>
        <v>0</v>
      </c>
      <c r="I48" s="68">
        <f>IFERROR(F48*'As-Filed Schedule 1'!$E$103,0)</f>
        <v>0</v>
      </c>
      <c r="J48" s="311">
        <f>IFERROR(H48*'Adjusted Schedule 1'!$E$104,0)</f>
        <v>0</v>
      </c>
      <c r="K48" s="68">
        <f t="shared" si="1"/>
        <v>0</v>
      </c>
      <c r="L48" s="311">
        <f t="shared" si="2"/>
        <v>0</v>
      </c>
      <c r="N48" s="117">
        <f>'As-Filed Schedule 2D'!J48</f>
        <v>0</v>
      </c>
      <c r="O48" s="314">
        <f>SUMIFS(Adjustments!$G:$G,Adjustments!$H:$H,"2D",Adjustments!$I:$I,'Schedule 2D Adjustments'!$N$12,Adjustments!$J:$J,'Schedule 2D Adjustments'!$A48)</f>
        <v>0</v>
      </c>
      <c r="P48" s="310">
        <f t="shared" si="3"/>
        <v>0</v>
      </c>
      <c r="Q48" s="68">
        <f>IFERROR(N48*'As-Filed Schedule 1'!$E$103,0)</f>
        <v>0</v>
      </c>
      <c r="R48" s="68">
        <f>IFERROR(P48*'Adjusted Schedule 1'!$E$104,0)</f>
        <v>0</v>
      </c>
      <c r="S48" s="68">
        <f t="shared" si="4"/>
        <v>0</v>
      </c>
      <c r="T48" s="311">
        <f t="shared" si="5"/>
        <v>0</v>
      </c>
      <c r="V48" s="120">
        <f>'As-Filed Schedule 2D'!N48</f>
        <v>0</v>
      </c>
      <c r="W48" s="314">
        <f>SUMIFS(Adjustments!$G:$G,Adjustments!$H:$H,"2D",Adjustments!$I:$I,'Schedule 2D Adjustments'!$V$12,Adjustments!$J:$J,'Schedule 2D Adjustments'!$A48)</f>
        <v>0</v>
      </c>
      <c r="X48" s="310">
        <f t="shared" si="6"/>
        <v>0</v>
      </c>
      <c r="Y48" s="120">
        <f>'As-Filed Schedule 2D'!O48</f>
        <v>0</v>
      </c>
      <c r="Z48" s="314">
        <f>SUMIFS(Adjustments!$G:$G,Adjustments!$H:$H,"2D",Adjustments!$I:$I,'Schedule 2D Adjustments'!$Y$12,Adjustments!$J:$J,'Schedule 2D Adjustments'!$A48)</f>
        <v>0</v>
      </c>
      <c r="AA48" s="310">
        <f t="shared" si="7"/>
        <v>0</v>
      </c>
    </row>
    <row r="49" spans="1:27" x14ac:dyDescent="0.35">
      <c r="A49" s="24">
        <v>35</v>
      </c>
      <c r="B49" s="513" t="str">
        <f>IF('As-Filed Schedule 2D'!B49:D49=0,"",'As-Filed Schedule 2D'!B49:D49)</f>
        <v/>
      </c>
      <c r="C49" s="513"/>
      <c r="D49" s="513"/>
      <c r="F49" s="117">
        <f>'As-Filed Schedule 2D'!F49</f>
        <v>0</v>
      </c>
      <c r="G49" s="314">
        <f>SUMIFS(Adjustments!$G:$G,Adjustments!$H:$H,"2D",Adjustments!$I:$I,'Schedule 2D Adjustments'!$F$12,Adjustments!$J:$J,'Schedule 2D Adjustments'!$A49)</f>
        <v>0</v>
      </c>
      <c r="H49" s="310">
        <f t="shared" si="0"/>
        <v>0</v>
      </c>
      <c r="I49" s="68">
        <f>IFERROR(F49*'As-Filed Schedule 1'!$E$103,0)</f>
        <v>0</v>
      </c>
      <c r="J49" s="311">
        <f>IFERROR(H49*'Adjusted Schedule 1'!$E$104,0)</f>
        <v>0</v>
      </c>
      <c r="K49" s="68">
        <f t="shared" si="1"/>
        <v>0</v>
      </c>
      <c r="L49" s="311">
        <f t="shared" si="2"/>
        <v>0</v>
      </c>
      <c r="N49" s="117">
        <f>'As-Filed Schedule 2D'!J49</f>
        <v>0</v>
      </c>
      <c r="O49" s="314">
        <f>SUMIFS(Adjustments!$G:$G,Adjustments!$H:$H,"2D",Adjustments!$I:$I,'Schedule 2D Adjustments'!$N$12,Adjustments!$J:$J,'Schedule 2D Adjustments'!$A49)</f>
        <v>0</v>
      </c>
      <c r="P49" s="310">
        <f t="shared" si="3"/>
        <v>0</v>
      </c>
      <c r="Q49" s="68">
        <f>IFERROR(N49*'As-Filed Schedule 1'!$E$103,0)</f>
        <v>0</v>
      </c>
      <c r="R49" s="68">
        <f>IFERROR(P49*'Adjusted Schedule 1'!$E$104,0)</f>
        <v>0</v>
      </c>
      <c r="S49" s="68">
        <f t="shared" si="4"/>
        <v>0</v>
      </c>
      <c r="T49" s="311">
        <f t="shared" si="5"/>
        <v>0</v>
      </c>
      <c r="V49" s="120">
        <f>'As-Filed Schedule 2D'!N49</f>
        <v>0</v>
      </c>
      <c r="W49" s="314">
        <f>SUMIFS(Adjustments!$G:$G,Adjustments!$H:$H,"2D",Adjustments!$I:$I,'Schedule 2D Adjustments'!$V$12,Adjustments!$J:$J,'Schedule 2D Adjustments'!$A49)</f>
        <v>0</v>
      </c>
      <c r="X49" s="310">
        <f t="shared" si="6"/>
        <v>0</v>
      </c>
      <c r="Y49" s="120">
        <f>'As-Filed Schedule 2D'!O49</f>
        <v>0</v>
      </c>
      <c r="Z49" s="314">
        <f>SUMIFS(Adjustments!$G:$G,Adjustments!$H:$H,"2D",Adjustments!$I:$I,'Schedule 2D Adjustments'!$Y$12,Adjustments!$J:$J,'Schedule 2D Adjustments'!$A49)</f>
        <v>0</v>
      </c>
      <c r="AA49" s="310">
        <f t="shared" si="7"/>
        <v>0</v>
      </c>
    </row>
    <row r="50" spans="1:27" x14ac:dyDescent="0.35">
      <c r="A50" s="24">
        <v>36</v>
      </c>
      <c r="B50" s="513" t="str">
        <f>IF('As-Filed Schedule 2D'!B50:D50=0,"",'As-Filed Schedule 2D'!B50:D50)</f>
        <v/>
      </c>
      <c r="C50" s="513"/>
      <c r="D50" s="513"/>
      <c r="F50" s="117">
        <f>'As-Filed Schedule 2D'!F50</f>
        <v>0</v>
      </c>
      <c r="G50" s="314">
        <f>SUMIFS(Adjustments!$G:$G,Adjustments!$H:$H,"2D",Adjustments!$I:$I,'Schedule 2D Adjustments'!$F$12,Adjustments!$J:$J,'Schedule 2D Adjustments'!$A50)</f>
        <v>0</v>
      </c>
      <c r="H50" s="310">
        <f t="shared" si="0"/>
        <v>0</v>
      </c>
      <c r="I50" s="68">
        <f>IFERROR(F50*'As-Filed Schedule 1'!$E$103,0)</f>
        <v>0</v>
      </c>
      <c r="J50" s="311">
        <f>IFERROR(H50*'Adjusted Schedule 1'!$E$104,0)</f>
        <v>0</v>
      </c>
      <c r="K50" s="68">
        <f t="shared" si="1"/>
        <v>0</v>
      </c>
      <c r="L50" s="311">
        <f t="shared" si="2"/>
        <v>0</v>
      </c>
      <c r="N50" s="117">
        <f>'As-Filed Schedule 2D'!J50</f>
        <v>0</v>
      </c>
      <c r="O50" s="314">
        <f>SUMIFS(Adjustments!$G:$G,Adjustments!$H:$H,"2D",Adjustments!$I:$I,'Schedule 2D Adjustments'!$N$12,Adjustments!$J:$J,'Schedule 2D Adjustments'!$A50)</f>
        <v>0</v>
      </c>
      <c r="P50" s="310">
        <f t="shared" si="3"/>
        <v>0</v>
      </c>
      <c r="Q50" s="68">
        <f>IFERROR(N50*'As-Filed Schedule 1'!$E$103,0)</f>
        <v>0</v>
      </c>
      <c r="R50" s="68">
        <f>IFERROR(P50*'Adjusted Schedule 1'!$E$104,0)</f>
        <v>0</v>
      </c>
      <c r="S50" s="68">
        <f t="shared" si="4"/>
        <v>0</v>
      </c>
      <c r="T50" s="311">
        <f t="shared" si="5"/>
        <v>0</v>
      </c>
      <c r="V50" s="120">
        <f>'As-Filed Schedule 2D'!N50</f>
        <v>0</v>
      </c>
      <c r="W50" s="314">
        <f>SUMIFS(Adjustments!$G:$G,Adjustments!$H:$H,"2D",Adjustments!$I:$I,'Schedule 2D Adjustments'!$V$12,Adjustments!$J:$J,'Schedule 2D Adjustments'!$A50)</f>
        <v>0</v>
      </c>
      <c r="X50" s="310">
        <f t="shared" si="6"/>
        <v>0</v>
      </c>
      <c r="Y50" s="120">
        <f>'As-Filed Schedule 2D'!O50</f>
        <v>0</v>
      </c>
      <c r="Z50" s="314">
        <f>SUMIFS(Adjustments!$G:$G,Adjustments!$H:$H,"2D",Adjustments!$I:$I,'Schedule 2D Adjustments'!$Y$12,Adjustments!$J:$J,'Schedule 2D Adjustments'!$A50)</f>
        <v>0</v>
      </c>
      <c r="AA50" s="310">
        <f t="shared" si="7"/>
        <v>0</v>
      </c>
    </row>
    <row r="51" spans="1:27" x14ac:dyDescent="0.35">
      <c r="A51" s="24">
        <v>37</v>
      </c>
      <c r="B51" s="513" t="str">
        <f>IF('As-Filed Schedule 2D'!B51:D51=0,"",'As-Filed Schedule 2D'!B51:D51)</f>
        <v/>
      </c>
      <c r="C51" s="513"/>
      <c r="D51" s="513"/>
      <c r="F51" s="117">
        <f>'As-Filed Schedule 2D'!F51</f>
        <v>0</v>
      </c>
      <c r="G51" s="314">
        <f>SUMIFS(Adjustments!$G:$G,Adjustments!$H:$H,"2D",Adjustments!$I:$I,'Schedule 2D Adjustments'!$F$12,Adjustments!$J:$J,'Schedule 2D Adjustments'!$A51)</f>
        <v>0</v>
      </c>
      <c r="H51" s="310">
        <f t="shared" si="0"/>
        <v>0</v>
      </c>
      <c r="I51" s="68">
        <f>IFERROR(F51*'As-Filed Schedule 1'!$E$103,0)</f>
        <v>0</v>
      </c>
      <c r="J51" s="311">
        <f>IFERROR(H51*'Adjusted Schedule 1'!$E$104,0)</f>
        <v>0</v>
      </c>
      <c r="K51" s="68">
        <f t="shared" si="1"/>
        <v>0</v>
      </c>
      <c r="L51" s="311">
        <f t="shared" si="2"/>
        <v>0</v>
      </c>
      <c r="N51" s="117">
        <f>'As-Filed Schedule 2D'!J51</f>
        <v>0</v>
      </c>
      <c r="O51" s="314">
        <f>SUMIFS(Adjustments!$G:$G,Adjustments!$H:$H,"2D",Adjustments!$I:$I,'Schedule 2D Adjustments'!$N$12,Adjustments!$J:$J,'Schedule 2D Adjustments'!$A51)</f>
        <v>0</v>
      </c>
      <c r="P51" s="310">
        <f t="shared" si="3"/>
        <v>0</v>
      </c>
      <c r="Q51" s="68">
        <f>IFERROR(N51*'As-Filed Schedule 1'!$E$103,0)</f>
        <v>0</v>
      </c>
      <c r="R51" s="68">
        <f>IFERROR(P51*'Adjusted Schedule 1'!$E$104,0)</f>
        <v>0</v>
      </c>
      <c r="S51" s="68">
        <f t="shared" si="4"/>
        <v>0</v>
      </c>
      <c r="T51" s="311">
        <f t="shared" si="5"/>
        <v>0</v>
      </c>
      <c r="V51" s="120">
        <f>'As-Filed Schedule 2D'!N51</f>
        <v>0</v>
      </c>
      <c r="W51" s="314">
        <f>SUMIFS(Adjustments!$G:$G,Adjustments!$H:$H,"2D",Adjustments!$I:$I,'Schedule 2D Adjustments'!$V$12,Adjustments!$J:$J,'Schedule 2D Adjustments'!$A51)</f>
        <v>0</v>
      </c>
      <c r="X51" s="310">
        <f t="shared" si="6"/>
        <v>0</v>
      </c>
      <c r="Y51" s="120">
        <f>'As-Filed Schedule 2D'!O51</f>
        <v>0</v>
      </c>
      <c r="Z51" s="314">
        <f>SUMIFS(Adjustments!$G:$G,Adjustments!$H:$H,"2D",Adjustments!$I:$I,'Schedule 2D Adjustments'!$Y$12,Adjustments!$J:$J,'Schedule 2D Adjustments'!$A51)</f>
        <v>0</v>
      </c>
      <c r="AA51" s="310">
        <f t="shared" si="7"/>
        <v>0</v>
      </c>
    </row>
    <row r="52" spans="1:27" x14ac:dyDescent="0.35">
      <c r="A52" s="24">
        <v>38</v>
      </c>
      <c r="B52" s="513" t="str">
        <f>IF('As-Filed Schedule 2D'!B52:D52=0,"",'As-Filed Schedule 2D'!B52:D52)</f>
        <v/>
      </c>
      <c r="C52" s="513"/>
      <c r="D52" s="513"/>
      <c r="F52" s="117">
        <f>'As-Filed Schedule 2D'!F52</f>
        <v>0</v>
      </c>
      <c r="G52" s="314">
        <f>SUMIFS(Adjustments!$G:$G,Adjustments!$H:$H,"2D",Adjustments!$I:$I,'Schedule 2D Adjustments'!$F$12,Adjustments!$J:$J,'Schedule 2D Adjustments'!$A52)</f>
        <v>0</v>
      </c>
      <c r="H52" s="310">
        <f t="shared" si="0"/>
        <v>0</v>
      </c>
      <c r="I52" s="68">
        <f>IFERROR(F52*'As-Filed Schedule 1'!$E$103,0)</f>
        <v>0</v>
      </c>
      <c r="J52" s="311">
        <f>IFERROR(H52*'Adjusted Schedule 1'!$E$104,0)</f>
        <v>0</v>
      </c>
      <c r="K52" s="68">
        <f t="shared" si="1"/>
        <v>0</v>
      </c>
      <c r="L52" s="311">
        <f t="shared" si="2"/>
        <v>0</v>
      </c>
      <c r="N52" s="117">
        <f>'As-Filed Schedule 2D'!J52</f>
        <v>0</v>
      </c>
      <c r="O52" s="314">
        <f>SUMIFS(Adjustments!$G:$G,Adjustments!$H:$H,"2D",Adjustments!$I:$I,'Schedule 2D Adjustments'!$N$12,Adjustments!$J:$J,'Schedule 2D Adjustments'!$A52)</f>
        <v>0</v>
      </c>
      <c r="P52" s="310">
        <f t="shared" si="3"/>
        <v>0</v>
      </c>
      <c r="Q52" s="68">
        <f>IFERROR(N52*'As-Filed Schedule 1'!$E$103,0)</f>
        <v>0</v>
      </c>
      <c r="R52" s="68">
        <f>IFERROR(P52*'Adjusted Schedule 1'!$E$104,0)</f>
        <v>0</v>
      </c>
      <c r="S52" s="68">
        <f t="shared" si="4"/>
        <v>0</v>
      </c>
      <c r="T52" s="311">
        <f t="shared" si="5"/>
        <v>0</v>
      </c>
      <c r="V52" s="120">
        <f>'As-Filed Schedule 2D'!N52</f>
        <v>0</v>
      </c>
      <c r="W52" s="314">
        <f>SUMIFS(Adjustments!$G:$G,Adjustments!$H:$H,"2D",Adjustments!$I:$I,'Schedule 2D Adjustments'!$V$12,Adjustments!$J:$J,'Schedule 2D Adjustments'!$A52)</f>
        <v>0</v>
      </c>
      <c r="X52" s="310">
        <f t="shared" si="6"/>
        <v>0</v>
      </c>
      <c r="Y52" s="120">
        <f>'As-Filed Schedule 2D'!O52</f>
        <v>0</v>
      </c>
      <c r="Z52" s="314">
        <f>SUMIFS(Adjustments!$G:$G,Adjustments!$H:$H,"2D",Adjustments!$I:$I,'Schedule 2D Adjustments'!$Y$12,Adjustments!$J:$J,'Schedule 2D Adjustments'!$A52)</f>
        <v>0</v>
      </c>
      <c r="AA52" s="310">
        <f t="shared" si="7"/>
        <v>0</v>
      </c>
    </row>
    <row r="53" spans="1:27" x14ac:dyDescent="0.35">
      <c r="A53" s="24">
        <v>39</v>
      </c>
      <c r="B53" s="513" t="str">
        <f>IF('As-Filed Schedule 2D'!B53:D53=0,"",'As-Filed Schedule 2D'!B53:D53)</f>
        <v/>
      </c>
      <c r="C53" s="513"/>
      <c r="D53" s="513"/>
      <c r="F53" s="117">
        <f>'As-Filed Schedule 2D'!F53</f>
        <v>0</v>
      </c>
      <c r="G53" s="314">
        <f>SUMIFS(Adjustments!$G:$G,Adjustments!$H:$H,"2D",Adjustments!$I:$I,'Schedule 2D Adjustments'!$F$12,Adjustments!$J:$J,'Schedule 2D Adjustments'!$A53)</f>
        <v>0</v>
      </c>
      <c r="H53" s="310">
        <f t="shared" si="0"/>
        <v>0</v>
      </c>
      <c r="I53" s="68">
        <f>IFERROR(F53*'As-Filed Schedule 1'!$E$103,0)</f>
        <v>0</v>
      </c>
      <c r="J53" s="311">
        <f>IFERROR(H53*'Adjusted Schedule 1'!$E$104,0)</f>
        <v>0</v>
      </c>
      <c r="K53" s="68">
        <f t="shared" si="1"/>
        <v>0</v>
      </c>
      <c r="L53" s="311">
        <f t="shared" si="2"/>
        <v>0</v>
      </c>
      <c r="N53" s="117">
        <f>'As-Filed Schedule 2D'!J53</f>
        <v>0</v>
      </c>
      <c r="O53" s="314">
        <f>SUMIFS(Adjustments!$G:$G,Adjustments!$H:$H,"2D",Adjustments!$I:$I,'Schedule 2D Adjustments'!$N$12,Adjustments!$J:$J,'Schedule 2D Adjustments'!$A53)</f>
        <v>0</v>
      </c>
      <c r="P53" s="310">
        <f t="shared" si="3"/>
        <v>0</v>
      </c>
      <c r="Q53" s="68">
        <f>IFERROR(N53*'As-Filed Schedule 1'!$E$103,0)</f>
        <v>0</v>
      </c>
      <c r="R53" s="68">
        <f>IFERROR(P53*'Adjusted Schedule 1'!$E$104,0)</f>
        <v>0</v>
      </c>
      <c r="S53" s="68">
        <f t="shared" si="4"/>
        <v>0</v>
      </c>
      <c r="T53" s="311">
        <f t="shared" si="5"/>
        <v>0</v>
      </c>
      <c r="V53" s="120">
        <f>'As-Filed Schedule 2D'!N53</f>
        <v>0</v>
      </c>
      <c r="W53" s="314">
        <f>SUMIFS(Adjustments!$G:$G,Adjustments!$H:$H,"2D",Adjustments!$I:$I,'Schedule 2D Adjustments'!$V$12,Adjustments!$J:$J,'Schedule 2D Adjustments'!$A53)</f>
        <v>0</v>
      </c>
      <c r="X53" s="310">
        <f t="shared" si="6"/>
        <v>0</v>
      </c>
      <c r="Y53" s="120">
        <f>'As-Filed Schedule 2D'!O53</f>
        <v>0</v>
      </c>
      <c r="Z53" s="314">
        <f>SUMIFS(Adjustments!$G:$G,Adjustments!$H:$H,"2D",Adjustments!$I:$I,'Schedule 2D Adjustments'!$Y$12,Adjustments!$J:$J,'Schedule 2D Adjustments'!$A53)</f>
        <v>0</v>
      </c>
      <c r="AA53" s="310">
        <f t="shared" si="7"/>
        <v>0</v>
      </c>
    </row>
    <row r="54" spans="1:27" x14ac:dyDescent="0.35">
      <c r="A54" s="24">
        <v>40</v>
      </c>
      <c r="B54" s="513" t="str">
        <f>IF('As-Filed Schedule 2D'!B54:D54=0,"",'As-Filed Schedule 2D'!B54:D54)</f>
        <v/>
      </c>
      <c r="C54" s="513"/>
      <c r="D54" s="513"/>
      <c r="F54" s="117">
        <f>'As-Filed Schedule 2D'!F54</f>
        <v>0</v>
      </c>
      <c r="G54" s="314">
        <f>SUMIFS(Adjustments!$G:$G,Adjustments!$H:$H,"2D",Adjustments!$I:$I,'Schedule 2D Adjustments'!$F$12,Adjustments!$J:$J,'Schedule 2D Adjustments'!$A54)</f>
        <v>0</v>
      </c>
      <c r="H54" s="310">
        <f t="shared" si="0"/>
        <v>0</v>
      </c>
      <c r="I54" s="68">
        <f>IFERROR(F54*'As-Filed Schedule 1'!$E$103,0)</f>
        <v>0</v>
      </c>
      <c r="J54" s="311">
        <f>IFERROR(H54*'Adjusted Schedule 1'!$E$104,0)</f>
        <v>0</v>
      </c>
      <c r="K54" s="68">
        <f t="shared" si="1"/>
        <v>0</v>
      </c>
      <c r="L54" s="311">
        <f t="shared" si="2"/>
        <v>0</v>
      </c>
      <c r="N54" s="117">
        <f>'As-Filed Schedule 2D'!J54</f>
        <v>0</v>
      </c>
      <c r="O54" s="314">
        <f>SUMIFS(Adjustments!$G:$G,Adjustments!$H:$H,"2D",Adjustments!$I:$I,'Schedule 2D Adjustments'!$N$12,Adjustments!$J:$J,'Schedule 2D Adjustments'!$A54)</f>
        <v>0</v>
      </c>
      <c r="P54" s="310">
        <f t="shared" si="3"/>
        <v>0</v>
      </c>
      <c r="Q54" s="68">
        <f>IFERROR(N54*'As-Filed Schedule 1'!$E$103,0)</f>
        <v>0</v>
      </c>
      <c r="R54" s="68">
        <f>IFERROR(P54*'Adjusted Schedule 1'!$E$104,0)</f>
        <v>0</v>
      </c>
      <c r="S54" s="68">
        <f t="shared" si="4"/>
        <v>0</v>
      </c>
      <c r="T54" s="311">
        <f t="shared" si="5"/>
        <v>0</v>
      </c>
      <c r="V54" s="120">
        <f>'As-Filed Schedule 2D'!N54</f>
        <v>0</v>
      </c>
      <c r="W54" s="314">
        <f>SUMIFS(Adjustments!$G:$G,Adjustments!$H:$H,"2D",Adjustments!$I:$I,'Schedule 2D Adjustments'!$V$12,Adjustments!$J:$J,'Schedule 2D Adjustments'!$A54)</f>
        <v>0</v>
      </c>
      <c r="X54" s="310">
        <f t="shared" si="6"/>
        <v>0</v>
      </c>
      <c r="Y54" s="120">
        <f>'As-Filed Schedule 2D'!O54</f>
        <v>0</v>
      </c>
      <c r="Z54" s="314">
        <f>SUMIFS(Adjustments!$G:$G,Adjustments!$H:$H,"2D",Adjustments!$I:$I,'Schedule 2D Adjustments'!$Y$12,Adjustments!$J:$J,'Schedule 2D Adjustments'!$A54)</f>
        <v>0</v>
      </c>
      <c r="AA54" s="310">
        <f t="shared" si="7"/>
        <v>0</v>
      </c>
    </row>
    <row r="55" spans="1:27" x14ac:dyDescent="0.35">
      <c r="A55" s="24">
        <v>41</v>
      </c>
      <c r="B55" s="513" t="str">
        <f>IF('As-Filed Schedule 2D'!B55:D55=0,"",'As-Filed Schedule 2D'!B55:D55)</f>
        <v/>
      </c>
      <c r="C55" s="513"/>
      <c r="D55" s="513"/>
      <c r="F55" s="117">
        <f>'As-Filed Schedule 2D'!F55</f>
        <v>0</v>
      </c>
      <c r="G55" s="314">
        <f>SUMIFS(Adjustments!$G:$G,Adjustments!$H:$H,"2D",Adjustments!$I:$I,'Schedule 2D Adjustments'!$F$12,Adjustments!$J:$J,'Schedule 2D Adjustments'!$A55)</f>
        <v>0</v>
      </c>
      <c r="H55" s="310">
        <f t="shared" si="0"/>
        <v>0</v>
      </c>
      <c r="I55" s="68">
        <f>IFERROR(F55*'As-Filed Schedule 1'!$E$103,0)</f>
        <v>0</v>
      </c>
      <c r="J55" s="311">
        <f>IFERROR(H55*'Adjusted Schedule 1'!$E$104,0)</f>
        <v>0</v>
      </c>
      <c r="K55" s="68">
        <f t="shared" si="1"/>
        <v>0</v>
      </c>
      <c r="L55" s="311">
        <f t="shared" si="2"/>
        <v>0</v>
      </c>
      <c r="N55" s="117">
        <f>'As-Filed Schedule 2D'!J55</f>
        <v>0</v>
      </c>
      <c r="O55" s="314">
        <f>SUMIFS(Adjustments!$G:$G,Adjustments!$H:$H,"2D",Adjustments!$I:$I,'Schedule 2D Adjustments'!$N$12,Adjustments!$J:$J,'Schedule 2D Adjustments'!$A55)</f>
        <v>0</v>
      </c>
      <c r="P55" s="310">
        <f t="shared" si="3"/>
        <v>0</v>
      </c>
      <c r="Q55" s="68">
        <f>IFERROR(N55*'As-Filed Schedule 1'!$E$103,0)</f>
        <v>0</v>
      </c>
      <c r="R55" s="68">
        <f>IFERROR(P55*'Adjusted Schedule 1'!$E$104,0)</f>
        <v>0</v>
      </c>
      <c r="S55" s="68">
        <f t="shared" si="4"/>
        <v>0</v>
      </c>
      <c r="T55" s="311">
        <f t="shared" si="5"/>
        <v>0</v>
      </c>
      <c r="V55" s="120">
        <f>'As-Filed Schedule 2D'!N55</f>
        <v>0</v>
      </c>
      <c r="W55" s="314">
        <f>SUMIFS(Adjustments!$G:$G,Adjustments!$H:$H,"2D",Adjustments!$I:$I,'Schedule 2D Adjustments'!$V$12,Adjustments!$J:$J,'Schedule 2D Adjustments'!$A55)</f>
        <v>0</v>
      </c>
      <c r="X55" s="310">
        <f t="shared" si="6"/>
        <v>0</v>
      </c>
      <c r="Y55" s="120">
        <f>'As-Filed Schedule 2D'!O55</f>
        <v>0</v>
      </c>
      <c r="Z55" s="314">
        <f>SUMIFS(Adjustments!$G:$G,Adjustments!$H:$H,"2D",Adjustments!$I:$I,'Schedule 2D Adjustments'!$Y$12,Adjustments!$J:$J,'Schedule 2D Adjustments'!$A55)</f>
        <v>0</v>
      </c>
      <c r="AA55" s="310">
        <f t="shared" si="7"/>
        <v>0</v>
      </c>
    </row>
    <row r="56" spans="1:27" x14ac:dyDescent="0.35">
      <c r="A56" s="24">
        <v>42</v>
      </c>
      <c r="B56" s="513" t="str">
        <f>IF('As-Filed Schedule 2D'!B56:D56=0,"",'As-Filed Schedule 2D'!B56:D56)</f>
        <v/>
      </c>
      <c r="C56" s="513"/>
      <c r="D56" s="513"/>
      <c r="F56" s="117">
        <f>'As-Filed Schedule 2D'!F56</f>
        <v>0</v>
      </c>
      <c r="G56" s="314">
        <f>SUMIFS(Adjustments!$G:$G,Adjustments!$H:$H,"2D",Adjustments!$I:$I,'Schedule 2D Adjustments'!$F$12,Adjustments!$J:$J,'Schedule 2D Adjustments'!$A56)</f>
        <v>0</v>
      </c>
      <c r="H56" s="310">
        <f t="shared" si="0"/>
        <v>0</v>
      </c>
      <c r="I56" s="68">
        <f>IFERROR(F56*'As-Filed Schedule 1'!$E$103,0)</f>
        <v>0</v>
      </c>
      <c r="J56" s="311">
        <f>IFERROR(H56*'Adjusted Schedule 1'!$E$104,0)</f>
        <v>0</v>
      </c>
      <c r="K56" s="68">
        <f t="shared" si="1"/>
        <v>0</v>
      </c>
      <c r="L56" s="311">
        <f t="shared" si="2"/>
        <v>0</v>
      </c>
      <c r="N56" s="117">
        <f>'As-Filed Schedule 2D'!J56</f>
        <v>0</v>
      </c>
      <c r="O56" s="314">
        <f>SUMIFS(Adjustments!$G:$G,Adjustments!$H:$H,"2D",Adjustments!$I:$I,'Schedule 2D Adjustments'!$N$12,Adjustments!$J:$J,'Schedule 2D Adjustments'!$A56)</f>
        <v>0</v>
      </c>
      <c r="P56" s="310">
        <f t="shared" si="3"/>
        <v>0</v>
      </c>
      <c r="Q56" s="68">
        <f>IFERROR(N56*'As-Filed Schedule 1'!$E$103,0)</f>
        <v>0</v>
      </c>
      <c r="R56" s="68">
        <f>IFERROR(P56*'Adjusted Schedule 1'!$E$104,0)</f>
        <v>0</v>
      </c>
      <c r="S56" s="68">
        <f t="shared" si="4"/>
        <v>0</v>
      </c>
      <c r="T56" s="311">
        <f t="shared" si="5"/>
        <v>0</v>
      </c>
      <c r="V56" s="120">
        <f>'As-Filed Schedule 2D'!N56</f>
        <v>0</v>
      </c>
      <c r="W56" s="314">
        <f>SUMIFS(Adjustments!$G:$G,Adjustments!$H:$H,"2D",Adjustments!$I:$I,'Schedule 2D Adjustments'!$V$12,Adjustments!$J:$J,'Schedule 2D Adjustments'!$A56)</f>
        <v>0</v>
      </c>
      <c r="X56" s="310">
        <f t="shared" si="6"/>
        <v>0</v>
      </c>
      <c r="Y56" s="120">
        <f>'As-Filed Schedule 2D'!O56</f>
        <v>0</v>
      </c>
      <c r="Z56" s="314">
        <f>SUMIFS(Adjustments!$G:$G,Adjustments!$H:$H,"2D",Adjustments!$I:$I,'Schedule 2D Adjustments'!$Y$12,Adjustments!$J:$J,'Schedule 2D Adjustments'!$A56)</f>
        <v>0</v>
      </c>
      <c r="AA56" s="310">
        <f t="shared" si="7"/>
        <v>0</v>
      </c>
    </row>
    <row r="57" spans="1:27" x14ac:dyDescent="0.35">
      <c r="A57" s="24">
        <v>43</v>
      </c>
      <c r="B57" s="513" t="str">
        <f>IF('As-Filed Schedule 2D'!B57:D57=0,"",'As-Filed Schedule 2D'!B57:D57)</f>
        <v/>
      </c>
      <c r="C57" s="513"/>
      <c r="D57" s="513"/>
      <c r="F57" s="117">
        <f>'As-Filed Schedule 2D'!F57</f>
        <v>0</v>
      </c>
      <c r="G57" s="314">
        <f>SUMIFS(Adjustments!$G:$G,Adjustments!$H:$H,"2D",Adjustments!$I:$I,'Schedule 2D Adjustments'!$F$12,Adjustments!$J:$J,'Schedule 2D Adjustments'!$A57)</f>
        <v>0</v>
      </c>
      <c r="H57" s="310">
        <f t="shared" si="0"/>
        <v>0</v>
      </c>
      <c r="I57" s="68">
        <f>IFERROR(F57*'As-Filed Schedule 1'!$E$103,0)</f>
        <v>0</v>
      </c>
      <c r="J57" s="311">
        <f>IFERROR(H57*'Adjusted Schedule 1'!$E$104,0)</f>
        <v>0</v>
      </c>
      <c r="K57" s="68">
        <f t="shared" si="1"/>
        <v>0</v>
      </c>
      <c r="L57" s="311">
        <f t="shared" si="2"/>
        <v>0</v>
      </c>
      <c r="N57" s="117">
        <f>'As-Filed Schedule 2D'!J57</f>
        <v>0</v>
      </c>
      <c r="O57" s="314">
        <f>SUMIFS(Adjustments!$G:$G,Adjustments!$H:$H,"2D",Adjustments!$I:$I,'Schedule 2D Adjustments'!$N$12,Adjustments!$J:$J,'Schedule 2D Adjustments'!$A57)</f>
        <v>0</v>
      </c>
      <c r="P57" s="310">
        <f t="shared" si="3"/>
        <v>0</v>
      </c>
      <c r="Q57" s="68">
        <f>IFERROR(N57*'As-Filed Schedule 1'!$E$103,0)</f>
        <v>0</v>
      </c>
      <c r="R57" s="68">
        <f>IFERROR(P57*'Adjusted Schedule 1'!$E$104,0)</f>
        <v>0</v>
      </c>
      <c r="S57" s="68">
        <f t="shared" si="4"/>
        <v>0</v>
      </c>
      <c r="T57" s="311">
        <f t="shared" si="5"/>
        <v>0</v>
      </c>
      <c r="V57" s="120">
        <f>'As-Filed Schedule 2D'!N57</f>
        <v>0</v>
      </c>
      <c r="W57" s="314">
        <f>SUMIFS(Adjustments!$G:$G,Adjustments!$H:$H,"2D",Adjustments!$I:$I,'Schedule 2D Adjustments'!$V$12,Adjustments!$J:$J,'Schedule 2D Adjustments'!$A57)</f>
        <v>0</v>
      </c>
      <c r="X57" s="310">
        <f t="shared" si="6"/>
        <v>0</v>
      </c>
      <c r="Y57" s="120">
        <f>'As-Filed Schedule 2D'!O57</f>
        <v>0</v>
      </c>
      <c r="Z57" s="314">
        <f>SUMIFS(Adjustments!$G:$G,Adjustments!$H:$H,"2D",Adjustments!$I:$I,'Schedule 2D Adjustments'!$Y$12,Adjustments!$J:$J,'Schedule 2D Adjustments'!$A57)</f>
        <v>0</v>
      </c>
      <c r="AA57" s="310">
        <f t="shared" si="7"/>
        <v>0</v>
      </c>
    </row>
    <row r="58" spans="1:27" x14ac:dyDescent="0.35">
      <c r="A58" s="24">
        <v>44</v>
      </c>
      <c r="B58" s="513" t="str">
        <f>IF('As-Filed Schedule 2D'!B58:D58=0,"",'As-Filed Schedule 2D'!B58:D58)</f>
        <v/>
      </c>
      <c r="C58" s="513"/>
      <c r="D58" s="513"/>
      <c r="F58" s="117">
        <f>'As-Filed Schedule 2D'!F58</f>
        <v>0</v>
      </c>
      <c r="G58" s="314">
        <f>SUMIFS(Adjustments!$G:$G,Adjustments!$H:$H,"2D",Adjustments!$I:$I,'Schedule 2D Adjustments'!$F$12,Adjustments!$J:$J,'Schedule 2D Adjustments'!$A58)</f>
        <v>0</v>
      </c>
      <c r="H58" s="310">
        <f t="shared" si="0"/>
        <v>0</v>
      </c>
      <c r="I58" s="68">
        <f>IFERROR(F58*'As-Filed Schedule 1'!$E$103,0)</f>
        <v>0</v>
      </c>
      <c r="J58" s="311">
        <f>IFERROR(H58*'Adjusted Schedule 1'!$E$104,0)</f>
        <v>0</v>
      </c>
      <c r="K58" s="68">
        <f t="shared" si="1"/>
        <v>0</v>
      </c>
      <c r="L58" s="311">
        <f t="shared" si="2"/>
        <v>0</v>
      </c>
      <c r="N58" s="117">
        <f>'As-Filed Schedule 2D'!J58</f>
        <v>0</v>
      </c>
      <c r="O58" s="314">
        <f>SUMIFS(Adjustments!$G:$G,Adjustments!$H:$H,"2D",Adjustments!$I:$I,'Schedule 2D Adjustments'!$N$12,Adjustments!$J:$J,'Schedule 2D Adjustments'!$A58)</f>
        <v>0</v>
      </c>
      <c r="P58" s="310">
        <f t="shared" si="3"/>
        <v>0</v>
      </c>
      <c r="Q58" s="68">
        <f>IFERROR(N58*'As-Filed Schedule 1'!$E$103,0)</f>
        <v>0</v>
      </c>
      <c r="R58" s="68">
        <f>IFERROR(P58*'Adjusted Schedule 1'!$E$104,0)</f>
        <v>0</v>
      </c>
      <c r="S58" s="68">
        <f t="shared" si="4"/>
        <v>0</v>
      </c>
      <c r="T58" s="311">
        <f t="shared" si="5"/>
        <v>0</v>
      </c>
      <c r="V58" s="120">
        <f>'As-Filed Schedule 2D'!N58</f>
        <v>0</v>
      </c>
      <c r="W58" s="314">
        <f>SUMIFS(Adjustments!$G:$G,Adjustments!$H:$H,"2D",Adjustments!$I:$I,'Schedule 2D Adjustments'!$V$12,Adjustments!$J:$J,'Schedule 2D Adjustments'!$A58)</f>
        <v>0</v>
      </c>
      <c r="X58" s="310">
        <f t="shared" si="6"/>
        <v>0</v>
      </c>
      <c r="Y58" s="120">
        <f>'As-Filed Schedule 2D'!O58</f>
        <v>0</v>
      </c>
      <c r="Z58" s="314">
        <f>SUMIFS(Adjustments!$G:$G,Adjustments!$H:$H,"2D",Adjustments!$I:$I,'Schedule 2D Adjustments'!$Y$12,Adjustments!$J:$J,'Schedule 2D Adjustments'!$A58)</f>
        <v>0</v>
      </c>
      <c r="AA58" s="310">
        <f t="shared" si="7"/>
        <v>0</v>
      </c>
    </row>
    <row r="59" spans="1:27" x14ac:dyDescent="0.35">
      <c r="A59" s="24">
        <v>45</v>
      </c>
      <c r="B59" s="513" t="str">
        <f>IF('As-Filed Schedule 2D'!B59:D59=0,"",'As-Filed Schedule 2D'!B59:D59)</f>
        <v/>
      </c>
      <c r="C59" s="513"/>
      <c r="D59" s="513"/>
      <c r="F59" s="117">
        <f>'As-Filed Schedule 2D'!F59</f>
        <v>0</v>
      </c>
      <c r="G59" s="314">
        <f>SUMIFS(Adjustments!$G:$G,Adjustments!$H:$H,"2D",Adjustments!$I:$I,'Schedule 2D Adjustments'!$F$12,Adjustments!$J:$J,'Schedule 2D Adjustments'!$A59)</f>
        <v>0</v>
      </c>
      <c r="H59" s="310">
        <f t="shared" si="0"/>
        <v>0</v>
      </c>
      <c r="I59" s="68">
        <f>IFERROR(F59*'As-Filed Schedule 1'!$E$103,0)</f>
        <v>0</v>
      </c>
      <c r="J59" s="311">
        <f>IFERROR(H59*'Adjusted Schedule 1'!$E$104,0)</f>
        <v>0</v>
      </c>
      <c r="K59" s="68">
        <f t="shared" si="1"/>
        <v>0</v>
      </c>
      <c r="L59" s="311">
        <f t="shared" si="2"/>
        <v>0</v>
      </c>
      <c r="N59" s="117">
        <f>'As-Filed Schedule 2D'!J59</f>
        <v>0</v>
      </c>
      <c r="O59" s="314">
        <f>SUMIFS(Adjustments!$G:$G,Adjustments!$H:$H,"2D",Adjustments!$I:$I,'Schedule 2D Adjustments'!$N$12,Adjustments!$J:$J,'Schedule 2D Adjustments'!$A59)</f>
        <v>0</v>
      </c>
      <c r="P59" s="310">
        <f t="shared" si="3"/>
        <v>0</v>
      </c>
      <c r="Q59" s="68">
        <f>IFERROR(N59*'As-Filed Schedule 1'!$E$103,0)</f>
        <v>0</v>
      </c>
      <c r="R59" s="68">
        <f>IFERROR(P59*'Adjusted Schedule 1'!$E$104,0)</f>
        <v>0</v>
      </c>
      <c r="S59" s="68">
        <f t="shared" si="4"/>
        <v>0</v>
      </c>
      <c r="T59" s="311">
        <f t="shared" si="5"/>
        <v>0</v>
      </c>
      <c r="V59" s="120">
        <f>'As-Filed Schedule 2D'!N59</f>
        <v>0</v>
      </c>
      <c r="W59" s="314">
        <f>SUMIFS(Adjustments!$G:$G,Adjustments!$H:$H,"2D",Adjustments!$I:$I,'Schedule 2D Adjustments'!$V$12,Adjustments!$J:$J,'Schedule 2D Adjustments'!$A59)</f>
        <v>0</v>
      </c>
      <c r="X59" s="310">
        <f t="shared" si="6"/>
        <v>0</v>
      </c>
      <c r="Y59" s="120">
        <f>'As-Filed Schedule 2D'!O59</f>
        <v>0</v>
      </c>
      <c r="Z59" s="314">
        <f>SUMIFS(Adjustments!$G:$G,Adjustments!$H:$H,"2D",Adjustments!$I:$I,'Schedule 2D Adjustments'!$Y$12,Adjustments!$J:$J,'Schedule 2D Adjustments'!$A59)</f>
        <v>0</v>
      </c>
      <c r="AA59" s="310">
        <f t="shared" si="7"/>
        <v>0</v>
      </c>
    </row>
    <row r="60" spans="1:27" x14ac:dyDescent="0.35">
      <c r="A60" s="24">
        <v>46</v>
      </c>
      <c r="B60" s="513" t="str">
        <f>IF('As-Filed Schedule 2D'!B60:D60=0,"",'As-Filed Schedule 2D'!B60:D60)</f>
        <v/>
      </c>
      <c r="C60" s="513"/>
      <c r="D60" s="513"/>
      <c r="F60" s="117">
        <f>'As-Filed Schedule 2D'!F60</f>
        <v>0</v>
      </c>
      <c r="G60" s="314">
        <f>SUMIFS(Adjustments!$G:$G,Adjustments!$H:$H,"2D",Adjustments!$I:$I,'Schedule 2D Adjustments'!$F$12,Adjustments!$J:$J,'Schedule 2D Adjustments'!$A60)</f>
        <v>0</v>
      </c>
      <c r="H60" s="310">
        <f t="shared" si="0"/>
        <v>0</v>
      </c>
      <c r="I60" s="68">
        <f>IFERROR(F60*'As-Filed Schedule 1'!$E$103,0)</f>
        <v>0</v>
      </c>
      <c r="J60" s="311">
        <f>IFERROR(H60*'Adjusted Schedule 1'!$E$104,0)</f>
        <v>0</v>
      </c>
      <c r="K60" s="68">
        <f t="shared" si="1"/>
        <v>0</v>
      </c>
      <c r="L60" s="311">
        <f t="shared" si="2"/>
        <v>0</v>
      </c>
      <c r="N60" s="117">
        <f>'As-Filed Schedule 2D'!J60</f>
        <v>0</v>
      </c>
      <c r="O60" s="314">
        <f>SUMIFS(Adjustments!$G:$G,Adjustments!$H:$H,"2D",Adjustments!$I:$I,'Schedule 2D Adjustments'!$N$12,Adjustments!$J:$J,'Schedule 2D Adjustments'!$A60)</f>
        <v>0</v>
      </c>
      <c r="P60" s="310">
        <f t="shared" si="3"/>
        <v>0</v>
      </c>
      <c r="Q60" s="68">
        <f>IFERROR(N60*'As-Filed Schedule 1'!$E$103,0)</f>
        <v>0</v>
      </c>
      <c r="R60" s="68">
        <f>IFERROR(P60*'Adjusted Schedule 1'!$E$104,0)</f>
        <v>0</v>
      </c>
      <c r="S60" s="68">
        <f t="shared" si="4"/>
        <v>0</v>
      </c>
      <c r="T60" s="311">
        <f t="shared" si="5"/>
        <v>0</v>
      </c>
      <c r="V60" s="120">
        <f>'As-Filed Schedule 2D'!N60</f>
        <v>0</v>
      </c>
      <c r="W60" s="314">
        <f>SUMIFS(Adjustments!$G:$G,Adjustments!$H:$H,"2D",Adjustments!$I:$I,'Schedule 2D Adjustments'!$V$12,Adjustments!$J:$J,'Schedule 2D Adjustments'!$A60)</f>
        <v>0</v>
      </c>
      <c r="X60" s="310">
        <f t="shared" si="6"/>
        <v>0</v>
      </c>
      <c r="Y60" s="120">
        <f>'As-Filed Schedule 2D'!O60</f>
        <v>0</v>
      </c>
      <c r="Z60" s="314">
        <f>SUMIFS(Adjustments!$G:$G,Adjustments!$H:$H,"2D",Adjustments!$I:$I,'Schedule 2D Adjustments'!$Y$12,Adjustments!$J:$J,'Schedule 2D Adjustments'!$A60)</f>
        <v>0</v>
      </c>
      <c r="AA60" s="310">
        <f t="shared" si="7"/>
        <v>0</v>
      </c>
    </row>
    <row r="61" spans="1:27" x14ac:dyDescent="0.35">
      <c r="A61" s="24">
        <v>47</v>
      </c>
      <c r="B61" s="513" t="str">
        <f>IF('As-Filed Schedule 2D'!B61:D61=0,"",'As-Filed Schedule 2D'!B61:D61)</f>
        <v/>
      </c>
      <c r="C61" s="513"/>
      <c r="D61" s="513"/>
      <c r="F61" s="117">
        <f>'As-Filed Schedule 2D'!F61</f>
        <v>0</v>
      </c>
      <c r="G61" s="314">
        <f>SUMIFS(Adjustments!$G:$G,Adjustments!$H:$H,"2D",Adjustments!$I:$I,'Schedule 2D Adjustments'!$F$12,Adjustments!$J:$J,'Schedule 2D Adjustments'!$A61)</f>
        <v>0</v>
      </c>
      <c r="H61" s="310">
        <f t="shared" si="0"/>
        <v>0</v>
      </c>
      <c r="I61" s="68">
        <f>IFERROR(F61*'As-Filed Schedule 1'!$E$103,0)</f>
        <v>0</v>
      </c>
      <c r="J61" s="311">
        <f>IFERROR(H61*'Adjusted Schedule 1'!$E$104,0)</f>
        <v>0</v>
      </c>
      <c r="K61" s="68">
        <f t="shared" si="1"/>
        <v>0</v>
      </c>
      <c r="L61" s="311">
        <f t="shared" si="2"/>
        <v>0</v>
      </c>
      <c r="N61" s="117">
        <f>'As-Filed Schedule 2D'!J61</f>
        <v>0</v>
      </c>
      <c r="O61" s="314">
        <f>SUMIFS(Adjustments!$G:$G,Adjustments!$H:$H,"2D",Adjustments!$I:$I,'Schedule 2D Adjustments'!$N$12,Adjustments!$J:$J,'Schedule 2D Adjustments'!$A61)</f>
        <v>0</v>
      </c>
      <c r="P61" s="310">
        <f t="shared" si="3"/>
        <v>0</v>
      </c>
      <c r="Q61" s="68">
        <f>IFERROR(N61*'As-Filed Schedule 1'!$E$103,0)</f>
        <v>0</v>
      </c>
      <c r="R61" s="68">
        <f>IFERROR(P61*'Adjusted Schedule 1'!$E$104,0)</f>
        <v>0</v>
      </c>
      <c r="S61" s="68">
        <f t="shared" si="4"/>
        <v>0</v>
      </c>
      <c r="T61" s="311">
        <f t="shared" si="5"/>
        <v>0</v>
      </c>
      <c r="V61" s="120">
        <f>'As-Filed Schedule 2D'!N61</f>
        <v>0</v>
      </c>
      <c r="W61" s="314">
        <f>SUMIFS(Adjustments!$G:$G,Adjustments!$H:$H,"2D",Adjustments!$I:$I,'Schedule 2D Adjustments'!$V$12,Adjustments!$J:$J,'Schedule 2D Adjustments'!$A61)</f>
        <v>0</v>
      </c>
      <c r="X61" s="310">
        <f t="shared" si="6"/>
        <v>0</v>
      </c>
      <c r="Y61" s="120">
        <f>'As-Filed Schedule 2D'!O61</f>
        <v>0</v>
      </c>
      <c r="Z61" s="314">
        <f>SUMIFS(Adjustments!$G:$G,Adjustments!$H:$H,"2D",Adjustments!$I:$I,'Schedule 2D Adjustments'!$Y$12,Adjustments!$J:$J,'Schedule 2D Adjustments'!$A61)</f>
        <v>0</v>
      </c>
      <c r="AA61" s="310">
        <f t="shared" si="7"/>
        <v>0</v>
      </c>
    </row>
    <row r="62" spans="1:27" x14ac:dyDescent="0.35">
      <c r="A62" s="24">
        <v>48</v>
      </c>
      <c r="B62" s="513" t="str">
        <f>IF('As-Filed Schedule 2D'!B62:D62=0,"",'As-Filed Schedule 2D'!B62:D62)</f>
        <v/>
      </c>
      <c r="C62" s="513"/>
      <c r="D62" s="513"/>
      <c r="F62" s="117">
        <f>'As-Filed Schedule 2D'!F62</f>
        <v>0</v>
      </c>
      <c r="G62" s="314">
        <f>SUMIFS(Adjustments!$G:$G,Adjustments!$H:$H,"2D",Adjustments!$I:$I,'Schedule 2D Adjustments'!$F$12,Adjustments!$J:$J,'Schedule 2D Adjustments'!$A62)</f>
        <v>0</v>
      </c>
      <c r="H62" s="310">
        <f t="shared" si="0"/>
        <v>0</v>
      </c>
      <c r="I62" s="68">
        <f>IFERROR(F62*'As-Filed Schedule 1'!$E$103,0)</f>
        <v>0</v>
      </c>
      <c r="J62" s="311">
        <f>IFERROR(H62*'Adjusted Schedule 1'!$E$104,0)</f>
        <v>0</v>
      </c>
      <c r="K62" s="68">
        <f t="shared" si="1"/>
        <v>0</v>
      </c>
      <c r="L62" s="311">
        <f t="shared" si="2"/>
        <v>0</v>
      </c>
      <c r="N62" s="117">
        <f>'As-Filed Schedule 2D'!J62</f>
        <v>0</v>
      </c>
      <c r="O62" s="314">
        <f>SUMIFS(Adjustments!$G:$G,Adjustments!$H:$H,"2D",Adjustments!$I:$I,'Schedule 2D Adjustments'!$N$12,Adjustments!$J:$J,'Schedule 2D Adjustments'!$A62)</f>
        <v>0</v>
      </c>
      <c r="P62" s="310">
        <f t="shared" si="3"/>
        <v>0</v>
      </c>
      <c r="Q62" s="68">
        <f>IFERROR(N62*'As-Filed Schedule 1'!$E$103,0)</f>
        <v>0</v>
      </c>
      <c r="R62" s="68">
        <f>IFERROR(P62*'Adjusted Schedule 1'!$E$104,0)</f>
        <v>0</v>
      </c>
      <c r="S62" s="68">
        <f t="shared" si="4"/>
        <v>0</v>
      </c>
      <c r="T62" s="311">
        <f t="shared" si="5"/>
        <v>0</v>
      </c>
      <c r="V62" s="120">
        <f>'As-Filed Schedule 2D'!N62</f>
        <v>0</v>
      </c>
      <c r="W62" s="314">
        <f>SUMIFS(Adjustments!$G:$G,Adjustments!$H:$H,"2D",Adjustments!$I:$I,'Schedule 2D Adjustments'!$V$12,Adjustments!$J:$J,'Schedule 2D Adjustments'!$A62)</f>
        <v>0</v>
      </c>
      <c r="X62" s="310">
        <f t="shared" si="6"/>
        <v>0</v>
      </c>
      <c r="Y62" s="120">
        <f>'As-Filed Schedule 2D'!O62</f>
        <v>0</v>
      </c>
      <c r="Z62" s="314">
        <f>SUMIFS(Adjustments!$G:$G,Adjustments!$H:$H,"2D",Adjustments!$I:$I,'Schedule 2D Adjustments'!$Y$12,Adjustments!$J:$J,'Schedule 2D Adjustments'!$A62)</f>
        <v>0</v>
      </c>
      <c r="AA62" s="310">
        <f t="shared" si="7"/>
        <v>0</v>
      </c>
    </row>
    <row r="63" spans="1:27" x14ac:dyDescent="0.35">
      <c r="A63" s="24">
        <v>49</v>
      </c>
      <c r="B63" s="513" t="str">
        <f>IF('As-Filed Schedule 2D'!B63:D63=0,"",'As-Filed Schedule 2D'!B63:D63)</f>
        <v/>
      </c>
      <c r="C63" s="513"/>
      <c r="D63" s="513"/>
      <c r="F63" s="117">
        <f>'As-Filed Schedule 2D'!F63</f>
        <v>0</v>
      </c>
      <c r="G63" s="314">
        <f>SUMIFS(Adjustments!$G:$G,Adjustments!$H:$H,"2D",Adjustments!$I:$I,'Schedule 2D Adjustments'!$F$12,Adjustments!$J:$J,'Schedule 2D Adjustments'!$A63)</f>
        <v>0</v>
      </c>
      <c r="H63" s="310">
        <f t="shared" si="0"/>
        <v>0</v>
      </c>
      <c r="I63" s="68">
        <f>IFERROR(F63*'As-Filed Schedule 1'!$E$103,0)</f>
        <v>0</v>
      </c>
      <c r="J63" s="311">
        <f>IFERROR(H63*'Adjusted Schedule 1'!$E$104,0)</f>
        <v>0</v>
      </c>
      <c r="K63" s="68">
        <f t="shared" si="1"/>
        <v>0</v>
      </c>
      <c r="L63" s="311">
        <f t="shared" si="2"/>
        <v>0</v>
      </c>
      <c r="N63" s="117">
        <f>'As-Filed Schedule 2D'!J63</f>
        <v>0</v>
      </c>
      <c r="O63" s="314">
        <f>SUMIFS(Adjustments!$G:$G,Adjustments!$H:$H,"2D",Adjustments!$I:$I,'Schedule 2D Adjustments'!$N$12,Adjustments!$J:$J,'Schedule 2D Adjustments'!$A63)</f>
        <v>0</v>
      </c>
      <c r="P63" s="310">
        <f t="shared" si="3"/>
        <v>0</v>
      </c>
      <c r="Q63" s="68">
        <f>IFERROR(N63*'As-Filed Schedule 1'!$E$103,0)</f>
        <v>0</v>
      </c>
      <c r="R63" s="68">
        <f>IFERROR(P63*'Adjusted Schedule 1'!$E$104,0)</f>
        <v>0</v>
      </c>
      <c r="S63" s="68">
        <f t="shared" si="4"/>
        <v>0</v>
      </c>
      <c r="T63" s="311">
        <f t="shared" si="5"/>
        <v>0</v>
      </c>
      <c r="V63" s="120">
        <f>'As-Filed Schedule 2D'!N63</f>
        <v>0</v>
      </c>
      <c r="W63" s="314">
        <f>SUMIFS(Adjustments!$G:$G,Adjustments!$H:$H,"2D",Adjustments!$I:$I,'Schedule 2D Adjustments'!$V$12,Adjustments!$J:$J,'Schedule 2D Adjustments'!$A63)</f>
        <v>0</v>
      </c>
      <c r="X63" s="310">
        <f t="shared" si="6"/>
        <v>0</v>
      </c>
      <c r="Y63" s="120">
        <f>'As-Filed Schedule 2D'!O63</f>
        <v>0</v>
      </c>
      <c r="Z63" s="314">
        <f>SUMIFS(Adjustments!$G:$G,Adjustments!$H:$H,"2D",Adjustments!$I:$I,'Schedule 2D Adjustments'!$Y$12,Adjustments!$J:$J,'Schedule 2D Adjustments'!$A63)</f>
        <v>0</v>
      </c>
      <c r="AA63" s="310">
        <f t="shared" si="7"/>
        <v>0</v>
      </c>
    </row>
    <row r="64" spans="1:27" x14ac:dyDescent="0.35">
      <c r="A64" s="24">
        <v>50</v>
      </c>
      <c r="B64" s="513" t="str">
        <f>IF('As-Filed Schedule 2D'!B64:D64=0,"",'As-Filed Schedule 2D'!B64:D64)</f>
        <v/>
      </c>
      <c r="C64" s="513"/>
      <c r="D64" s="513"/>
      <c r="F64" s="117">
        <f>'As-Filed Schedule 2D'!F64</f>
        <v>0</v>
      </c>
      <c r="G64" s="314">
        <f>SUMIFS(Adjustments!$G:$G,Adjustments!$H:$H,"2D",Adjustments!$I:$I,'Schedule 2D Adjustments'!$F$12,Adjustments!$J:$J,'Schedule 2D Adjustments'!$A64)</f>
        <v>0</v>
      </c>
      <c r="H64" s="310">
        <f t="shared" si="0"/>
        <v>0</v>
      </c>
      <c r="I64" s="68">
        <f>IFERROR(F64*'As-Filed Schedule 1'!$E$103,0)</f>
        <v>0</v>
      </c>
      <c r="J64" s="311">
        <f>IFERROR(H64*'Adjusted Schedule 1'!$E$104,0)</f>
        <v>0</v>
      </c>
      <c r="K64" s="68">
        <f t="shared" si="1"/>
        <v>0</v>
      </c>
      <c r="L64" s="311">
        <f t="shared" si="2"/>
        <v>0</v>
      </c>
      <c r="N64" s="117">
        <f>'As-Filed Schedule 2D'!J64</f>
        <v>0</v>
      </c>
      <c r="O64" s="314">
        <f>SUMIFS(Adjustments!$G:$G,Adjustments!$H:$H,"2D",Adjustments!$I:$I,'Schedule 2D Adjustments'!$N$12,Adjustments!$J:$J,'Schedule 2D Adjustments'!$A64)</f>
        <v>0</v>
      </c>
      <c r="P64" s="310">
        <f t="shared" si="3"/>
        <v>0</v>
      </c>
      <c r="Q64" s="68">
        <f>IFERROR(N64*'As-Filed Schedule 1'!$E$103,0)</f>
        <v>0</v>
      </c>
      <c r="R64" s="68">
        <f>IFERROR(P64*'Adjusted Schedule 1'!$E$104,0)</f>
        <v>0</v>
      </c>
      <c r="S64" s="68">
        <f t="shared" si="4"/>
        <v>0</v>
      </c>
      <c r="T64" s="311">
        <f t="shared" si="5"/>
        <v>0</v>
      </c>
      <c r="V64" s="120">
        <f>'As-Filed Schedule 2D'!N64</f>
        <v>0</v>
      </c>
      <c r="W64" s="314">
        <f>SUMIFS(Adjustments!$G:$G,Adjustments!$H:$H,"2D",Adjustments!$I:$I,'Schedule 2D Adjustments'!$V$12,Adjustments!$J:$J,'Schedule 2D Adjustments'!$A64)</f>
        <v>0</v>
      </c>
      <c r="X64" s="310">
        <f t="shared" si="6"/>
        <v>0</v>
      </c>
      <c r="Y64" s="120">
        <f>'As-Filed Schedule 2D'!O64</f>
        <v>0</v>
      </c>
      <c r="Z64" s="314">
        <f>SUMIFS(Adjustments!$G:$G,Adjustments!$H:$H,"2D",Adjustments!$I:$I,'Schedule 2D Adjustments'!$Y$12,Adjustments!$J:$J,'Schedule 2D Adjustments'!$A64)</f>
        <v>0</v>
      </c>
      <c r="AA64" s="310">
        <f t="shared" si="7"/>
        <v>0</v>
      </c>
    </row>
    <row r="65" spans="1:27" x14ac:dyDescent="0.35">
      <c r="A65" s="24">
        <v>51</v>
      </c>
      <c r="B65" s="513" t="str">
        <f>IF('As-Filed Schedule 2D'!B65:D65=0,"",'As-Filed Schedule 2D'!B65:D65)</f>
        <v/>
      </c>
      <c r="C65" s="513"/>
      <c r="D65" s="513"/>
      <c r="F65" s="117">
        <f>'As-Filed Schedule 2D'!F65</f>
        <v>0</v>
      </c>
      <c r="G65" s="314">
        <f>SUMIFS(Adjustments!$G:$G,Adjustments!$H:$H,"2D",Adjustments!$I:$I,'Schedule 2D Adjustments'!$F$12,Adjustments!$J:$J,'Schedule 2D Adjustments'!$A65)</f>
        <v>0</v>
      </c>
      <c r="H65" s="310">
        <f t="shared" si="0"/>
        <v>0</v>
      </c>
      <c r="I65" s="68">
        <f>IFERROR(F65*'As-Filed Schedule 1'!$E$103,0)</f>
        <v>0</v>
      </c>
      <c r="J65" s="311">
        <f>IFERROR(H65*'Adjusted Schedule 1'!$E$104,0)</f>
        <v>0</v>
      </c>
      <c r="K65" s="68">
        <f t="shared" si="1"/>
        <v>0</v>
      </c>
      <c r="L65" s="311">
        <f t="shared" si="2"/>
        <v>0</v>
      </c>
      <c r="N65" s="117">
        <f>'As-Filed Schedule 2D'!J65</f>
        <v>0</v>
      </c>
      <c r="O65" s="314">
        <f>SUMIFS(Adjustments!$G:$G,Adjustments!$H:$H,"2D",Adjustments!$I:$I,'Schedule 2D Adjustments'!$N$12,Adjustments!$J:$J,'Schedule 2D Adjustments'!$A65)</f>
        <v>0</v>
      </c>
      <c r="P65" s="310">
        <f t="shared" si="3"/>
        <v>0</v>
      </c>
      <c r="Q65" s="68">
        <f>IFERROR(N65*'As-Filed Schedule 1'!$E$103,0)</f>
        <v>0</v>
      </c>
      <c r="R65" s="68">
        <f>IFERROR(P65*'Adjusted Schedule 1'!$E$104,0)</f>
        <v>0</v>
      </c>
      <c r="S65" s="68">
        <f t="shared" si="4"/>
        <v>0</v>
      </c>
      <c r="T65" s="311">
        <f t="shared" si="5"/>
        <v>0</v>
      </c>
      <c r="V65" s="120">
        <f>'As-Filed Schedule 2D'!N65</f>
        <v>0</v>
      </c>
      <c r="W65" s="314">
        <f>SUMIFS(Adjustments!$G:$G,Adjustments!$H:$H,"2D",Adjustments!$I:$I,'Schedule 2D Adjustments'!$V$12,Adjustments!$J:$J,'Schedule 2D Adjustments'!$A65)</f>
        <v>0</v>
      </c>
      <c r="X65" s="310">
        <f t="shared" si="6"/>
        <v>0</v>
      </c>
      <c r="Y65" s="120">
        <f>'As-Filed Schedule 2D'!O65</f>
        <v>0</v>
      </c>
      <c r="Z65" s="314">
        <f>SUMIFS(Adjustments!$G:$G,Adjustments!$H:$H,"2D",Adjustments!$I:$I,'Schedule 2D Adjustments'!$Y$12,Adjustments!$J:$J,'Schedule 2D Adjustments'!$A65)</f>
        <v>0</v>
      </c>
      <c r="AA65" s="310">
        <f t="shared" si="7"/>
        <v>0</v>
      </c>
    </row>
    <row r="66" spans="1:27" x14ac:dyDescent="0.35">
      <c r="A66" s="24">
        <v>52</v>
      </c>
      <c r="B66" s="513" t="str">
        <f>IF('As-Filed Schedule 2D'!B66:D66=0,"",'As-Filed Schedule 2D'!B66:D66)</f>
        <v/>
      </c>
      <c r="C66" s="513"/>
      <c r="D66" s="513"/>
      <c r="F66" s="117">
        <f>'As-Filed Schedule 2D'!F66</f>
        <v>0</v>
      </c>
      <c r="G66" s="314">
        <f>SUMIFS(Adjustments!$G:$G,Adjustments!$H:$H,"2D",Adjustments!$I:$I,'Schedule 2D Adjustments'!$F$12,Adjustments!$J:$J,'Schedule 2D Adjustments'!$A66)</f>
        <v>0</v>
      </c>
      <c r="H66" s="310">
        <f t="shared" si="0"/>
        <v>0</v>
      </c>
      <c r="I66" s="68">
        <f>IFERROR(F66*'As-Filed Schedule 1'!$E$103,0)</f>
        <v>0</v>
      </c>
      <c r="J66" s="311">
        <f>IFERROR(H66*'Adjusted Schedule 1'!$E$104,0)</f>
        <v>0</v>
      </c>
      <c r="K66" s="68">
        <f t="shared" si="1"/>
        <v>0</v>
      </c>
      <c r="L66" s="311">
        <f t="shared" si="2"/>
        <v>0</v>
      </c>
      <c r="N66" s="117">
        <f>'As-Filed Schedule 2D'!J66</f>
        <v>0</v>
      </c>
      <c r="O66" s="314">
        <f>SUMIFS(Adjustments!$G:$G,Adjustments!$H:$H,"2D",Adjustments!$I:$I,'Schedule 2D Adjustments'!$N$12,Adjustments!$J:$J,'Schedule 2D Adjustments'!$A66)</f>
        <v>0</v>
      </c>
      <c r="P66" s="310">
        <f t="shared" si="3"/>
        <v>0</v>
      </c>
      <c r="Q66" s="68">
        <f>IFERROR(N66*'As-Filed Schedule 1'!$E$103,0)</f>
        <v>0</v>
      </c>
      <c r="R66" s="68">
        <f>IFERROR(P66*'Adjusted Schedule 1'!$E$104,0)</f>
        <v>0</v>
      </c>
      <c r="S66" s="68">
        <f t="shared" si="4"/>
        <v>0</v>
      </c>
      <c r="T66" s="311">
        <f t="shared" si="5"/>
        <v>0</v>
      </c>
      <c r="V66" s="120">
        <f>'As-Filed Schedule 2D'!N66</f>
        <v>0</v>
      </c>
      <c r="W66" s="314">
        <f>SUMIFS(Adjustments!$G:$G,Adjustments!$H:$H,"2D",Adjustments!$I:$I,'Schedule 2D Adjustments'!$V$12,Adjustments!$J:$J,'Schedule 2D Adjustments'!$A66)</f>
        <v>0</v>
      </c>
      <c r="X66" s="310">
        <f t="shared" si="6"/>
        <v>0</v>
      </c>
      <c r="Y66" s="120">
        <f>'As-Filed Schedule 2D'!O66</f>
        <v>0</v>
      </c>
      <c r="Z66" s="314">
        <f>SUMIFS(Adjustments!$G:$G,Adjustments!$H:$H,"2D",Adjustments!$I:$I,'Schedule 2D Adjustments'!$Y$12,Adjustments!$J:$J,'Schedule 2D Adjustments'!$A66)</f>
        <v>0</v>
      </c>
      <c r="AA66" s="310">
        <f t="shared" si="7"/>
        <v>0</v>
      </c>
    </row>
    <row r="67" spans="1:27" x14ac:dyDescent="0.35">
      <c r="A67" s="24">
        <v>53</v>
      </c>
      <c r="B67" s="513" t="str">
        <f>IF('As-Filed Schedule 2D'!B67:D67=0,"",'As-Filed Schedule 2D'!B67:D67)</f>
        <v/>
      </c>
      <c r="C67" s="513"/>
      <c r="D67" s="513"/>
      <c r="F67" s="117">
        <f>'As-Filed Schedule 2D'!F67</f>
        <v>0</v>
      </c>
      <c r="G67" s="314">
        <f>SUMIFS(Adjustments!$G:$G,Adjustments!$H:$H,"2D",Adjustments!$I:$I,'Schedule 2D Adjustments'!$F$12,Adjustments!$J:$J,'Schedule 2D Adjustments'!$A67)</f>
        <v>0</v>
      </c>
      <c r="H67" s="310">
        <f t="shared" si="0"/>
        <v>0</v>
      </c>
      <c r="I67" s="68">
        <f>IFERROR(F67*'As-Filed Schedule 1'!$E$103,0)</f>
        <v>0</v>
      </c>
      <c r="J67" s="311">
        <f>IFERROR(H67*'Adjusted Schedule 1'!$E$104,0)</f>
        <v>0</v>
      </c>
      <c r="K67" s="68">
        <f t="shared" si="1"/>
        <v>0</v>
      </c>
      <c r="L67" s="311">
        <f t="shared" si="2"/>
        <v>0</v>
      </c>
      <c r="N67" s="117">
        <f>'As-Filed Schedule 2D'!J67</f>
        <v>0</v>
      </c>
      <c r="O67" s="314">
        <f>SUMIFS(Adjustments!$G:$G,Adjustments!$H:$H,"2D",Adjustments!$I:$I,'Schedule 2D Adjustments'!$N$12,Adjustments!$J:$J,'Schedule 2D Adjustments'!$A67)</f>
        <v>0</v>
      </c>
      <c r="P67" s="310">
        <f t="shared" si="3"/>
        <v>0</v>
      </c>
      <c r="Q67" s="68">
        <f>IFERROR(N67*'As-Filed Schedule 1'!$E$103,0)</f>
        <v>0</v>
      </c>
      <c r="R67" s="68">
        <f>IFERROR(P67*'Adjusted Schedule 1'!$E$104,0)</f>
        <v>0</v>
      </c>
      <c r="S67" s="68">
        <f t="shared" si="4"/>
        <v>0</v>
      </c>
      <c r="T67" s="311">
        <f t="shared" si="5"/>
        <v>0</v>
      </c>
      <c r="V67" s="120">
        <f>'As-Filed Schedule 2D'!N67</f>
        <v>0</v>
      </c>
      <c r="W67" s="314">
        <f>SUMIFS(Adjustments!$G:$G,Adjustments!$H:$H,"2D",Adjustments!$I:$I,'Schedule 2D Adjustments'!$V$12,Adjustments!$J:$J,'Schedule 2D Adjustments'!$A67)</f>
        <v>0</v>
      </c>
      <c r="X67" s="310">
        <f t="shared" si="6"/>
        <v>0</v>
      </c>
      <c r="Y67" s="120">
        <f>'As-Filed Schedule 2D'!O67</f>
        <v>0</v>
      </c>
      <c r="Z67" s="314">
        <f>SUMIFS(Adjustments!$G:$G,Adjustments!$H:$H,"2D",Adjustments!$I:$I,'Schedule 2D Adjustments'!$Y$12,Adjustments!$J:$J,'Schedule 2D Adjustments'!$A67)</f>
        <v>0</v>
      </c>
      <c r="AA67" s="310">
        <f t="shared" si="7"/>
        <v>0</v>
      </c>
    </row>
    <row r="68" spans="1:27" x14ac:dyDescent="0.35">
      <c r="A68" s="24">
        <v>54</v>
      </c>
      <c r="B68" s="513" t="str">
        <f>IF('As-Filed Schedule 2D'!B68:D68=0,"",'As-Filed Schedule 2D'!B68:D68)</f>
        <v/>
      </c>
      <c r="C68" s="513"/>
      <c r="D68" s="513"/>
      <c r="F68" s="117">
        <f>'As-Filed Schedule 2D'!F68</f>
        <v>0</v>
      </c>
      <c r="G68" s="314">
        <f>SUMIFS(Adjustments!$G:$G,Adjustments!$H:$H,"2D",Adjustments!$I:$I,'Schedule 2D Adjustments'!$F$12,Adjustments!$J:$J,'Schedule 2D Adjustments'!$A68)</f>
        <v>0</v>
      </c>
      <c r="H68" s="310">
        <f t="shared" si="0"/>
        <v>0</v>
      </c>
      <c r="I68" s="68">
        <f>IFERROR(F68*'As-Filed Schedule 1'!$E$103,0)</f>
        <v>0</v>
      </c>
      <c r="J68" s="311">
        <f>IFERROR(H68*'Adjusted Schedule 1'!$E$104,0)</f>
        <v>0</v>
      </c>
      <c r="K68" s="68">
        <f t="shared" si="1"/>
        <v>0</v>
      </c>
      <c r="L68" s="311">
        <f t="shared" si="2"/>
        <v>0</v>
      </c>
      <c r="N68" s="117">
        <f>'As-Filed Schedule 2D'!J68</f>
        <v>0</v>
      </c>
      <c r="O68" s="314">
        <f>SUMIFS(Adjustments!$G:$G,Adjustments!$H:$H,"2D",Adjustments!$I:$I,'Schedule 2D Adjustments'!$N$12,Adjustments!$J:$J,'Schedule 2D Adjustments'!$A68)</f>
        <v>0</v>
      </c>
      <c r="P68" s="310">
        <f t="shared" si="3"/>
        <v>0</v>
      </c>
      <c r="Q68" s="68">
        <f>IFERROR(N68*'As-Filed Schedule 1'!$E$103,0)</f>
        <v>0</v>
      </c>
      <c r="R68" s="68">
        <f>IFERROR(P68*'Adjusted Schedule 1'!$E$104,0)</f>
        <v>0</v>
      </c>
      <c r="S68" s="68">
        <f t="shared" si="4"/>
        <v>0</v>
      </c>
      <c r="T68" s="311">
        <f t="shared" si="5"/>
        <v>0</v>
      </c>
      <c r="V68" s="120">
        <f>'As-Filed Schedule 2D'!N68</f>
        <v>0</v>
      </c>
      <c r="W68" s="314">
        <f>SUMIFS(Adjustments!$G:$G,Adjustments!$H:$H,"2D",Adjustments!$I:$I,'Schedule 2D Adjustments'!$V$12,Adjustments!$J:$J,'Schedule 2D Adjustments'!$A68)</f>
        <v>0</v>
      </c>
      <c r="X68" s="310">
        <f t="shared" si="6"/>
        <v>0</v>
      </c>
      <c r="Y68" s="120">
        <f>'As-Filed Schedule 2D'!O68</f>
        <v>0</v>
      </c>
      <c r="Z68" s="314">
        <f>SUMIFS(Adjustments!$G:$G,Adjustments!$H:$H,"2D",Adjustments!$I:$I,'Schedule 2D Adjustments'!$Y$12,Adjustments!$J:$J,'Schedule 2D Adjustments'!$A68)</f>
        <v>0</v>
      </c>
      <c r="AA68" s="310">
        <f t="shared" si="7"/>
        <v>0</v>
      </c>
    </row>
    <row r="69" spans="1:27" x14ac:dyDescent="0.35">
      <c r="A69" s="24">
        <v>55</v>
      </c>
      <c r="B69" s="513" t="str">
        <f>IF('As-Filed Schedule 2D'!B69:D69=0,"",'As-Filed Schedule 2D'!B69:D69)</f>
        <v/>
      </c>
      <c r="C69" s="513"/>
      <c r="D69" s="513"/>
      <c r="F69" s="117">
        <f>'As-Filed Schedule 2D'!F69</f>
        <v>0</v>
      </c>
      <c r="G69" s="314">
        <f>SUMIFS(Adjustments!$G:$G,Adjustments!$H:$H,"2D",Adjustments!$I:$I,'Schedule 2D Adjustments'!$F$12,Adjustments!$J:$J,'Schedule 2D Adjustments'!$A69)</f>
        <v>0</v>
      </c>
      <c r="H69" s="310">
        <f t="shared" si="0"/>
        <v>0</v>
      </c>
      <c r="I69" s="68">
        <f>IFERROR(F69*'As-Filed Schedule 1'!$E$103,0)</f>
        <v>0</v>
      </c>
      <c r="J69" s="311">
        <f>IFERROR(H69*'Adjusted Schedule 1'!$E$104,0)</f>
        <v>0</v>
      </c>
      <c r="K69" s="68">
        <f t="shared" si="1"/>
        <v>0</v>
      </c>
      <c r="L69" s="311">
        <f t="shared" si="2"/>
        <v>0</v>
      </c>
      <c r="N69" s="117">
        <f>'As-Filed Schedule 2D'!J69</f>
        <v>0</v>
      </c>
      <c r="O69" s="314">
        <f>SUMIFS(Adjustments!$G:$G,Adjustments!$H:$H,"2D",Adjustments!$I:$I,'Schedule 2D Adjustments'!$N$12,Adjustments!$J:$J,'Schedule 2D Adjustments'!$A69)</f>
        <v>0</v>
      </c>
      <c r="P69" s="310">
        <f t="shared" si="3"/>
        <v>0</v>
      </c>
      <c r="Q69" s="68">
        <f>IFERROR(N69*'As-Filed Schedule 1'!$E$103,0)</f>
        <v>0</v>
      </c>
      <c r="R69" s="68">
        <f>IFERROR(P69*'Adjusted Schedule 1'!$E$104,0)</f>
        <v>0</v>
      </c>
      <c r="S69" s="68">
        <f t="shared" si="4"/>
        <v>0</v>
      </c>
      <c r="T69" s="311">
        <f t="shared" si="5"/>
        <v>0</v>
      </c>
      <c r="V69" s="120">
        <f>'As-Filed Schedule 2D'!N69</f>
        <v>0</v>
      </c>
      <c r="W69" s="314">
        <f>SUMIFS(Adjustments!$G:$G,Adjustments!$H:$H,"2D",Adjustments!$I:$I,'Schedule 2D Adjustments'!$V$12,Adjustments!$J:$J,'Schedule 2D Adjustments'!$A69)</f>
        <v>0</v>
      </c>
      <c r="X69" s="310">
        <f t="shared" si="6"/>
        <v>0</v>
      </c>
      <c r="Y69" s="120">
        <f>'As-Filed Schedule 2D'!O69</f>
        <v>0</v>
      </c>
      <c r="Z69" s="314">
        <f>SUMIFS(Adjustments!$G:$G,Adjustments!$H:$H,"2D",Adjustments!$I:$I,'Schedule 2D Adjustments'!$Y$12,Adjustments!$J:$J,'Schedule 2D Adjustments'!$A69)</f>
        <v>0</v>
      </c>
      <c r="AA69" s="310">
        <f t="shared" si="7"/>
        <v>0</v>
      </c>
    </row>
    <row r="70" spans="1:27" x14ac:dyDescent="0.35">
      <c r="A70" s="24">
        <v>56</v>
      </c>
      <c r="B70" s="513" t="str">
        <f>IF('As-Filed Schedule 2D'!B70:D70=0,"",'As-Filed Schedule 2D'!B70:D70)</f>
        <v/>
      </c>
      <c r="C70" s="513"/>
      <c r="D70" s="513"/>
      <c r="F70" s="117">
        <f>'As-Filed Schedule 2D'!F70</f>
        <v>0</v>
      </c>
      <c r="G70" s="314">
        <f>SUMIFS(Adjustments!$G:$G,Adjustments!$H:$H,"2D",Adjustments!$I:$I,'Schedule 2D Adjustments'!$F$12,Adjustments!$J:$J,'Schedule 2D Adjustments'!$A70)</f>
        <v>0</v>
      </c>
      <c r="H70" s="310">
        <f t="shared" si="0"/>
        <v>0</v>
      </c>
      <c r="I70" s="68">
        <f>IFERROR(F70*'As-Filed Schedule 1'!$E$103,0)</f>
        <v>0</v>
      </c>
      <c r="J70" s="311">
        <f>IFERROR(H70*'Adjusted Schedule 1'!$E$104,0)</f>
        <v>0</v>
      </c>
      <c r="K70" s="68">
        <f t="shared" si="1"/>
        <v>0</v>
      </c>
      <c r="L70" s="311">
        <f t="shared" si="2"/>
        <v>0</v>
      </c>
      <c r="N70" s="117">
        <f>'As-Filed Schedule 2D'!J70</f>
        <v>0</v>
      </c>
      <c r="O70" s="314">
        <f>SUMIFS(Adjustments!$G:$G,Adjustments!$H:$H,"2D",Adjustments!$I:$I,'Schedule 2D Adjustments'!$N$12,Adjustments!$J:$J,'Schedule 2D Adjustments'!$A70)</f>
        <v>0</v>
      </c>
      <c r="P70" s="310">
        <f t="shared" si="3"/>
        <v>0</v>
      </c>
      <c r="Q70" s="68">
        <f>IFERROR(N70*'As-Filed Schedule 1'!$E$103,0)</f>
        <v>0</v>
      </c>
      <c r="R70" s="68">
        <f>IFERROR(P70*'Adjusted Schedule 1'!$E$104,0)</f>
        <v>0</v>
      </c>
      <c r="S70" s="68">
        <f t="shared" si="4"/>
        <v>0</v>
      </c>
      <c r="T70" s="311">
        <f t="shared" si="5"/>
        <v>0</v>
      </c>
      <c r="V70" s="120">
        <f>'As-Filed Schedule 2D'!N70</f>
        <v>0</v>
      </c>
      <c r="W70" s="314">
        <f>SUMIFS(Adjustments!$G:$G,Adjustments!$H:$H,"2D",Adjustments!$I:$I,'Schedule 2D Adjustments'!$V$12,Adjustments!$J:$J,'Schedule 2D Adjustments'!$A70)</f>
        <v>0</v>
      </c>
      <c r="X70" s="310">
        <f t="shared" si="6"/>
        <v>0</v>
      </c>
      <c r="Y70" s="120">
        <f>'As-Filed Schedule 2D'!O70</f>
        <v>0</v>
      </c>
      <c r="Z70" s="314">
        <f>SUMIFS(Adjustments!$G:$G,Adjustments!$H:$H,"2D",Adjustments!$I:$I,'Schedule 2D Adjustments'!$Y$12,Adjustments!$J:$J,'Schedule 2D Adjustments'!$A70)</f>
        <v>0</v>
      </c>
      <c r="AA70" s="310">
        <f t="shared" si="7"/>
        <v>0</v>
      </c>
    </row>
    <row r="71" spans="1:27" x14ac:dyDescent="0.35">
      <c r="A71" s="24">
        <v>57</v>
      </c>
      <c r="B71" s="513" t="str">
        <f>IF('As-Filed Schedule 2D'!B71:D71=0,"",'As-Filed Schedule 2D'!B71:D71)</f>
        <v/>
      </c>
      <c r="C71" s="513"/>
      <c r="D71" s="513"/>
      <c r="F71" s="117">
        <f>'As-Filed Schedule 2D'!F71</f>
        <v>0</v>
      </c>
      <c r="G71" s="314">
        <f>SUMIFS(Adjustments!$G:$G,Adjustments!$H:$H,"2D",Adjustments!$I:$I,'Schedule 2D Adjustments'!$F$12,Adjustments!$J:$J,'Schedule 2D Adjustments'!$A71)</f>
        <v>0</v>
      </c>
      <c r="H71" s="310">
        <f t="shared" si="0"/>
        <v>0</v>
      </c>
      <c r="I71" s="68">
        <f>IFERROR(F71*'As-Filed Schedule 1'!$E$103,0)</f>
        <v>0</v>
      </c>
      <c r="J71" s="311">
        <f>IFERROR(H71*'Adjusted Schedule 1'!$E$104,0)</f>
        <v>0</v>
      </c>
      <c r="K71" s="68">
        <f t="shared" si="1"/>
        <v>0</v>
      </c>
      <c r="L71" s="311">
        <f t="shared" si="2"/>
        <v>0</v>
      </c>
      <c r="N71" s="117">
        <f>'As-Filed Schedule 2D'!J71</f>
        <v>0</v>
      </c>
      <c r="O71" s="314">
        <f>SUMIFS(Adjustments!$G:$G,Adjustments!$H:$H,"2D",Adjustments!$I:$I,'Schedule 2D Adjustments'!$N$12,Adjustments!$J:$J,'Schedule 2D Adjustments'!$A71)</f>
        <v>0</v>
      </c>
      <c r="P71" s="310">
        <f t="shared" si="3"/>
        <v>0</v>
      </c>
      <c r="Q71" s="68">
        <f>IFERROR(N71*'As-Filed Schedule 1'!$E$103,0)</f>
        <v>0</v>
      </c>
      <c r="R71" s="68">
        <f>IFERROR(P71*'Adjusted Schedule 1'!$E$104,0)</f>
        <v>0</v>
      </c>
      <c r="S71" s="68">
        <f t="shared" si="4"/>
        <v>0</v>
      </c>
      <c r="T71" s="311">
        <f t="shared" si="5"/>
        <v>0</v>
      </c>
      <c r="V71" s="120">
        <f>'As-Filed Schedule 2D'!N71</f>
        <v>0</v>
      </c>
      <c r="W71" s="314">
        <f>SUMIFS(Adjustments!$G:$G,Adjustments!$H:$H,"2D",Adjustments!$I:$I,'Schedule 2D Adjustments'!$V$12,Adjustments!$J:$J,'Schedule 2D Adjustments'!$A71)</f>
        <v>0</v>
      </c>
      <c r="X71" s="310">
        <f t="shared" si="6"/>
        <v>0</v>
      </c>
      <c r="Y71" s="120">
        <f>'As-Filed Schedule 2D'!O71</f>
        <v>0</v>
      </c>
      <c r="Z71" s="314">
        <f>SUMIFS(Adjustments!$G:$G,Adjustments!$H:$H,"2D",Adjustments!$I:$I,'Schedule 2D Adjustments'!$Y$12,Adjustments!$J:$J,'Schedule 2D Adjustments'!$A71)</f>
        <v>0</v>
      </c>
      <c r="AA71" s="310">
        <f t="shared" si="7"/>
        <v>0</v>
      </c>
    </row>
    <row r="72" spans="1:27" x14ac:dyDescent="0.35">
      <c r="A72" s="24">
        <v>58</v>
      </c>
      <c r="B72" s="513" t="str">
        <f>IF('As-Filed Schedule 2D'!B72:D72=0,"",'As-Filed Schedule 2D'!B72:D72)</f>
        <v/>
      </c>
      <c r="C72" s="513"/>
      <c r="D72" s="513"/>
      <c r="F72" s="117">
        <f>'As-Filed Schedule 2D'!F72</f>
        <v>0</v>
      </c>
      <c r="G72" s="314">
        <f>SUMIFS(Adjustments!$G:$G,Adjustments!$H:$H,"2D",Adjustments!$I:$I,'Schedule 2D Adjustments'!$F$12,Adjustments!$J:$J,'Schedule 2D Adjustments'!$A72)</f>
        <v>0</v>
      </c>
      <c r="H72" s="310">
        <f t="shared" si="0"/>
        <v>0</v>
      </c>
      <c r="I72" s="68">
        <f>IFERROR(F72*'As-Filed Schedule 1'!$E$103,0)</f>
        <v>0</v>
      </c>
      <c r="J72" s="311">
        <f>IFERROR(H72*'Adjusted Schedule 1'!$E$104,0)</f>
        <v>0</v>
      </c>
      <c r="K72" s="68">
        <f t="shared" si="1"/>
        <v>0</v>
      </c>
      <c r="L72" s="311">
        <f t="shared" si="2"/>
        <v>0</v>
      </c>
      <c r="N72" s="117">
        <f>'As-Filed Schedule 2D'!J72</f>
        <v>0</v>
      </c>
      <c r="O72" s="314">
        <f>SUMIFS(Adjustments!$G:$G,Adjustments!$H:$H,"2D",Adjustments!$I:$I,'Schedule 2D Adjustments'!$N$12,Adjustments!$J:$J,'Schedule 2D Adjustments'!$A72)</f>
        <v>0</v>
      </c>
      <c r="P72" s="310">
        <f t="shared" si="3"/>
        <v>0</v>
      </c>
      <c r="Q72" s="68">
        <f>IFERROR(N72*'As-Filed Schedule 1'!$E$103,0)</f>
        <v>0</v>
      </c>
      <c r="R72" s="68">
        <f>IFERROR(P72*'Adjusted Schedule 1'!$E$104,0)</f>
        <v>0</v>
      </c>
      <c r="S72" s="68">
        <f t="shared" si="4"/>
        <v>0</v>
      </c>
      <c r="T72" s="311">
        <f t="shared" si="5"/>
        <v>0</v>
      </c>
      <c r="V72" s="120">
        <f>'As-Filed Schedule 2D'!N72</f>
        <v>0</v>
      </c>
      <c r="W72" s="314">
        <f>SUMIFS(Adjustments!$G:$G,Adjustments!$H:$H,"2D",Adjustments!$I:$I,'Schedule 2D Adjustments'!$V$12,Adjustments!$J:$J,'Schedule 2D Adjustments'!$A72)</f>
        <v>0</v>
      </c>
      <c r="X72" s="310">
        <f t="shared" si="6"/>
        <v>0</v>
      </c>
      <c r="Y72" s="120">
        <f>'As-Filed Schedule 2D'!O72</f>
        <v>0</v>
      </c>
      <c r="Z72" s="314">
        <f>SUMIFS(Adjustments!$G:$G,Adjustments!$H:$H,"2D",Adjustments!$I:$I,'Schedule 2D Adjustments'!$Y$12,Adjustments!$J:$J,'Schedule 2D Adjustments'!$A72)</f>
        <v>0</v>
      </c>
      <c r="AA72" s="310">
        <f t="shared" si="7"/>
        <v>0</v>
      </c>
    </row>
    <row r="73" spans="1:27" x14ac:dyDescent="0.35">
      <c r="A73" s="24">
        <v>59</v>
      </c>
      <c r="F73" s="18">
        <f>SUM(F15:F72)</f>
        <v>2417042.6710739257</v>
      </c>
      <c r="G73" s="18">
        <f t="shared" ref="G73:H73" si="8">SUM(G15:G72)</f>
        <v>0</v>
      </c>
      <c r="H73" s="18">
        <f t="shared" si="8"/>
        <v>2417042.6710739257</v>
      </c>
      <c r="I73" s="18">
        <f t="shared" ref="I73:K73" si="9">SUM(I15:I72)</f>
        <v>746099.61006174958</v>
      </c>
      <c r="J73" s="311">
        <f>IFERROR(H73*'Adjusted Schedule 1'!$E$104,0)</f>
        <v>746099.61006174958</v>
      </c>
      <c r="K73" s="18">
        <f t="shared" si="9"/>
        <v>3163142.281135675</v>
      </c>
      <c r="L73" s="312">
        <f t="shared" ref="L73" si="10">SUM(L15:L72)</f>
        <v>3163142.281135675</v>
      </c>
      <c r="N73" s="18">
        <f>SUM(N15:N72)</f>
        <v>0</v>
      </c>
      <c r="O73" s="18">
        <f t="shared" ref="O73:P73" si="11">SUM(O15:O72)</f>
        <v>0</v>
      </c>
      <c r="P73" s="18">
        <f t="shared" si="11"/>
        <v>0</v>
      </c>
      <c r="Q73" s="18">
        <f t="shared" ref="Q73:S73" si="12">SUM(Q15:Q72)</f>
        <v>0</v>
      </c>
      <c r="R73" s="18">
        <f t="shared" si="12"/>
        <v>0</v>
      </c>
      <c r="S73" s="18">
        <f t="shared" si="12"/>
        <v>0</v>
      </c>
      <c r="T73" s="312">
        <f t="shared" ref="T73" si="13">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462</v>
      </c>
      <c r="F75" s="75">
        <f>K73+S73</f>
        <v>3163142.281135675</v>
      </c>
      <c r="G75"/>
      <c r="H75" s="75">
        <f>L73+T73</f>
        <v>3163142.281135675</v>
      </c>
      <c r="I75" s="74"/>
      <c r="J75" s="326"/>
      <c r="K75" s="74"/>
      <c r="L75" s="326"/>
      <c r="M75" s="74"/>
      <c r="N75" s="74"/>
      <c r="O75" s="333"/>
      <c r="P75" s="326"/>
      <c r="Q75" s="74"/>
      <c r="R75" s="326"/>
      <c r="T75" s="328"/>
      <c r="W75" s="331"/>
      <c r="X75" s="328"/>
      <c r="Z75" s="331"/>
      <c r="AA75" s="328"/>
    </row>
  </sheetData>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B19:D19"/>
    <mergeCell ref="A3:K3"/>
    <mergeCell ref="B12:D12"/>
    <mergeCell ref="B13:D14"/>
    <mergeCell ref="Y13:Y14"/>
    <mergeCell ref="B15:D15"/>
    <mergeCell ref="B16:D16"/>
    <mergeCell ref="B17:D17"/>
    <mergeCell ref="B18:D18"/>
    <mergeCell ref="V13:V14"/>
    <mergeCell ref="W13:W14"/>
    <mergeCell ref="X13:X14"/>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9:D69"/>
    <mergeCell ref="B70:D70"/>
    <mergeCell ref="B71:D71"/>
    <mergeCell ref="B72:D72"/>
    <mergeCell ref="B67:D67"/>
    <mergeCell ref="Z13:Z14"/>
    <mergeCell ref="AA13:AA14"/>
    <mergeCell ref="F13:L13"/>
    <mergeCell ref="N13:T13"/>
    <mergeCell ref="B68:D68"/>
    <mergeCell ref="B56:D56"/>
    <mergeCell ref="B57:D57"/>
    <mergeCell ref="B58:D58"/>
    <mergeCell ref="B59:D59"/>
    <mergeCell ref="B60:D60"/>
    <mergeCell ref="B61:D61"/>
    <mergeCell ref="B62:D62"/>
    <mergeCell ref="B63:D63"/>
    <mergeCell ref="B64:D64"/>
    <mergeCell ref="B65:D65"/>
    <mergeCell ref="B66:D66"/>
  </mergeCells>
  <pageMargins left="0.7" right="0.7" top="0.75" bottom="0.75" header="0.3" footer="0.3"/>
  <pageSetup orientation="portrait" horizontalDpi="1200" verticalDpi="1200"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5"/>
  <dimension ref="A1:AA75"/>
  <sheetViews>
    <sheetView workbookViewId="0"/>
  </sheetViews>
  <sheetFormatPr defaultColWidth="9.1796875" defaultRowHeight="14.5" x14ac:dyDescent="0.35"/>
  <cols>
    <col min="1" max="1" width="9.54296875" customWidth="1"/>
    <col min="2" max="2" width="20.81640625" customWidth="1"/>
    <col min="3" max="3" width="22.81640625" customWidth="1"/>
    <col min="4" max="4" width="22.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494" t="s">
        <v>839</v>
      </c>
      <c r="B3" s="494"/>
      <c r="C3" s="494"/>
      <c r="D3" s="494"/>
      <c r="E3" s="494"/>
      <c r="F3" s="494"/>
      <c r="G3" s="494"/>
      <c r="H3" s="494"/>
      <c r="I3" s="494"/>
      <c r="J3" s="494"/>
      <c r="K3" s="494"/>
      <c r="L3" s="322"/>
    </row>
    <row r="5" spans="1:27" x14ac:dyDescent="0.35">
      <c r="A5" s="1" t="s">
        <v>773</v>
      </c>
      <c r="C5" s="421" t="str">
        <f>Results!$C$6</f>
        <v>Health Solutions</v>
      </c>
    </row>
    <row r="6" spans="1:27" x14ac:dyDescent="0.35">
      <c r="A6" s="1" t="s">
        <v>0</v>
      </c>
      <c r="C6" s="35">
        <f>Results!$C$7</f>
        <v>45473</v>
      </c>
      <c r="F6" s="35"/>
      <c r="G6" s="320"/>
      <c r="H6" s="60"/>
    </row>
    <row r="8" spans="1:27" x14ac:dyDescent="0.35">
      <c r="A8" s="1" t="s">
        <v>253</v>
      </c>
      <c r="B8" s="1" t="s">
        <v>810</v>
      </c>
      <c r="C8" s="1"/>
      <c r="F8" s="119" t="str">
        <f>'As-Filed Schedule 2E'!F8</f>
        <v>Yes/No</v>
      </c>
      <c r="G8" s="41" t="s">
        <v>259</v>
      </c>
    </row>
    <row r="10" spans="1:27" x14ac:dyDescent="0.35">
      <c r="A10" s="1" t="s">
        <v>254</v>
      </c>
      <c r="B10" s="1" t="s">
        <v>256</v>
      </c>
      <c r="C10" s="1"/>
    </row>
    <row r="12" spans="1:27" x14ac:dyDescent="0.35">
      <c r="B12" s="508">
        <v>1</v>
      </c>
      <c r="C12" s="508"/>
      <c r="D12" s="508"/>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09" t="s">
        <v>255</v>
      </c>
      <c r="C13" s="509"/>
      <c r="D13" s="509"/>
      <c r="F13" s="511" t="s">
        <v>261</v>
      </c>
      <c r="G13" s="516"/>
      <c r="H13" s="516"/>
      <c r="I13" s="516"/>
      <c r="J13" s="516"/>
      <c r="K13" s="516"/>
      <c r="L13" s="512"/>
      <c r="N13" s="511" t="s">
        <v>262</v>
      </c>
      <c r="O13" s="516"/>
      <c r="P13" s="516"/>
      <c r="Q13" s="516"/>
      <c r="R13" s="516"/>
      <c r="S13" s="516"/>
      <c r="T13" s="512"/>
      <c r="V13" s="510" t="s">
        <v>250</v>
      </c>
      <c r="W13" s="568" t="s">
        <v>620</v>
      </c>
      <c r="X13" s="569" t="s">
        <v>621</v>
      </c>
      <c r="Y13" s="510" t="s">
        <v>312</v>
      </c>
      <c r="Z13" s="568" t="s">
        <v>630</v>
      </c>
      <c r="AA13" s="569" t="s">
        <v>631</v>
      </c>
    </row>
    <row r="14" spans="1:27" ht="55.5" customHeight="1" x14ac:dyDescent="0.35">
      <c r="B14" s="509"/>
      <c r="C14" s="509"/>
      <c r="D14" s="509"/>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0"/>
      <c r="W14" s="568"/>
      <c r="X14" s="569"/>
      <c r="Y14" s="510"/>
      <c r="Z14" s="568"/>
      <c r="AA14" s="569"/>
    </row>
    <row r="15" spans="1:27" x14ac:dyDescent="0.35">
      <c r="A15" s="24">
        <v>1</v>
      </c>
      <c r="B15" s="513" t="str">
        <f>IF('As-Filed Schedule 2E'!B15:D15=0,"",'As-Filed Schedule 2E'!B15:D15)</f>
        <v/>
      </c>
      <c r="C15" s="513"/>
      <c r="D15" s="513"/>
      <c r="F15" s="117">
        <f>'As-Filed Schedule 2E'!F15</f>
        <v>0</v>
      </c>
      <c r="G15" s="314">
        <f>SUMIFS(Adjustments!$G:$G,Adjustments!$H:$H,"2E",Adjustments!$I:$I,'Schedule 2E Adjustments'!$F$12,Adjustments!$J:$J,'Schedule 2E Adjustments'!$A15)</f>
        <v>0</v>
      </c>
      <c r="H15" s="310">
        <f>SUM(F15:G15)</f>
        <v>0</v>
      </c>
      <c r="I15" s="68">
        <f>IFERROR(F15*'As-Filed Schedule 1'!$E$103,0)</f>
        <v>0</v>
      </c>
      <c r="J15" s="311">
        <f>IFERROR(H15*'Adjusted Schedule 1'!$E$104,0)</f>
        <v>0</v>
      </c>
      <c r="K15" s="68">
        <f>SUM(F15,I15)</f>
        <v>0</v>
      </c>
      <c r="L15" s="311">
        <f>SUM(H15,J15)</f>
        <v>0</v>
      </c>
      <c r="N15" s="117">
        <f>'As-Filed Schedule 2E'!J15</f>
        <v>0</v>
      </c>
      <c r="O15" s="314">
        <f>SUMIFS(Adjustments!$G:$G,Adjustments!$H:$H,"2E",Adjustments!$I:$I,'Schedule 2E Adjustments'!$N$12,Adjustments!$J:$J,'Schedule 2E Adjustments'!$A15)</f>
        <v>0</v>
      </c>
      <c r="P15" s="310">
        <f>SUM(N15:O15)</f>
        <v>0</v>
      </c>
      <c r="Q15" s="68">
        <f>IFERROR(N15*'As-Filed Schedule 1'!$E$103,0)</f>
        <v>0</v>
      </c>
      <c r="R15" s="68">
        <f>IFERROR(P15*'Adjusted Schedule 1'!$E$104,0)</f>
        <v>0</v>
      </c>
      <c r="S15" s="68">
        <f>SUM(N15,Q15)</f>
        <v>0</v>
      </c>
      <c r="T15" s="311">
        <f>SUM(P15,R15)</f>
        <v>0</v>
      </c>
      <c r="V15" s="120">
        <f>'As-Filed Schedule 2E'!N15</f>
        <v>0</v>
      </c>
      <c r="W15" s="314">
        <f>SUMIFS(Adjustments!$G:$G,Adjustments!$H:$H,"2E",Adjustments!$I:$I,'Schedule 2E Adjustments'!$V$12,Adjustments!$J:$J,'Schedule 2E Adjustments'!$A15)</f>
        <v>0</v>
      </c>
      <c r="X15" s="310">
        <f>SUM(V15:W15)</f>
        <v>0</v>
      </c>
      <c r="Y15" s="120">
        <f>'As-Filed Schedule 2E'!O15</f>
        <v>0</v>
      </c>
      <c r="Z15" s="314">
        <f>SUMIFS(Adjustments!$G:$G,Adjustments!$H:$H,"2E",Adjustments!$I:$I,'Schedule 2E Adjustments'!$Y$12,Adjustments!$J:$J,'Schedule 2E Adjustments'!$A15)</f>
        <v>0</v>
      </c>
      <c r="AA15" s="310">
        <f>SUM(Y15:Z15)</f>
        <v>0</v>
      </c>
    </row>
    <row r="16" spans="1:27" x14ac:dyDescent="0.35">
      <c r="A16" s="24">
        <v>2</v>
      </c>
      <c r="B16" s="513" t="str">
        <f>IF('As-Filed Schedule 2E'!B16:D16=0,"",'As-Filed Schedule 2E'!B16:D16)</f>
        <v/>
      </c>
      <c r="C16" s="513"/>
      <c r="D16" s="513"/>
      <c r="F16" s="117">
        <f>'As-Filed Schedule 2E'!F16</f>
        <v>0</v>
      </c>
      <c r="G16" s="314">
        <f>SUMIFS(Adjustments!$G:$G,Adjustments!$H:$H,"2E",Adjustments!$I:$I,'Schedule 2E Adjustments'!$F$12,Adjustments!$J:$J,'Schedule 2E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2E'!J16</f>
        <v>0</v>
      </c>
      <c r="O16" s="314">
        <f>SUMIFS(Adjustments!$G:$G,Adjustments!$H:$H,"2E",Adjustments!$I:$I,'Schedule 2E Adjustments'!$N$12,Adjustments!$J:$J,'Schedule 2E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2E'!N16</f>
        <v>0</v>
      </c>
      <c r="W16" s="314">
        <f>SUMIFS(Adjustments!$G:$G,Adjustments!$H:$H,"2E",Adjustments!$I:$I,'Schedule 2E Adjustments'!$V$12,Adjustments!$J:$J,'Schedule 2E Adjustments'!$A16)</f>
        <v>0</v>
      </c>
      <c r="X16" s="310">
        <f t="shared" ref="X16:X72" si="6">SUM(V16:W16)</f>
        <v>0</v>
      </c>
      <c r="Y16" s="120">
        <f>'As-Filed Schedule 2E'!O16</f>
        <v>0</v>
      </c>
      <c r="Z16" s="314">
        <f>SUMIFS(Adjustments!$G:$G,Adjustments!$H:$H,"2E",Adjustments!$I:$I,'Schedule 2E Adjustments'!$Y$12,Adjustments!$J:$J,'Schedule 2E Adjustments'!$A16)</f>
        <v>0</v>
      </c>
      <c r="AA16" s="310">
        <f t="shared" ref="AA16:AA72" si="7">SUM(Y16:Z16)</f>
        <v>0</v>
      </c>
    </row>
    <row r="17" spans="1:27" x14ac:dyDescent="0.35">
      <c r="A17" s="24">
        <v>3</v>
      </c>
      <c r="B17" s="513" t="str">
        <f>IF('As-Filed Schedule 2E'!B17:D17=0,"",'As-Filed Schedule 2E'!B17:D17)</f>
        <v/>
      </c>
      <c r="C17" s="513"/>
      <c r="D17" s="513"/>
      <c r="F17" s="117">
        <f>'As-Filed Schedule 2E'!F17</f>
        <v>0</v>
      </c>
      <c r="G17" s="314">
        <f>SUMIFS(Adjustments!$G:$G,Adjustments!$H:$H,"2E",Adjustments!$I:$I,'Schedule 2E Adjustments'!$F$12,Adjustments!$J:$J,'Schedule 2E Adjustments'!$A17)</f>
        <v>0</v>
      </c>
      <c r="H17" s="310">
        <f t="shared" si="0"/>
        <v>0</v>
      </c>
      <c r="I17" s="68">
        <f>IFERROR(F17*'As-Filed Schedule 1'!$E$103,0)</f>
        <v>0</v>
      </c>
      <c r="J17" s="311">
        <f>IFERROR(H17*'Adjusted Schedule 1'!$E$104,0)</f>
        <v>0</v>
      </c>
      <c r="K17" s="68">
        <f t="shared" si="1"/>
        <v>0</v>
      </c>
      <c r="L17" s="311">
        <f t="shared" si="2"/>
        <v>0</v>
      </c>
      <c r="N17" s="117">
        <f>'As-Filed Schedule 2E'!J17</f>
        <v>0</v>
      </c>
      <c r="O17" s="314">
        <f>SUMIFS(Adjustments!$G:$G,Adjustments!$H:$H,"2E",Adjustments!$I:$I,'Schedule 2E Adjustments'!$N$12,Adjustments!$J:$J,'Schedule 2E Adjustments'!$A17)</f>
        <v>0</v>
      </c>
      <c r="P17" s="310">
        <f t="shared" si="3"/>
        <v>0</v>
      </c>
      <c r="Q17" s="68">
        <f>IFERROR(N17*'As-Filed Schedule 1'!$E$103,0)</f>
        <v>0</v>
      </c>
      <c r="R17" s="68">
        <f>IFERROR(P17*'Adjusted Schedule 1'!$E$104,0)</f>
        <v>0</v>
      </c>
      <c r="S17" s="68">
        <f t="shared" si="4"/>
        <v>0</v>
      </c>
      <c r="T17" s="311">
        <f t="shared" si="5"/>
        <v>0</v>
      </c>
      <c r="V17" s="120">
        <f>'As-Filed Schedule 2E'!N17</f>
        <v>0</v>
      </c>
      <c r="W17" s="314">
        <f>SUMIFS(Adjustments!$G:$G,Adjustments!$H:$H,"2E",Adjustments!$I:$I,'Schedule 2E Adjustments'!$V$12,Adjustments!$J:$J,'Schedule 2E Adjustments'!$A17)</f>
        <v>0</v>
      </c>
      <c r="X17" s="310">
        <f t="shared" si="6"/>
        <v>0</v>
      </c>
      <c r="Y17" s="120">
        <f>'As-Filed Schedule 2E'!O17</f>
        <v>0</v>
      </c>
      <c r="Z17" s="314">
        <f>SUMIFS(Adjustments!$G:$G,Adjustments!$H:$H,"2E",Adjustments!$I:$I,'Schedule 2E Adjustments'!$Y$12,Adjustments!$J:$J,'Schedule 2E Adjustments'!$A17)</f>
        <v>0</v>
      </c>
      <c r="AA17" s="310">
        <f t="shared" si="7"/>
        <v>0</v>
      </c>
    </row>
    <row r="18" spans="1:27" x14ac:dyDescent="0.35">
      <c r="A18" s="24">
        <v>4</v>
      </c>
      <c r="B18" s="513" t="str">
        <f>IF('As-Filed Schedule 2E'!B18:D18=0,"",'As-Filed Schedule 2E'!B18:D18)</f>
        <v/>
      </c>
      <c r="C18" s="513"/>
      <c r="D18" s="513"/>
      <c r="F18" s="117">
        <f>'As-Filed Schedule 2E'!F18</f>
        <v>0</v>
      </c>
      <c r="G18" s="314">
        <f>SUMIFS(Adjustments!$G:$G,Adjustments!$H:$H,"2E",Adjustments!$I:$I,'Schedule 2E Adjustments'!$F$12,Adjustments!$J:$J,'Schedule 2E Adjustments'!$A18)</f>
        <v>0</v>
      </c>
      <c r="H18" s="310">
        <f t="shared" si="0"/>
        <v>0</v>
      </c>
      <c r="I18" s="68">
        <f>IFERROR(F18*'As-Filed Schedule 1'!$E$103,0)</f>
        <v>0</v>
      </c>
      <c r="J18" s="311">
        <f>IFERROR(H18*'Adjusted Schedule 1'!$E$104,0)</f>
        <v>0</v>
      </c>
      <c r="K18" s="68">
        <f>SUM(F18,I18)</f>
        <v>0</v>
      </c>
      <c r="L18" s="311">
        <f>SUM(H18,J18)</f>
        <v>0</v>
      </c>
      <c r="N18" s="117">
        <f>'As-Filed Schedule 2E'!J18</f>
        <v>0</v>
      </c>
      <c r="O18" s="314">
        <f>SUMIFS(Adjustments!$G:$G,Adjustments!$H:$H,"2E",Adjustments!$I:$I,'Schedule 2E Adjustments'!$N$12,Adjustments!$J:$J,'Schedule 2E Adjustments'!$A18)</f>
        <v>0</v>
      </c>
      <c r="P18" s="310">
        <f t="shared" si="3"/>
        <v>0</v>
      </c>
      <c r="Q18" s="68">
        <f>IFERROR(N18*'As-Filed Schedule 1'!$E$103,0)</f>
        <v>0</v>
      </c>
      <c r="R18" s="68">
        <f>IFERROR(P18*'Adjusted Schedule 1'!$E$104,0)</f>
        <v>0</v>
      </c>
      <c r="S18" s="68">
        <f t="shared" si="4"/>
        <v>0</v>
      </c>
      <c r="T18" s="311">
        <f t="shared" si="5"/>
        <v>0</v>
      </c>
      <c r="V18" s="120">
        <f>'As-Filed Schedule 2E'!N18</f>
        <v>0</v>
      </c>
      <c r="W18" s="314">
        <f>SUMIFS(Adjustments!$G:$G,Adjustments!$H:$H,"2E",Adjustments!$I:$I,'Schedule 2E Adjustments'!$V$12,Adjustments!$J:$J,'Schedule 2E Adjustments'!$A18)</f>
        <v>0</v>
      </c>
      <c r="X18" s="310">
        <f t="shared" si="6"/>
        <v>0</v>
      </c>
      <c r="Y18" s="120">
        <f>'As-Filed Schedule 2E'!O18</f>
        <v>0</v>
      </c>
      <c r="Z18" s="314">
        <f>SUMIFS(Adjustments!$G:$G,Adjustments!$H:$H,"2E",Adjustments!$I:$I,'Schedule 2E Adjustments'!$Y$12,Adjustments!$J:$J,'Schedule 2E Adjustments'!$A18)</f>
        <v>0</v>
      </c>
      <c r="AA18" s="310">
        <f t="shared" si="7"/>
        <v>0</v>
      </c>
    </row>
    <row r="19" spans="1:27" x14ac:dyDescent="0.35">
      <c r="A19" s="24">
        <v>5</v>
      </c>
      <c r="B19" s="513" t="str">
        <f>IF('As-Filed Schedule 2E'!B19:D19=0,"",'As-Filed Schedule 2E'!B19:D19)</f>
        <v/>
      </c>
      <c r="C19" s="513"/>
      <c r="D19" s="513"/>
      <c r="F19" s="117">
        <f>'As-Filed Schedule 2E'!F19</f>
        <v>0</v>
      </c>
      <c r="G19" s="314">
        <f>SUMIFS(Adjustments!$G:$G,Adjustments!$H:$H,"2E",Adjustments!$I:$I,'Schedule 2E Adjustments'!$F$12,Adjustments!$J:$J,'Schedule 2E Adjustments'!$A19)</f>
        <v>0</v>
      </c>
      <c r="H19" s="310">
        <f t="shared" si="0"/>
        <v>0</v>
      </c>
      <c r="I19" s="68">
        <f>IFERROR(F19*'As-Filed Schedule 1'!$E$103,0)</f>
        <v>0</v>
      </c>
      <c r="J19" s="311">
        <f>IFERROR(H19*'Adjusted Schedule 1'!$E$104,0)</f>
        <v>0</v>
      </c>
      <c r="K19" s="68">
        <f t="shared" si="1"/>
        <v>0</v>
      </c>
      <c r="L19" s="311">
        <f>SUM(H19,J19)</f>
        <v>0</v>
      </c>
      <c r="N19" s="117">
        <f>'As-Filed Schedule 2E'!J19</f>
        <v>0</v>
      </c>
      <c r="O19" s="314">
        <f>SUMIFS(Adjustments!$G:$G,Adjustments!$H:$H,"2E",Adjustments!$I:$I,'Schedule 2E Adjustments'!$N$12,Adjustments!$J:$J,'Schedule 2E Adjustments'!$A19)</f>
        <v>0</v>
      </c>
      <c r="P19" s="310">
        <f t="shared" si="3"/>
        <v>0</v>
      </c>
      <c r="Q19" s="68">
        <f>IFERROR(N19*'As-Filed Schedule 1'!$E$103,0)</f>
        <v>0</v>
      </c>
      <c r="R19" s="68">
        <f>IFERROR(P19*'Adjusted Schedule 1'!$E$104,0)</f>
        <v>0</v>
      </c>
      <c r="S19" s="68">
        <f t="shared" si="4"/>
        <v>0</v>
      </c>
      <c r="T19" s="311">
        <f t="shared" si="5"/>
        <v>0</v>
      </c>
      <c r="V19" s="120">
        <f>'As-Filed Schedule 2E'!N19</f>
        <v>0</v>
      </c>
      <c r="W19" s="314">
        <f>SUMIFS(Adjustments!$G:$G,Adjustments!$H:$H,"2E",Adjustments!$I:$I,'Schedule 2E Adjustments'!$V$12,Adjustments!$J:$J,'Schedule 2E Adjustments'!$A19)</f>
        <v>0</v>
      </c>
      <c r="X19" s="310">
        <f t="shared" si="6"/>
        <v>0</v>
      </c>
      <c r="Y19" s="120">
        <f>'As-Filed Schedule 2E'!O19</f>
        <v>0</v>
      </c>
      <c r="Z19" s="314">
        <f>SUMIFS(Adjustments!$G:$G,Adjustments!$H:$H,"2E",Adjustments!$I:$I,'Schedule 2E Adjustments'!$Y$12,Adjustments!$J:$J,'Schedule 2E Adjustments'!$A19)</f>
        <v>0</v>
      </c>
      <c r="AA19" s="310">
        <f t="shared" si="7"/>
        <v>0</v>
      </c>
    </row>
    <row r="20" spans="1:27" x14ac:dyDescent="0.35">
      <c r="A20" s="24">
        <v>6</v>
      </c>
      <c r="B20" s="513" t="str">
        <f>IF('As-Filed Schedule 2E'!B20:D20=0,"",'As-Filed Schedule 2E'!B20:D20)</f>
        <v/>
      </c>
      <c r="C20" s="513"/>
      <c r="D20" s="513"/>
      <c r="F20" s="117">
        <f>'As-Filed Schedule 2E'!F20</f>
        <v>0</v>
      </c>
      <c r="G20" s="314">
        <f>SUMIFS(Adjustments!$G:$G,Adjustments!$H:$H,"2E",Adjustments!$I:$I,'Schedule 2E Adjustments'!$F$12,Adjustments!$J:$J,'Schedule 2E Adjustments'!$A20)</f>
        <v>0</v>
      </c>
      <c r="H20" s="310">
        <f t="shared" si="0"/>
        <v>0</v>
      </c>
      <c r="I20" s="68">
        <f>IFERROR(F20*'As-Filed Schedule 1'!$E$103,0)</f>
        <v>0</v>
      </c>
      <c r="J20" s="311">
        <f>IFERROR(H20*'Adjusted Schedule 1'!$E$104,0)</f>
        <v>0</v>
      </c>
      <c r="K20" s="68">
        <f>SUM(F20,I20)</f>
        <v>0</v>
      </c>
      <c r="L20" s="311">
        <f t="shared" si="2"/>
        <v>0</v>
      </c>
      <c r="N20" s="117">
        <f>'As-Filed Schedule 2E'!J20</f>
        <v>0</v>
      </c>
      <c r="O20" s="314">
        <f>SUMIFS(Adjustments!$G:$G,Adjustments!$H:$H,"2E",Adjustments!$I:$I,'Schedule 2E Adjustments'!$N$12,Adjustments!$J:$J,'Schedule 2E Adjustments'!$A20)</f>
        <v>0</v>
      </c>
      <c r="P20" s="310">
        <f t="shared" si="3"/>
        <v>0</v>
      </c>
      <c r="Q20" s="68">
        <f>IFERROR(N20*'As-Filed Schedule 1'!$E$103,0)</f>
        <v>0</v>
      </c>
      <c r="R20" s="68">
        <f>IFERROR(P20*'Adjusted Schedule 1'!$E$104,0)</f>
        <v>0</v>
      </c>
      <c r="S20" s="68">
        <f t="shared" si="4"/>
        <v>0</v>
      </c>
      <c r="T20" s="311">
        <f t="shared" si="5"/>
        <v>0</v>
      </c>
      <c r="V20" s="120">
        <f>'As-Filed Schedule 2E'!N20</f>
        <v>0</v>
      </c>
      <c r="W20" s="314">
        <f>SUMIFS(Adjustments!$G:$G,Adjustments!$H:$H,"2E",Adjustments!$I:$I,'Schedule 2E Adjustments'!$V$12,Adjustments!$J:$J,'Schedule 2E Adjustments'!$A20)</f>
        <v>0</v>
      </c>
      <c r="X20" s="310">
        <f t="shared" si="6"/>
        <v>0</v>
      </c>
      <c r="Y20" s="120">
        <f>'As-Filed Schedule 2E'!O20</f>
        <v>0</v>
      </c>
      <c r="Z20" s="314">
        <f>SUMIFS(Adjustments!$G:$G,Adjustments!$H:$H,"2E",Adjustments!$I:$I,'Schedule 2E Adjustments'!$Y$12,Adjustments!$J:$J,'Schedule 2E Adjustments'!$A20)</f>
        <v>0</v>
      </c>
      <c r="AA20" s="310">
        <f t="shared" si="7"/>
        <v>0</v>
      </c>
    </row>
    <row r="21" spans="1:27" x14ac:dyDescent="0.35">
      <c r="A21" s="24">
        <v>7</v>
      </c>
      <c r="B21" s="513" t="str">
        <f>IF('As-Filed Schedule 2E'!B21:D21=0,"",'As-Filed Schedule 2E'!B21:D21)</f>
        <v/>
      </c>
      <c r="C21" s="513"/>
      <c r="D21" s="513"/>
      <c r="F21" s="117">
        <f>'As-Filed Schedule 2E'!F21</f>
        <v>0</v>
      </c>
      <c r="G21" s="314">
        <f>SUMIFS(Adjustments!$G:$G,Adjustments!$H:$H,"2E",Adjustments!$I:$I,'Schedule 2E Adjustments'!$F$12,Adjustments!$J:$J,'Schedule 2E Adjustments'!$A21)</f>
        <v>0</v>
      </c>
      <c r="H21" s="310">
        <f t="shared" si="0"/>
        <v>0</v>
      </c>
      <c r="I21" s="68">
        <f>IFERROR(F21*'As-Filed Schedule 1'!$E$103,0)</f>
        <v>0</v>
      </c>
      <c r="J21" s="311">
        <f>IFERROR(H21*'Adjusted Schedule 1'!$E$104,0)</f>
        <v>0</v>
      </c>
      <c r="K21" s="68">
        <f t="shared" si="1"/>
        <v>0</v>
      </c>
      <c r="L21" s="311">
        <f t="shared" si="2"/>
        <v>0</v>
      </c>
      <c r="N21" s="117">
        <f>'As-Filed Schedule 2E'!J21</f>
        <v>0</v>
      </c>
      <c r="O21" s="314">
        <f>SUMIFS(Adjustments!$G:$G,Adjustments!$H:$H,"2E",Adjustments!$I:$I,'Schedule 2E Adjustments'!$N$12,Adjustments!$J:$J,'Schedule 2E Adjustments'!$A21)</f>
        <v>0</v>
      </c>
      <c r="P21" s="310">
        <f t="shared" si="3"/>
        <v>0</v>
      </c>
      <c r="Q21" s="68">
        <f>IFERROR(N21*'As-Filed Schedule 1'!$E$103,0)</f>
        <v>0</v>
      </c>
      <c r="R21" s="68">
        <f>IFERROR(P21*'Adjusted Schedule 1'!$E$104,0)</f>
        <v>0</v>
      </c>
      <c r="S21" s="68">
        <f>SUM(N21,Q21)</f>
        <v>0</v>
      </c>
      <c r="T21" s="311">
        <f>SUM(P21,R21)</f>
        <v>0</v>
      </c>
      <c r="V21" s="120">
        <f>'As-Filed Schedule 2E'!N21</f>
        <v>0</v>
      </c>
      <c r="W21" s="314">
        <f>SUMIFS(Adjustments!$G:$G,Adjustments!$H:$H,"2E",Adjustments!$I:$I,'Schedule 2E Adjustments'!$V$12,Adjustments!$J:$J,'Schedule 2E Adjustments'!$A21)</f>
        <v>0</v>
      </c>
      <c r="X21" s="310">
        <f t="shared" si="6"/>
        <v>0</v>
      </c>
      <c r="Y21" s="120">
        <f>'As-Filed Schedule 2E'!O21</f>
        <v>0</v>
      </c>
      <c r="Z21" s="314">
        <f>SUMIFS(Adjustments!$G:$G,Adjustments!$H:$H,"2E",Adjustments!$I:$I,'Schedule 2E Adjustments'!$Y$12,Adjustments!$J:$J,'Schedule 2E Adjustments'!$A21)</f>
        <v>0</v>
      </c>
      <c r="AA21" s="310">
        <f t="shared" si="7"/>
        <v>0</v>
      </c>
    </row>
    <row r="22" spans="1:27" x14ac:dyDescent="0.35">
      <c r="A22" s="24">
        <v>8</v>
      </c>
      <c r="B22" s="513" t="str">
        <f>IF('As-Filed Schedule 2E'!B22:D22=0,"",'As-Filed Schedule 2E'!B22:D22)</f>
        <v/>
      </c>
      <c r="C22" s="513"/>
      <c r="D22" s="513"/>
      <c r="F22" s="117">
        <f>'As-Filed Schedule 2E'!F22</f>
        <v>0</v>
      </c>
      <c r="G22" s="314">
        <f>SUMIFS(Adjustments!$G:$G,Adjustments!$H:$H,"2E",Adjustments!$I:$I,'Schedule 2E Adjustments'!$F$12,Adjustments!$J:$J,'Schedule 2E Adjustments'!$A22)</f>
        <v>0</v>
      </c>
      <c r="H22" s="310">
        <f t="shared" si="0"/>
        <v>0</v>
      </c>
      <c r="I22" s="68">
        <f>IFERROR(F22*'As-Filed Schedule 1'!$E$103,0)</f>
        <v>0</v>
      </c>
      <c r="J22" s="311">
        <f>IFERROR(H22*'Adjusted Schedule 1'!$E$104,0)</f>
        <v>0</v>
      </c>
      <c r="K22" s="68">
        <f t="shared" si="1"/>
        <v>0</v>
      </c>
      <c r="L22" s="311">
        <f t="shared" si="2"/>
        <v>0</v>
      </c>
      <c r="N22" s="117">
        <f>'As-Filed Schedule 2E'!J22</f>
        <v>0</v>
      </c>
      <c r="O22" s="314">
        <f>SUMIFS(Adjustments!$G:$G,Adjustments!$H:$H,"2E",Adjustments!$I:$I,'Schedule 2E Adjustments'!$N$12,Adjustments!$J:$J,'Schedule 2E Adjustments'!$A22)</f>
        <v>0</v>
      </c>
      <c r="P22" s="310">
        <f t="shared" si="3"/>
        <v>0</v>
      </c>
      <c r="Q22" s="68">
        <f>IFERROR(N22*'As-Filed Schedule 1'!$E$103,0)</f>
        <v>0</v>
      </c>
      <c r="R22" s="68">
        <f>IFERROR(P22*'Adjusted Schedule 1'!$E$104,0)</f>
        <v>0</v>
      </c>
      <c r="S22" s="68">
        <f t="shared" si="4"/>
        <v>0</v>
      </c>
      <c r="T22" s="311">
        <f t="shared" si="5"/>
        <v>0</v>
      </c>
      <c r="V22" s="120">
        <f>'As-Filed Schedule 2E'!N22</f>
        <v>0</v>
      </c>
      <c r="W22" s="314">
        <f>SUMIFS(Adjustments!$G:$G,Adjustments!$H:$H,"2E",Adjustments!$I:$I,'Schedule 2E Adjustments'!$V$12,Adjustments!$J:$J,'Schedule 2E Adjustments'!$A22)</f>
        <v>0</v>
      </c>
      <c r="X22" s="310">
        <f t="shared" si="6"/>
        <v>0</v>
      </c>
      <c r="Y22" s="120">
        <f>'As-Filed Schedule 2E'!O22</f>
        <v>0</v>
      </c>
      <c r="Z22" s="314">
        <f>SUMIFS(Adjustments!$G:$G,Adjustments!$H:$H,"2E",Adjustments!$I:$I,'Schedule 2E Adjustments'!$Y$12,Adjustments!$J:$J,'Schedule 2E Adjustments'!$A22)</f>
        <v>0</v>
      </c>
      <c r="AA22" s="310">
        <f t="shared" si="7"/>
        <v>0</v>
      </c>
    </row>
    <row r="23" spans="1:27" x14ac:dyDescent="0.35">
      <c r="A23" s="24">
        <v>9</v>
      </c>
      <c r="B23" s="513" t="str">
        <f>IF('As-Filed Schedule 2E'!B23:D23=0,"",'As-Filed Schedule 2E'!B23:D23)</f>
        <v/>
      </c>
      <c r="C23" s="513"/>
      <c r="D23" s="513"/>
      <c r="F23" s="117">
        <f>'As-Filed Schedule 2E'!F23</f>
        <v>0</v>
      </c>
      <c r="G23" s="314">
        <f>SUMIFS(Adjustments!$G:$G,Adjustments!$H:$H,"2E",Adjustments!$I:$I,'Schedule 2E Adjustments'!$F$12,Adjustments!$J:$J,'Schedule 2E Adjustments'!$A23)</f>
        <v>0</v>
      </c>
      <c r="H23" s="310">
        <f t="shared" si="0"/>
        <v>0</v>
      </c>
      <c r="I23" s="68">
        <f>IFERROR(F23*'As-Filed Schedule 1'!$E$103,0)</f>
        <v>0</v>
      </c>
      <c r="J23" s="311">
        <f>IFERROR(H23*'Adjusted Schedule 1'!$E$104,0)</f>
        <v>0</v>
      </c>
      <c r="K23" s="68">
        <f t="shared" si="1"/>
        <v>0</v>
      </c>
      <c r="L23" s="311">
        <f t="shared" si="2"/>
        <v>0</v>
      </c>
      <c r="N23" s="117">
        <f>'As-Filed Schedule 2E'!J23</f>
        <v>0</v>
      </c>
      <c r="O23" s="314">
        <f>SUMIFS(Adjustments!$G:$G,Adjustments!$H:$H,"2E",Adjustments!$I:$I,'Schedule 2E Adjustments'!$N$12,Adjustments!$J:$J,'Schedule 2E Adjustments'!$A23)</f>
        <v>0</v>
      </c>
      <c r="P23" s="310">
        <f t="shared" si="3"/>
        <v>0</v>
      </c>
      <c r="Q23" s="68">
        <f>IFERROR(N23*'As-Filed Schedule 1'!$E$103,0)</f>
        <v>0</v>
      </c>
      <c r="R23" s="68">
        <f>IFERROR(P23*'Adjusted Schedule 1'!$E$104,0)</f>
        <v>0</v>
      </c>
      <c r="S23" s="68">
        <f t="shared" si="4"/>
        <v>0</v>
      </c>
      <c r="T23" s="311">
        <f t="shared" si="5"/>
        <v>0</v>
      </c>
      <c r="V23" s="120">
        <f>'As-Filed Schedule 2E'!N23</f>
        <v>0</v>
      </c>
      <c r="W23" s="314">
        <f>SUMIFS(Adjustments!$G:$G,Adjustments!$H:$H,"2E",Adjustments!$I:$I,'Schedule 2E Adjustments'!$V$12,Adjustments!$J:$J,'Schedule 2E Adjustments'!$A23)</f>
        <v>0</v>
      </c>
      <c r="X23" s="310">
        <f t="shared" si="6"/>
        <v>0</v>
      </c>
      <c r="Y23" s="120">
        <f>'As-Filed Schedule 2E'!O23</f>
        <v>0</v>
      </c>
      <c r="Z23" s="314">
        <f>SUMIFS(Adjustments!$G:$G,Adjustments!$H:$H,"2E",Adjustments!$I:$I,'Schedule 2E Adjustments'!$Y$12,Adjustments!$J:$J,'Schedule 2E Adjustments'!$A23)</f>
        <v>0</v>
      </c>
      <c r="AA23" s="310">
        <f t="shared" si="7"/>
        <v>0</v>
      </c>
    </row>
    <row r="24" spans="1:27" x14ac:dyDescent="0.35">
      <c r="A24" s="24">
        <v>10</v>
      </c>
      <c r="B24" s="513" t="str">
        <f>IF('As-Filed Schedule 2E'!B24:D24=0,"",'As-Filed Schedule 2E'!B24:D24)</f>
        <v/>
      </c>
      <c r="C24" s="513"/>
      <c r="D24" s="513"/>
      <c r="F24" s="117">
        <f>'As-Filed Schedule 2E'!F24</f>
        <v>0</v>
      </c>
      <c r="G24" s="314">
        <f>SUMIFS(Adjustments!$G:$G,Adjustments!$H:$H,"2E",Adjustments!$I:$I,'Schedule 2E Adjustments'!$F$12,Adjustments!$J:$J,'Schedule 2E Adjustments'!$A24)</f>
        <v>0</v>
      </c>
      <c r="H24" s="310">
        <f t="shared" si="0"/>
        <v>0</v>
      </c>
      <c r="I24" s="68">
        <f>IFERROR(F24*'As-Filed Schedule 1'!$E$103,0)</f>
        <v>0</v>
      </c>
      <c r="J24" s="311">
        <f>IFERROR(H24*'Adjusted Schedule 1'!$E$104,0)</f>
        <v>0</v>
      </c>
      <c r="K24" s="68">
        <f t="shared" si="1"/>
        <v>0</v>
      </c>
      <c r="L24" s="311">
        <f t="shared" si="2"/>
        <v>0</v>
      </c>
      <c r="N24" s="117">
        <f>'As-Filed Schedule 2E'!J24</f>
        <v>0</v>
      </c>
      <c r="O24" s="314">
        <f>SUMIFS(Adjustments!$G:$G,Adjustments!$H:$H,"2E",Adjustments!$I:$I,'Schedule 2E Adjustments'!$N$12,Adjustments!$J:$J,'Schedule 2E Adjustments'!$A24)</f>
        <v>0</v>
      </c>
      <c r="P24" s="310">
        <f t="shared" si="3"/>
        <v>0</v>
      </c>
      <c r="Q24" s="68">
        <f>IFERROR(N24*'As-Filed Schedule 1'!$E$103,0)</f>
        <v>0</v>
      </c>
      <c r="R24" s="68">
        <f>IFERROR(P24*'Adjusted Schedule 1'!$E$104,0)</f>
        <v>0</v>
      </c>
      <c r="S24" s="68">
        <f t="shared" si="4"/>
        <v>0</v>
      </c>
      <c r="T24" s="311">
        <f t="shared" si="5"/>
        <v>0</v>
      </c>
      <c r="V24" s="120">
        <f>'As-Filed Schedule 2E'!N24</f>
        <v>0</v>
      </c>
      <c r="W24" s="314">
        <f>SUMIFS(Adjustments!$G:$G,Adjustments!$H:$H,"2E",Adjustments!$I:$I,'Schedule 2E Adjustments'!$V$12,Adjustments!$J:$J,'Schedule 2E Adjustments'!$A24)</f>
        <v>0</v>
      </c>
      <c r="X24" s="310">
        <f t="shared" si="6"/>
        <v>0</v>
      </c>
      <c r="Y24" s="120">
        <f>'As-Filed Schedule 2E'!O24</f>
        <v>0</v>
      </c>
      <c r="Z24" s="314">
        <f>SUMIFS(Adjustments!$G:$G,Adjustments!$H:$H,"2E",Adjustments!$I:$I,'Schedule 2E Adjustments'!$Y$12,Adjustments!$J:$J,'Schedule 2E Adjustments'!$A24)</f>
        <v>0</v>
      </c>
      <c r="AA24" s="310">
        <f t="shared" si="7"/>
        <v>0</v>
      </c>
    </row>
    <row r="25" spans="1:27" x14ac:dyDescent="0.35">
      <c r="A25" s="24">
        <v>11</v>
      </c>
      <c r="B25" s="513" t="str">
        <f>IF('As-Filed Schedule 2E'!B25:D25=0,"",'As-Filed Schedule 2E'!B25:D25)</f>
        <v/>
      </c>
      <c r="C25" s="513"/>
      <c r="D25" s="513"/>
      <c r="F25" s="117">
        <f>'As-Filed Schedule 2E'!F25</f>
        <v>0</v>
      </c>
      <c r="G25" s="314">
        <f>SUMIFS(Adjustments!$G:$G,Adjustments!$H:$H,"2E",Adjustments!$I:$I,'Schedule 2E Adjustments'!$F$12,Adjustments!$J:$J,'Schedule 2E Adjustments'!$A25)</f>
        <v>0</v>
      </c>
      <c r="H25" s="310">
        <f t="shared" si="0"/>
        <v>0</v>
      </c>
      <c r="I25" s="68">
        <f>IFERROR(F25*'As-Filed Schedule 1'!$E$103,0)</f>
        <v>0</v>
      </c>
      <c r="J25" s="311">
        <f>IFERROR(H25*'Adjusted Schedule 1'!$E$104,0)</f>
        <v>0</v>
      </c>
      <c r="K25" s="68">
        <f t="shared" si="1"/>
        <v>0</v>
      </c>
      <c r="L25" s="311">
        <f t="shared" si="2"/>
        <v>0</v>
      </c>
      <c r="N25" s="117">
        <f>'As-Filed Schedule 2E'!J25</f>
        <v>0</v>
      </c>
      <c r="O25" s="314">
        <f>SUMIFS(Adjustments!$G:$G,Adjustments!$H:$H,"2E",Adjustments!$I:$I,'Schedule 2E Adjustments'!$N$12,Adjustments!$J:$J,'Schedule 2E Adjustments'!$A25)</f>
        <v>0</v>
      </c>
      <c r="P25" s="310">
        <f t="shared" si="3"/>
        <v>0</v>
      </c>
      <c r="Q25" s="68">
        <f>IFERROR(N25*'As-Filed Schedule 1'!$E$103,0)</f>
        <v>0</v>
      </c>
      <c r="R25" s="68">
        <f>IFERROR(P25*'Adjusted Schedule 1'!$E$104,0)</f>
        <v>0</v>
      </c>
      <c r="S25" s="68">
        <f t="shared" si="4"/>
        <v>0</v>
      </c>
      <c r="T25" s="311">
        <f t="shared" si="5"/>
        <v>0</v>
      </c>
      <c r="V25" s="120">
        <f>'As-Filed Schedule 2E'!N25</f>
        <v>0</v>
      </c>
      <c r="W25" s="314">
        <f>SUMIFS(Adjustments!$G:$G,Adjustments!$H:$H,"2E",Adjustments!$I:$I,'Schedule 2E Adjustments'!$V$12,Adjustments!$J:$J,'Schedule 2E Adjustments'!$A25)</f>
        <v>0</v>
      </c>
      <c r="X25" s="310">
        <f t="shared" si="6"/>
        <v>0</v>
      </c>
      <c r="Y25" s="120">
        <f>'As-Filed Schedule 2E'!O25</f>
        <v>0</v>
      </c>
      <c r="Z25" s="314">
        <f>SUMIFS(Adjustments!$G:$G,Adjustments!$H:$H,"2E",Adjustments!$I:$I,'Schedule 2E Adjustments'!$Y$12,Adjustments!$J:$J,'Schedule 2E Adjustments'!$A25)</f>
        <v>0</v>
      </c>
      <c r="AA25" s="310">
        <f t="shared" si="7"/>
        <v>0</v>
      </c>
    </row>
    <row r="26" spans="1:27" x14ac:dyDescent="0.35">
      <c r="A26" s="24">
        <v>12</v>
      </c>
      <c r="B26" s="513" t="str">
        <f>IF('As-Filed Schedule 2E'!B26:D26=0,"",'As-Filed Schedule 2E'!B26:D26)</f>
        <v/>
      </c>
      <c r="C26" s="513"/>
      <c r="D26" s="513"/>
      <c r="F26" s="117">
        <f>'As-Filed Schedule 2E'!F26</f>
        <v>0</v>
      </c>
      <c r="G26" s="314">
        <f>SUMIFS(Adjustments!$G:$G,Adjustments!$H:$H,"2E",Adjustments!$I:$I,'Schedule 2E Adjustments'!$F$12,Adjustments!$J:$J,'Schedule 2E Adjustments'!$A26)</f>
        <v>0</v>
      </c>
      <c r="H26" s="310">
        <f t="shared" si="0"/>
        <v>0</v>
      </c>
      <c r="I26" s="68">
        <f>IFERROR(F26*'As-Filed Schedule 1'!$E$103,0)</f>
        <v>0</v>
      </c>
      <c r="J26" s="311">
        <f>IFERROR(H26*'Adjusted Schedule 1'!$E$104,0)</f>
        <v>0</v>
      </c>
      <c r="K26" s="68">
        <f t="shared" si="1"/>
        <v>0</v>
      </c>
      <c r="L26" s="311">
        <f t="shared" si="2"/>
        <v>0</v>
      </c>
      <c r="N26" s="117">
        <f>'As-Filed Schedule 2E'!J26</f>
        <v>0</v>
      </c>
      <c r="O26" s="314">
        <f>SUMIFS(Adjustments!$G:$G,Adjustments!$H:$H,"2E",Adjustments!$I:$I,'Schedule 2E Adjustments'!$N$12,Adjustments!$J:$J,'Schedule 2E Adjustments'!$A26)</f>
        <v>0</v>
      </c>
      <c r="P26" s="310">
        <f t="shared" si="3"/>
        <v>0</v>
      </c>
      <c r="Q26" s="68">
        <f>IFERROR(N26*'As-Filed Schedule 1'!$E$103,0)</f>
        <v>0</v>
      </c>
      <c r="R26" s="68">
        <f>IFERROR(P26*'Adjusted Schedule 1'!$E$104,0)</f>
        <v>0</v>
      </c>
      <c r="S26" s="68">
        <f t="shared" si="4"/>
        <v>0</v>
      </c>
      <c r="T26" s="311">
        <f t="shared" si="5"/>
        <v>0</v>
      </c>
      <c r="V26" s="120">
        <f>'As-Filed Schedule 2E'!N26</f>
        <v>0</v>
      </c>
      <c r="W26" s="314">
        <f>SUMIFS(Adjustments!$G:$G,Adjustments!$H:$H,"2E",Adjustments!$I:$I,'Schedule 2E Adjustments'!$V$12,Adjustments!$J:$J,'Schedule 2E Adjustments'!$A26)</f>
        <v>0</v>
      </c>
      <c r="X26" s="310">
        <f t="shared" si="6"/>
        <v>0</v>
      </c>
      <c r="Y26" s="120">
        <f>'As-Filed Schedule 2E'!O26</f>
        <v>0</v>
      </c>
      <c r="Z26" s="314">
        <f>SUMIFS(Adjustments!$G:$G,Adjustments!$H:$H,"2E",Adjustments!$I:$I,'Schedule 2E Adjustments'!$Y$12,Adjustments!$J:$J,'Schedule 2E Adjustments'!$A26)</f>
        <v>0</v>
      </c>
      <c r="AA26" s="310">
        <f t="shared" si="7"/>
        <v>0</v>
      </c>
    </row>
    <row r="27" spans="1:27" x14ac:dyDescent="0.35">
      <c r="A27" s="24">
        <v>13</v>
      </c>
      <c r="B27" s="513" t="str">
        <f>IF('As-Filed Schedule 2E'!B27:D27=0,"",'As-Filed Schedule 2E'!B27:D27)</f>
        <v/>
      </c>
      <c r="C27" s="513"/>
      <c r="D27" s="513"/>
      <c r="F27" s="117">
        <f>'As-Filed Schedule 2E'!F27</f>
        <v>0</v>
      </c>
      <c r="G27" s="314">
        <f>SUMIFS(Adjustments!$G:$G,Adjustments!$H:$H,"2E",Adjustments!$I:$I,'Schedule 2E Adjustments'!$F$12,Adjustments!$J:$J,'Schedule 2E Adjustments'!$A27)</f>
        <v>0</v>
      </c>
      <c r="H27" s="310">
        <f t="shared" si="0"/>
        <v>0</v>
      </c>
      <c r="I27" s="68">
        <f>IFERROR(F27*'As-Filed Schedule 1'!$E$103,0)</f>
        <v>0</v>
      </c>
      <c r="J27" s="311">
        <f>IFERROR(H27*'Adjusted Schedule 1'!$E$104,0)</f>
        <v>0</v>
      </c>
      <c r="K27" s="68">
        <f t="shared" si="1"/>
        <v>0</v>
      </c>
      <c r="L27" s="311">
        <f t="shared" si="2"/>
        <v>0</v>
      </c>
      <c r="N27" s="117">
        <f>'As-Filed Schedule 2E'!J27</f>
        <v>0</v>
      </c>
      <c r="O27" s="314">
        <f>SUMIFS(Adjustments!$G:$G,Adjustments!$H:$H,"2E",Adjustments!$I:$I,'Schedule 2E Adjustments'!$N$12,Adjustments!$J:$J,'Schedule 2E Adjustments'!$A27)</f>
        <v>0</v>
      </c>
      <c r="P27" s="310">
        <f t="shared" si="3"/>
        <v>0</v>
      </c>
      <c r="Q27" s="68">
        <f>IFERROR(N27*'As-Filed Schedule 1'!$E$103,0)</f>
        <v>0</v>
      </c>
      <c r="R27" s="68">
        <f>IFERROR(P27*'Adjusted Schedule 1'!$E$104,0)</f>
        <v>0</v>
      </c>
      <c r="S27" s="68">
        <f t="shared" si="4"/>
        <v>0</v>
      </c>
      <c r="T27" s="311">
        <f t="shared" si="5"/>
        <v>0</v>
      </c>
      <c r="V27" s="120">
        <f>'As-Filed Schedule 2E'!N27</f>
        <v>0</v>
      </c>
      <c r="W27" s="314">
        <f>SUMIFS(Adjustments!$G:$G,Adjustments!$H:$H,"2E",Adjustments!$I:$I,'Schedule 2E Adjustments'!$V$12,Adjustments!$J:$J,'Schedule 2E Adjustments'!$A27)</f>
        <v>0</v>
      </c>
      <c r="X27" s="310">
        <f t="shared" si="6"/>
        <v>0</v>
      </c>
      <c r="Y27" s="120">
        <f>'As-Filed Schedule 2E'!O27</f>
        <v>0</v>
      </c>
      <c r="Z27" s="314">
        <f>SUMIFS(Adjustments!$G:$G,Adjustments!$H:$H,"2E",Adjustments!$I:$I,'Schedule 2E Adjustments'!$Y$12,Adjustments!$J:$J,'Schedule 2E Adjustments'!$A27)</f>
        <v>0</v>
      </c>
      <c r="AA27" s="310">
        <f t="shared" si="7"/>
        <v>0</v>
      </c>
    </row>
    <row r="28" spans="1:27" x14ac:dyDescent="0.35">
      <c r="A28" s="24">
        <v>14</v>
      </c>
      <c r="B28" s="513" t="str">
        <f>IF('As-Filed Schedule 2E'!B28:D28=0,"",'As-Filed Schedule 2E'!B28:D28)</f>
        <v/>
      </c>
      <c r="C28" s="513"/>
      <c r="D28" s="513"/>
      <c r="F28" s="117">
        <f>'As-Filed Schedule 2E'!F28</f>
        <v>0</v>
      </c>
      <c r="G28" s="314">
        <f>SUMIFS(Adjustments!$G:$G,Adjustments!$H:$H,"2E",Adjustments!$I:$I,'Schedule 2E Adjustments'!$F$12,Adjustments!$J:$J,'Schedule 2E Adjustments'!$A28)</f>
        <v>0</v>
      </c>
      <c r="H28" s="310">
        <f t="shared" si="0"/>
        <v>0</v>
      </c>
      <c r="I28" s="68">
        <f>IFERROR(F28*'As-Filed Schedule 1'!$E$103,0)</f>
        <v>0</v>
      </c>
      <c r="J28" s="311">
        <f>IFERROR(H28*'Adjusted Schedule 1'!$E$104,0)</f>
        <v>0</v>
      </c>
      <c r="K28" s="68">
        <f t="shared" si="1"/>
        <v>0</v>
      </c>
      <c r="L28" s="311">
        <f t="shared" si="2"/>
        <v>0</v>
      </c>
      <c r="N28" s="117">
        <f>'As-Filed Schedule 2E'!J28</f>
        <v>0</v>
      </c>
      <c r="O28" s="314">
        <f>SUMIFS(Adjustments!$G:$G,Adjustments!$H:$H,"2E",Adjustments!$I:$I,'Schedule 2E Adjustments'!$N$12,Adjustments!$J:$J,'Schedule 2E Adjustments'!$A28)</f>
        <v>0</v>
      </c>
      <c r="P28" s="310">
        <f t="shared" si="3"/>
        <v>0</v>
      </c>
      <c r="Q28" s="68">
        <f>IFERROR(N28*'As-Filed Schedule 1'!$E$103,0)</f>
        <v>0</v>
      </c>
      <c r="R28" s="68">
        <f>IFERROR(P28*'Adjusted Schedule 1'!$E$104,0)</f>
        <v>0</v>
      </c>
      <c r="S28" s="68">
        <f t="shared" si="4"/>
        <v>0</v>
      </c>
      <c r="T28" s="311">
        <f t="shared" si="5"/>
        <v>0</v>
      </c>
      <c r="V28" s="120">
        <f>'As-Filed Schedule 2E'!N28</f>
        <v>0</v>
      </c>
      <c r="W28" s="314">
        <f>SUMIFS(Adjustments!$G:$G,Adjustments!$H:$H,"2E",Adjustments!$I:$I,'Schedule 2E Adjustments'!$V$12,Adjustments!$J:$J,'Schedule 2E Adjustments'!$A28)</f>
        <v>0</v>
      </c>
      <c r="X28" s="310">
        <f t="shared" si="6"/>
        <v>0</v>
      </c>
      <c r="Y28" s="120">
        <f>'As-Filed Schedule 2E'!O28</f>
        <v>0</v>
      </c>
      <c r="Z28" s="314">
        <f>SUMIFS(Adjustments!$G:$G,Adjustments!$H:$H,"2E",Adjustments!$I:$I,'Schedule 2E Adjustments'!$Y$12,Adjustments!$J:$J,'Schedule 2E Adjustments'!$A28)</f>
        <v>0</v>
      </c>
      <c r="AA28" s="310">
        <f t="shared" si="7"/>
        <v>0</v>
      </c>
    </row>
    <row r="29" spans="1:27" x14ac:dyDescent="0.35">
      <c r="A29" s="24">
        <v>15</v>
      </c>
      <c r="B29" s="513" t="str">
        <f>IF('As-Filed Schedule 2E'!B29:D29=0,"",'As-Filed Schedule 2E'!B29:D29)</f>
        <v/>
      </c>
      <c r="C29" s="513"/>
      <c r="D29" s="513"/>
      <c r="F29" s="117">
        <f>'As-Filed Schedule 2E'!F29</f>
        <v>0</v>
      </c>
      <c r="G29" s="314">
        <f>SUMIFS(Adjustments!$G:$G,Adjustments!$H:$H,"2E",Adjustments!$I:$I,'Schedule 2E Adjustments'!$F$12,Adjustments!$J:$J,'Schedule 2E Adjustments'!$A29)</f>
        <v>0</v>
      </c>
      <c r="H29" s="310">
        <f t="shared" si="0"/>
        <v>0</v>
      </c>
      <c r="I29" s="68">
        <f>IFERROR(F29*'As-Filed Schedule 1'!$E$103,0)</f>
        <v>0</v>
      </c>
      <c r="J29" s="311">
        <f>IFERROR(H29*'Adjusted Schedule 1'!$E$104,0)</f>
        <v>0</v>
      </c>
      <c r="K29" s="68">
        <f t="shared" si="1"/>
        <v>0</v>
      </c>
      <c r="L29" s="311">
        <f t="shared" si="2"/>
        <v>0</v>
      </c>
      <c r="N29" s="117">
        <f>'As-Filed Schedule 2E'!J29</f>
        <v>0</v>
      </c>
      <c r="O29" s="314">
        <f>SUMIFS(Adjustments!$G:$G,Adjustments!$H:$H,"2E",Adjustments!$I:$I,'Schedule 2E Adjustments'!$N$12,Adjustments!$J:$J,'Schedule 2E Adjustments'!$A29)</f>
        <v>0</v>
      </c>
      <c r="P29" s="310">
        <f t="shared" si="3"/>
        <v>0</v>
      </c>
      <c r="Q29" s="68">
        <f>IFERROR(N29*'As-Filed Schedule 1'!$E$103,0)</f>
        <v>0</v>
      </c>
      <c r="R29" s="68">
        <f>IFERROR(P29*'Adjusted Schedule 1'!$E$104,0)</f>
        <v>0</v>
      </c>
      <c r="S29" s="68">
        <f t="shared" si="4"/>
        <v>0</v>
      </c>
      <c r="T29" s="311">
        <f t="shared" si="5"/>
        <v>0</v>
      </c>
      <c r="V29" s="120">
        <f>'As-Filed Schedule 2E'!N29</f>
        <v>0</v>
      </c>
      <c r="W29" s="314">
        <f>SUMIFS(Adjustments!$G:$G,Adjustments!$H:$H,"2E",Adjustments!$I:$I,'Schedule 2E Adjustments'!$V$12,Adjustments!$J:$J,'Schedule 2E Adjustments'!$A29)</f>
        <v>0</v>
      </c>
      <c r="X29" s="310">
        <f t="shared" si="6"/>
        <v>0</v>
      </c>
      <c r="Y29" s="120">
        <f>'As-Filed Schedule 2E'!O29</f>
        <v>0</v>
      </c>
      <c r="Z29" s="314">
        <f>SUMIFS(Adjustments!$G:$G,Adjustments!$H:$H,"2E",Adjustments!$I:$I,'Schedule 2E Adjustments'!$Y$12,Adjustments!$J:$J,'Schedule 2E Adjustments'!$A29)</f>
        <v>0</v>
      </c>
      <c r="AA29" s="310">
        <f t="shared" si="7"/>
        <v>0</v>
      </c>
    </row>
    <row r="30" spans="1:27" x14ac:dyDescent="0.35">
      <c r="A30" s="24">
        <v>16</v>
      </c>
      <c r="B30" s="513" t="str">
        <f>IF('As-Filed Schedule 2E'!B30:D30=0,"",'As-Filed Schedule 2E'!B30:D30)</f>
        <v/>
      </c>
      <c r="C30" s="513"/>
      <c r="D30" s="513"/>
      <c r="F30" s="117">
        <f>'As-Filed Schedule 2E'!F30</f>
        <v>0</v>
      </c>
      <c r="G30" s="314">
        <f>SUMIFS(Adjustments!$G:$G,Adjustments!$H:$H,"2E",Adjustments!$I:$I,'Schedule 2E Adjustments'!$F$12,Adjustments!$J:$J,'Schedule 2E Adjustments'!$A30)</f>
        <v>0</v>
      </c>
      <c r="H30" s="310">
        <f t="shared" si="0"/>
        <v>0</v>
      </c>
      <c r="I30" s="68">
        <f>IFERROR(F30*'As-Filed Schedule 1'!$E$103,0)</f>
        <v>0</v>
      </c>
      <c r="J30" s="311">
        <f>IFERROR(H30*'Adjusted Schedule 1'!$E$104,0)</f>
        <v>0</v>
      </c>
      <c r="K30" s="68">
        <f t="shared" si="1"/>
        <v>0</v>
      </c>
      <c r="L30" s="311">
        <f t="shared" si="2"/>
        <v>0</v>
      </c>
      <c r="N30" s="117">
        <f>'As-Filed Schedule 2E'!J30</f>
        <v>0</v>
      </c>
      <c r="O30" s="314">
        <f>SUMIFS(Adjustments!$G:$G,Adjustments!$H:$H,"2E",Adjustments!$I:$I,'Schedule 2E Adjustments'!$N$12,Adjustments!$J:$J,'Schedule 2E Adjustments'!$A30)</f>
        <v>0</v>
      </c>
      <c r="P30" s="310">
        <f t="shared" si="3"/>
        <v>0</v>
      </c>
      <c r="Q30" s="68">
        <f>IFERROR(N30*'As-Filed Schedule 1'!$E$103,0)</f>
        <v>0</v>
      </c>
      <c r="R30" s="68">
        <f>IFERROR(P30*'Adjusted Schedule 1'!$E$104,0)</f>
        <v>0</v>
      </c>
      <c r="S30" s="68">
        <f t="shared" si="4"/>
        <v>0</v>
      </c>
      <c r="T30" s="311">
        <f t="shared" si="5"/>
        <v>0</v>
      </c>
      <c r="V30" s="120">
        <f>'As-Filed Schedule 2E'!N30</f>
        <v>0</v>
      </c>
      <c r="W30" s="314">
        <f>SUMIFS(Adjustments!$G:$G,Adjustments!$H:$H,"2E",Adjustments!$I:$I,'Schedule 2E Adjustments'!$V$12,Adjustments!$J:$J,'Schedule 2E Adjustments'!$A30)</f>
        <v>0</v>
      </c>
      <c r="X30" s="310">
        <f t="shared" si="6"/>
        <v>0</v>
      </c>
      <c r="Y30" s="120">
        <f>'As-Filed Schedule 2E'!O30</f>
        <v>0</v>
      </c>
      <c r="Z30" s="314">
        <f>SUMIFS(Adjustments!$G:$G,Adjustments!$H:$H,"2E",Adjustments!$I:$I,'Schedule 2E Adjustments'!$Y$12,Adjustments!$J:$J,'Schedule 2E Adjustments'!$A30)</f>
        <v>0</v>
      </c>
      <c r="AA30" s="310">
        <f t="shared" si="7"/>
        <v>0</v>
      </c>
    </row>
    <row r="31" spans="1:27" x14ac:dyDescent="0.35">
      <c r="A31" s="24">
        <v>17</v>
      </c>
      <c r="B31" s="513" t="str">
        <f>IF('As-Filed Schedule 2E'!B31:D31=0,"",'As-Filed Schedule 2E'!B31:D31)</f>
        <v/>
      </c>
      <c r="C31" s="513"/>
      <c r="D31" s="513"/>
      <c r="F31" s="117">
        <f>'As-Filed Schedule 2E'!F31</f>
        <v>0</v>
      </c>
      <c r="G31" s="314">
        <f>SUMIFS(Adjustments!$G:$G,Adjustments!$H:$H,"2E",Adjustments!$I:$I,'Schedule 2E Adjustments'!$F$12,Adjustments!$J:$J,'Schedule 2E Adjustments'!$A31)</f>
        <v>0</v>
      </c>
      <c r="H31" s="310">
        <f t="shared" si="0"/>
        <v>0</v>
      </c>
      <c r="I31" s="68">
        <f>IFERROR(F31*'As-Filed Schedule 1'!$E$103,0)</f>
        <v>0</v>
      </c>
      <c r="J31" s="311">
        <f>IFERROR(H31*'Adjusted Schedule 1'!$E$104,0)</f>
        <v>0</v>
      </c>
      <c r="K31" s="68">
        <f t="shared" si="1"/>
        <v>0</v>
      </c>
      <c r="L31" s="311">
        <f t="shared" si="2"/>
        <v>0</v>
      </c>
      <c r="N31" s="117">
        <f>'As-Filed Schedule 2E'!J31</f>
        <v>0</v>
      </c>
      <c r="O31" s="314">
        <f>SUMIFS(Adjustments!$G:$G,Adjustments!$H:$H,"2E",Adjustments!$I:$I,'Schedule 2E Adjustments'!$N$12,Adjustments!$J:$J,'Schedule 2E Adjustments'!$A31)</f>
        <v>0</v>
      </c>
      <c r="P31" s="310">
        <f t="shared" si="3"/>
        <v>0</v>
      </c>
      <c r="Q31" s="68">
        <f>IFERROR(N31*'As-Filed Schedule 1'!$E$103,0)</f>
        <v>0</v>
      </c>
      <c r="R31" s="68">
        <f>IFERROR(P31*'Adjusted Schedule 1'!$E$104,0)</f>
        <v>0</v>
      </c>
      <c r="S31" s="68">
        <f t="shared" si="4"/>
        <v>0</v>
      </c>
      <c r="T31" s="311">
        <f t="shared" si="5"/>
        <v>0</v>
      </c>
      <c r="V31" s="120">
        <f>'As-Filed Schedule 2E'!N31</f>
        <v>0</v>
      </c>
      <c r="W31" s="314">
        <f>SUMIFS(Adjustments!$G:$G,Adjustments!$H:$H,"2E",Adjustments!$I:$I,'Schedule 2E Adjustments'!$V$12,Adjustments!$J:$J,'Schedule 2E Adjustments'!$A31)</f>
        <v>0</v>
      </c>
      <c r="X31" s="310">
        <f t="shared" si="6"/>
        <v>0</v>
      </c>
      <c r="Y31" s="120">
        <f>'As-Filed Schedule 2E'!O31</f>
        <v>0</v>
      </c>
      <c r="Z31" s="314">
        <f>SUMIFS(Adjustments!$G:$G,Adjustments!$H:$H,"2E",Adjustments!$I:$I,'Schedule 2E Adjustments'!$Y$12,Adjustments!$J:$J,'Schedule 2E Adjustments'!$A31)</f>
        <v>0</v>
      </c>
      <c r="AA31" s="310">
        <f t="shared" si="7"/>
        <v>0</v>
      </c>
    </row>
    <row r="32" spans="1:27" x14ac:dyDescent="0.35">
      <c r="A32" s="24">
        <v>18</v>
      </c>
      <c r="B32" s="513" t="str">
        <f>IF('As-Filed Schedule 2E'!B32:D32=0,"",'As-Filed Schedule 2E'!B32:D32)</f>
        <v/>
      </c>
      <c r="C32" s="513"/>
      <c r="D32" s="513"/>
      <c r="F32" s="117">
        <f>'As-Filed Schedule 2E'!F32</f>
        <v>0</v>
      </c>
      <c r="G32" s="314">
        <f>SUMIFS(Adjustments!$G:$G,Adjustments!$H:$H,"2E",Adjustments!$I:$I,'Schedule 2E Adjustments'!$F$12,Adjustments!$J:$J,'Schedule 2E Adjustments'!$A32)</f>
        <v>0</v>
      </c>
      <c r="H32" s="310">
        <f t="shared" si="0"/>
        <v>0</v>
      </c>
      <c r="I32" s="68">
        <f>IFERROR(F32*'As-Filed Schedule 1'!$E$103,0)</f>
        <v>0</v>
      </c>
      <c r="J32" s="311">
        <f>IFERROR(H32*'Adjusted Schedule 1'!$E$104,0)</f>
        <v>0</v>
      </c>
      <c r="K32" s="68">
        <f t="shared" si="1"/>
        <v>0</v>
      </c>
      <c r="L32" s="311">
        <f t="shared" si="2"/>
        <v>0</v>
      </c>
      <c r="N32" s="117">
        <f>'As-Filed Schedule 2E'!J32</f>
        <v>0</v>
      </c>
      <c r="O32" s="314">
        <f>SUMIFS(Adjustments!$G:$G,Adjustments!$H:$H,"2E",Adjustments!$I:$I,'Schedule 2E Adjustments'!$N$12,Adjustments!$J:$J,'Schedule 2E Adjustments'!$A32)</f>
        <v>0</v>
      </c>
      <c r="P32" s="310">
        <f t="shared" si="3"/>
        <v>0</v>
      </c>
      <c r="Q32" s="68">
        <f>IFERROR(N32*'As-Filed Schedule 1'!$E$103,0)</f>
        <v>0</v>
      </c>
      <c r="R32" s="68">
        <f>IFERROR(P32*'Adjusted Schedule 1'!$E$104,0)</f>
        <v>0</v>
      </c>
      <c r="S32" s="68">
        <f t="shared" si="4"/>
        <v>0</v>
      </c>
      <c r="T32" s="311">
        <f t="shared" si="5"/>
        <v>0</v>
      </c>
      <c r="V32" s="120">
        <f>'As-Filed Schedule 2E'!N32</f>
        <v>0</v>
      </c>
      <c r="W32" s="314">
        <f>SUMIFS(Adjustments!$G:$G,Adjustments!$H:$H,"2E",Adjustments!$I:$I,'Schedule 2E Adjustments'!$V$12,Adjustments!$J:$J,'Schedule 2E Adjustments'!$A32)</f>
        <v>0</v>
      </c>
      <c r="X32" s="310">
        <f t="shared" si="6"/>
        <v>0</v>
      </c>
      <c r="Y32" s="120">
        <f>'As-Filed Schedule 2E'!O32</f>
        <v>0</v>
      </c>
      <c r="Z32" s="314">
        <f>SUMIFS(Adjustments!$G:$G,Adjustments!$H:$H,"2E",Adjustments!$I:$I,'Schedule 2E Adjustments'!$Y$12,Adjustments!$J:$J,'Schedule 2E Adjustments'!$A32)</f>
        <v>0</v>
      </c>
      <c r="AA32" s="310">
        <f t="shared" si="7"/>
        <v>0</v>
      </c>
    </row>
    <row r="33" spans="1:27" x14ac:dyDescent="0.35">
      <c r="A33" s="24">
        <v>19</v>
      </c>
      <c r="B33" s="513" t="str">
        <f>IF('As-Filed Schedule 2E'!B33:D33=0,"",'As-Filed Schedule 2E'!B33:D33)</f>
        <v/>
      </c>
      <c r="C33" s="513"/>
      <c r="D33" s="513"/>
      <c r="F33" s="117">
        <f>'As-Filed Schedule 2E'!F33</f>
        <v>0</v>
      </c>
      <c r="G33" s="314">
        <f>SUMIFS(Adjustments!$G:$G,Adjustments!$H:$H,"2E",Adjustments!$I:$I,'Schedule 2E Adjustments'!$F$12,Adjustments!$J:$J,'Schedule 2E Adjustments'!$A33)</f>
        <v>0</v>
      </c>
      <c r="H33" s="310">
        <f t="shared" si="0"/>
        <v>0</v>
      </c>
      <c r="I33" s="68">
        <f>IFERROR(F33*'As-Filed Schedule 1'!$E$103,0)</f>
        <v>0</v>
      </c>
      <c r="J33" s="311">
        <f>IFERROR(H33*'Adjusted Schedule 1'!$E$104,0)</f>
        <v>0</v>
      </c>
      <c r="K33" s="68">
        <f t="shared" si="1"/>
        <v>0</v>
      </c>
      <c r="L33" s="311">
        <f t="shared" si="2"/>
        <v>0</v>
      </c>
      <c r="N33" s="117">
        <f>'As-Filed Schedule 2E'!J33</f>
        <v>0</v>
      </c>
      <c r="O33" s="314">
        <f>SUMIFS(Adjustments!$G:$G,Adjustments!$H:$H,"2E",Adjustments!$I:$I,'Schedule 2E Adjustments'!$N$12,Adjustments!$J:$J,'Schedule 2E Adjustments'!$A33)</f>
        <v>0</v>
      </c>
      <c r="P33" s="310">
        <f t="shared" si="3"/>
        <v>0</v>
      </c>
      <c r="Q33" s="68">
        <f>IFERROR(N33*'As-Filed Schedule 1'!$E$103,0)</f>
        <v>0</v>
      </c>
      <c r="R33" s="68">
        <f>IFERROR(P33*'Adjusted Schedule 1'!$E$104,0)</f>
        <v>0</v>
      </c>
      <c r="S33" s="68">
        <f t="shared" si="4"/>
        <v>0</v>
      </c>
      <c r="T33" s="311">
        <f t="shared" si="5"/>
        <v>0</v>
      </c>
      <c r="V33" s="120">
        <f>'As-Filed Schedule 2E'!N33</f>
        <v>0</v>
      </c>
      <c r="W33" s="314">
        <f>SUMIFS(Adjustments!$G:$G,Adjustments!$H:$H,"2E",Adjustments!$I:$I,'Schedule 2E Adjustments'!$V$12,Adjustments!$J:$J,'Schedule 2E Adjustments'!$A33)</f>
        <v>0</v>
      </c>
      <c r="X33" s="310">
        <f t="shared" si="6"/>
        <v>0</v>
      </c>
      <c r="Y33" s="120">
        <f>'As-Filed Schedule 2E'!O33</f>
        <v>0</v>
      </c>
      <c r="Z33" s="314">
        <f>SUMIFS(Adjustments!$G:$G,Adjustments!$H:$H,"2E",Adjustments!$I:$I,'Schedule 2E Adjustments'!$Y$12,Adjustments!$J:$J,'Schedule 2E Adjustments'!$A33)</f>
        <v>0</v>
      </c>
      <c r="AA33" s="310">
        <f t="shared" si="7"/>
        <v>0</v>
      </c>
    </row>
    <row r="34" spans="1:27" x14ac:dyDescent="0.35">
      <c r="A34" s="24">
        <v>20</v>
      </c>
      <c r="B34" s="513" t="str">
        <f>IF('As-Filed Schedule 2E'!B34:D34=0,"",'As-Filed Schedule 2E'!B34:D34)</f>
        <v/>
      </c>
      <c r="C34" s="513"/>
      <c r="D34" s="513"/>
      <c r="F34" s="117">
        <f>'As-Filed Schedule 2E'!F34</f>
        <v>0</v>
      </c>
      <c r="G34" s="314">
        <f>SUMIFS(Adjustments!$G:$G,Adjustments!$H:$H,"2E",Adjustments!$I:$I,'Schedule 2E Adjustments'!$F$12,Adjustments!$J:$J,'Schedule 2E Adjustments'!$A34)</f>
        <v>0</v>
      </c>
      <c r="H34" s="310">
        <f t="shared" si="0"/>
        <v>0</v>
      </c>
      <c r="I34" s="68">
        <f>IFERROR(F34*'As-Filed Schedule 1'!$E$103,0)</f>
        <v>0</v>
      </c>
      <c r="J34" s="311">
        <f>IFERROR(H34*'Adjusted Schedule 1'!$E$104,0)</f>
        <v>0</v>
      </c>
      <c r="K34" s="68">
        <f t="shared" si="1"/>
        <v>0</v>
      </c>
      <c r="L34" s="311">
        <f t="shared" si="2"/>
        <v>0</v>
      </c>
      <c r="N34" s="117">
        <f>'As-Filed Schedule 2E'!J34</f>
        <v>0</v>
      </c>
      <c r="O34" s="314">
        <f>SUMIFS(Adjustments!$G:$G,Adjustments!$H:$H,"2E",Adjustments!$I:$I,'Schedule 2E Adjustments'!$N$12,Adjustments!$J:$J,'Schedule 2E Adjustments'!$A34)</f>
        <v>0</v>
      </c>
      <c r="P34" s="310">
        <f t="shared" si="3"/>
        <v>0</v>
      </c>
      <c r="Q34" s="68">
        <f>IFERROR(N34*'As-Filed Schedule 1'!$E$103,0)</f>
        <v>0</v>
      </c>
      <c r="R34" s="68">
        <f>IFERROR(P34*'Adjusted Schedule 1'!$E$104,0)</f>
        <v>0</v>
      </c>
      <c r="S34" s="68">
        <f t="shared" si="4"/>
        <v>0</v>
      </c>
      <c r="T34" s="311">
        <f t="shared" si="5"/>
        <v>0</v>
      </c>
      <c r="V34" s="120">
        <f>'As-Filed Schedule 2E'!N34</f>
        <v>0</v>
      </c>
      <c r="W34" s="314">
        <f>SUMIFS(Adjustments!$G:$G,Adjustments!$H:$H,"2E",Adjustments!$I:$I,'Schedule 2E Adjustments'!$V$12,Adjustments!$J:$J,'Schedule 2E Adjustments'!$A34)</f>
        <v>0</v>
      </c>
      <c r="X34" s="310">
        <f t="shared" si="6"/>
        <v>0</v>
      </c>
      <c r="Y34" s="120">
        <f>'As-Filed Schedule 2E'!O34</f>
        <v>0</v>
      </c>
      <c r="Z34" s="314">
        <f>SUMIFS(Adjustments!$G:$G,Adjustments!$H:$H,"2E",Adjustments!$I:$I,'Schedule 2E Adjustments'!$Y$12,Adjustments!$J:$J,'Schedule 2E Adjustments'!$A34)</f>
        <v>0</v>
      </c>
      <c r="AA34" s="310">
        <f t="shared" si="7"/>
        <v>0</v>
      </c>
    </row>
    <row r="35" spans="1:27" x14ac:dyDescent="0.35">
      <c r="A35" s="24">
        <v>21</v>
      </c>
      <c r="B35" s="513" t="str">
        <f>IF('As-Filed Schedule 2E'!B35:D35=0,"",'As-Filed Schedule 2E'!B35:D35)</f>
        <v/>
      </c>
      <c r="C35" s="513"/>
      <c r="D35" s="513"/>
      <c r="F35" s="117">
        <f>'As-Filed Schedule 2E'!F35</f>
        <v>0</v>
      </c>
      <c r="G35" s="314">
        <f>SUMIFS(Adjustments!$G:$G,Adjustments!$H:$H,"2E",Adjustments!$I:$I,'Schedule 2E Adjustments'!$F$12,Adjustments!$J:$J,'Schedule 2E Adjustments'!$A35)</f>
        <v>0</v>
      </c>
      <c r="H35" s="310">
        <f t="shared" si="0"/>
        <v>0</v>
      </c>
      <c r="I35" s="68">
        <f>IFERROR(F35*'As-Filed Schedule 1'!$E$103,0)</f>
        <v>0</v>
      </c>
      <c r="J35" s="311">
        <f>IFERROR(H35*'Adjusted Schedule 1'!$E$104,0)</f>
        <v>0</v>
      </c>
      <c r="K35" s="68">
        <f t="shared" si="1"/>
        <v>0</v>
      </c>
      <c r="L35" s="311">
        <f t="shared" si="2"/>
        <v>0</v>
      </c>
      <c r="N35" s="117">
        <f>'As-Filed Schedule 2E'!J35</f>
        <v>0</v>
      </c>
      <c r="O35" s="314">
        <f>SUMIFS(Adjustments!$G:$G,Adjustments!$H:$H,"2E",Adjustments!$I:$I,'Schedule 2E Adjustments'!$N$12,Adjustments!$J:$J,'Schedule 2E Adjustments'!$A35)</f>
        <v>0</v>
      </c>
      <c r="P35" s="310">
        <f t="shared" si="3"/>
        <v>0</v>
      </c>
      <c r="Q35" s="68">
        <f>IFERROR(N35*'As-Filed Schedule 1'!$E$103,0)</f>
        <v>0</v>
      </c>
      <c r="R35" s="68">
        <f>IFERROR(P35*'Adjusted Schedule 1'!$E$104,0)</f>
        <v>0</v>
      </c>
      <c r="S35" s="68">
        <f t="shared" si="4"/>
        <v>0</v>
      </c>
      <c r="T35" s="311">
        <f t="shared" si="5"/>
        <v>0</v>
      </c>
      <c r="V35" s="120">
        <f>'As-Filed Schedule 2E'!N35</f>
        <v>0</v>
      </c>
      <c r="W35" s="314">
        <f>SUMIFS(Adjustments!$G:$G,Adjustments!$H:$H,"2E",Adjustments!$I:$I,'Schedule 2E Adjustments'!$V$12,Adjustments!$J:$J,'Schedule 2E Adjustments'!$A35)</f>
        <v>0</v>
      </c>
      <c r="X35" s="310">
        <f t="shared" si="6"/>
        <v>0</v>
      </c>
      <c r="Y35" s="120">
        <f>'As-Filed Schedule 2E'!O35</f>
        <v>0</v>
      </c>
      <c r="Z35" s="314">
        <f>SUMIFS(Adjustments!$G:$G,Adjustments!$H:$H,"2E",Adjustments!$I:$I,'Schedule 2E Adjustments'!$Y$12,Adjustments!$J:$J,'Schedule 2E Adjustments'!$A35)</f>
        <v>0</v>
      </c>
      <c r="AA35" s="310">
        <f t="shared" si="7"/>
        <v>0</v>
      </c>
    </row>
    <row r="36" spans="1:27" x14ac:dyDescent="0.35">
      <c r="A36" s="24">
        <v>22</v>
      </c>
      <c r="B36" s="513" t="str">
        <f>IF('As-Filed Schedule 2E'!B36:D36=0,"",'As-Filed Schedule 2E'!B36:D36)</f>
        <v/>
      </c>
      <c r="C36" s="513"/>
      <c r="D36" s="513"/>
      <c r="F36" s="117">
        <f>'As-Filed Schedule 2E'!F36</f>
        <v>0</v>
      </c>
      <c r="G36" s="314">
        <f>SUMIFS(Adjustments!$G:$G,Adjustments!$H:$H,"2E",Adjustments!$I:$I,'Schedule 2E Adjustments'!$F$12,Adjustments!$J:$J,'Schedule 2E Adjustments'!$A36)</f>
        <v>0</v>
      </c>
      <c r="H36" s="310">
        <f t="shared" si="0"/>
        <v>0</v>
      </c>
      <c r="I36" s="68">
        <f>IFERROR(F36*'As-Filed Schedule 1'!$E$103,0)</f>
        <v>0</v>
      </c>
      <c r="J36" s="311">
        <f>IFERROR(H36*'Adjusted Schedule 1'!$E$104,0)</f>
        <v>0</v>
      </c>
      <c r="K36" s="68">
        <f t="shared" si="1"/>
        <v>0</v>
      </c>
      <c r="L36" s="311">
        <f t="shared" si="2"/>
        <v>0</v>
      </c>
      <c r="N36" s="117">
        <f>'As-Filed Schedule 2E'!J36</f>
        <v>0</v>
      </c>
      <c r="O36" s="314">
        <f>SUMIFS(Adjustments!$G:$G,Adjustments!$H:$H,"2E",Adjustments!$I:$I,'Schedule 2E Adjustments'!$N$12,Adjustments!$J:$J,'Schedule 2E Adjustments'!$A36)</f>
        <v>0</v>
      </c>
      <c r="P36" s="310">
        <f t="shared" si="3"/>
        <v>0</v>
      </c>
      <c r="Q36" s="68">
        <f>IFERROR(N36*'As-Filed Schedule 1'!$E$103,0)</f>
        <v>0</v>
      </c>
      <c r="R36" s="68">
        <f>IFERROR(P36*'Adjusted Schedule 1'!$E$104,0)</f>
        <v>0</v>
      </c>
      <c r="S36" s="68">
        <f t="shared" si="4"/>
        <v>0</v>
      </c>
      <c r="T36" s="311">
        <f t="shared" si="5"/>
        <v>0</v>
      </c>
      <c r="V36" s="120">
        <f>'As-Filed Schedule 2E'!N36</f>
        <v>0</v>
      </c>
      <c r="W36" s="314">
        <f>SUMIFS(Adjustments!$G:$G,Adjustments!$H:$H,"2E",Adjustments!$I:$I,'Schedule 2E Adjustments'!$V$12,Adjustments!$J:$J,'Schedule 2E Adjustments'!$A36)</f>
        <v>0</v>
      </c>
      <c r="X36" s="310">
        <f t="shared" si="6"/>
        <v>0</v>
      </c>
      <c r="Y36" s="120">
        <f>'As-Filed Schedule 2E'!O36</f>
        <v>0</v>
      </c>
      <c r="Z36" s="314">
        <f>SUMIFS(Adjustments!$G:$G,Adjustments!$H:$H,"2E",Adjustments!$I:$I,'Schedule 2E Adjustments'!$Y$12,Adjustments!$J:$J,'Schedule 2E Adjustments'!$A36)</f>
        <v>0</v>
      </c>
      <c r="AA36" s="310">
        <f t="shared" si="7"/>
        <v>0</v>
      </c>
    </row>
    <row r="37" spans="1:27" x14ac:dyDescent="0.35">
      <c r="A37" s="24">
        <v>23</v>
      </c>
      <c r="B37" s="513" t="str">
        <f>IF('As-Filed Schedule 2E'!B37:D37=0,"",'As-Filed Schedule 2E'!B37:D37)</f>
        <v/>
      </c>
      <c r="C37" s="513"/>
      <c r="D37" s="513"/>
      <c r="F37" s="117">
        <f>'As-Filed Schedule 2E'!F37</f>
        <v>0</v>
      </c>
      <c r="G37" s="314">
        <f>SUMIFS(Adjustments!$G:$G,Adjustments!$H:$H,"2E",Adjustments!$I:$I,'Schedule 2E Adjustments'!$F$12,Adjustments!$J:$J,'Schedule 2E Adjustments'!$A37)</f>
        <v>0</v>
      </c>
      <c r="H37" s="310">
        <f t="shared" si="0"/>
        <v>0</v>
      </c>
      <c r="I37" s="68">
        <f>IFERROR(F37*'As-Filed Schedule 1'!$E$103,0)</f>
        <v>0</v>
      </c>
      <c r="J37" s="311">
        <f>IFERROR(H37*'Adjusted Schedule 1'!$E$104,0)</f>
        <v>0</v>
      </c>
      <c r="K37" s="68">
        <f t="shared" si="1"/>
        <v>0</v>
      </c>
      <c r="L37" s="311">
        <f t="shared" si="2"/>
        <v>0</v>
      </c>
      <c r="N37" s="117">
        <f>'As-Filed Schedule 2E'!J37</f>
        <v>0</v>
      </c>
      <c r="O37" s="314">
        <f>SUMIFS(Adjustments!$G:$G,Adjustments!$H:$H,"2E",Adjustments!$I:$I,'Schedule 2E Adjustments'!$N$12,Adjustments!$J:$J,'Schedule 2E Adjustments'!$A37)</f>
        <v>0</v>
      </c>
      <c r="P37" s="310">
        <f t="shared" si="3"/>
        <v>0</v>
      </c>
      <c r="Q37" s="68">
        <f>IFERROR(N37*'As-Filed Schedule 1'!$E$103,0)</f>
        <v>0</v>
      </c>
      <c r="R37" s="68">
        <f>IFERROR(P37*'Adjusted Schedule 1'!$E$104,0)</f>
        <v>0</v>
      </c>
      <c r="S37" s="68">
        <f t="shared" si="4"/>
        <v>0</v>
      </c>
      <c r="T37" s="311">
        <f t="shared" si="5"/>
        <v>0</v>
      </c>
      <c r="V37" s="120">
        <f>'As-Filed Schedule 2E'!N37</f>
        <v>0</v>
      </c>
      <c r="W37" s="314">
        <f>SUMIFS(Adjustments!$G:$G,Adjustments!$H:$H,"2E",Adjustments!$I:$I,'Schedule 2E Adjustments'!$V$12,Adjustments!$J:$J,'Schedule 2E Adjustments'!$A37)</f>
        <v>0</v>
      </c>
      <c r="X37" s="310">
        <f t="shared" si="6"/>
        <v>0</v>
      </c>
      <c r="Y37" s="120">
        <f>'As-Filed Schedule 2E'!O37</f>
        <v>0</v>
      </c>
      <c r="Z37" s="314">
        <f>SUMIFS(Adjustments!$G:$G,Adjustments!$H:$H,"2E",Adjustments!$I:$I,'Schedule 2E Adjustments'!$Y$12,Adjustments!$J:$J,'Schedule 2E Adjustments'!$A37)</f>
        <v>0</v>
      </c>
      <c r="AA37" s="310">
        <f t="shared" si="7"/>
        <v>0</v>
      </c>
    </row>
    <row r="38" spans="1:27" x14ac:dyDescent="0.35">
      <c r="A38" s="24">
        <v>24</v>
      </c>
      <c r="B38" s="513" t="str">
        <f>IF('As-Filed Schedule 2E'!B38:D38=0,"",'As-Filed Schedule 2E'!B38:D38)</f>
        <v/>
      </c>
      <c r="C38" s="513"/>
      <c r="D38" s="513"/>
      <c r="F38" s="117">
        <f>'As-Filed Schedule 2E'!F38</f>
        <v>0</v>
      </c>
      <c r="G38" s="314">
        <f>SUMIFS(Adjustments!$G:$G,Adjustments!$H:$H,"2E",Adjustments!$I:$I,'Schedule 2E Adjustments'!$F$12,Adjustments!$J:$J,'Schedule 2E Adjustments'!$A38)</f>
        <v>0</v>
      </c>
      <c r="H38" s="310">
        <f t="shared" si="0"/>
        <v>0</v>
      </c>
      <c r="I38" s="68">
        <f>IFERROR(F38*'As-Filed Schedule 1'!$E$103,0)</f>
        <v>0</v>
      </c>
      <c r="J38" s="311">
        <f>IFERROR(H38*'Adjusted Schedule 1'!$E$104,0)</f>
        <v>0</v>
      </c>
      <c r="K38" s="68">
        <f t="shared" si="1"/>
        <v>0</v>
      </c>
      <c r="L38" s="311">
        <f t="shared" si="2"/>
        <v>0</v>
      </c>
      <c r="N38" s="117">
        <f>'As-Filed Schedule 2E'!J38</f>
        <v>0</v>
      </c>
      <c r="O38" s="314">
        <f>SUMIFS(Adjustments!$G:$G,Adjustments!$H:$H,"2E",Adjustments!$I:$I,'Schedule 2E Adjustments'!$N$12,Adjustments!$J:$J,'Schedule 2E Adjustments'!$A38)</f>
        <v>0</v>
      </c>
      <c r="P38" s="310">
        <f t="shared" si="3"/>
        <v>0</v>
      </c>
      <c r="Q38" s="68">
        <f>IFERROR(N38*'As-Filed Schedule 1'!$E$103,0)</f>
        <v>0</v>
      </c>
      <c r="R38" s="68">
        <f>IFERROR(P38*'Adjusted Schedule 1'!$E$104,0)</f>
        <v>0</v>
      </c>
      <c r="S38" s="68">
        <f t="shared" si="4"/>
        <v>0</v>
      </c>
      <c r="T38" s="311">
        <f t="shared" si="5"/>
        <v>0</v>
      </c>
      <c r="V38" s="120">
        <f>'As-Filed Schedule 2E'!N38</f>
        <v>0</v>
      </c>
      <c r="W38" s="314">
        <f>SUMIFS(Adjustments!$G:$G,Adjustments!$H:$H,"2E",Adjustments!$I:$I,'Schedule 2E Adjustments'!$V$12,Adjustments!$J:$J,'Schedule 2E Adjustments'!$A38)</f>
        <v>0</v>
      </c>
      <c r="X38" s="310">
        <f t="shared" si="6"/>
        <v>0</v>
      </c>
      <c r="Y38" s="120">
        <f>'As-Filed Schedule 2E'!O38</f>
        <v>0</v>
      </c>
      <c r="Z38" s="314">
        <f>SUMIFS(Adjustments!$G:$G,Adjustments!$H:$H,"2E",Adjustments!$I:$I,'Schedule 2E Adjustments'!$Y$12,Adjustments!$J:$J,'Schedule 2E Adjustments'!$A38)</f>
        <v>0</v>
      </c>
      <c r="AA38" s="310">
        <f t="shared" si="7"/>
        <v>0</v>
      </c>
    </row>
    <row r="39" spans="1:27" x14ac:dyDescent="0.35">
      <c r="A39" s="24">
        <v>25</v>
      </c>
      <c r="B39" s="513" t="str">
        <f>IF('As-Filed Schedule 2E'!B39:D39=0,"",'As-Filed Schedule 2E'!B39:D39)</f>
        <v/>
      </c>
      <c r="C39" s="513"/>
      <c r="D39" s="513"/>
      <c r="F39" s="117">
        <f>'As-Filed Schedule 2E'!F39</f>
        <v>0</v>
      </c>
      <c r="G39" s="314">
        <f>SUMIFS(Adjustments!$G:$G,Adjustments!$H:$H,"2E",Adjustments!$I:$I,'Schedule 2E Adjustments'!$F$12,Adjustments!$J:$J,'Schedule 2E Adjustments'!$A39)</f>
        <v>0</v>
      </c>
      <c r="H39" s="310">
        <f t="shared" si="0"/>
        <v>0</v>
      </c>
      <c r="I39" s="68">
        <f>IFERROR(F39*'As-Filed Schedule 1'!$E$103,0)</f>
        <v>0</v>
      </c>
      <c r="J39" s="311">
        <f>IFERROR(H39*'Adjusted Schedule 1'!$E$104,0)</f>
        <v>0</v>
      </c>
      <c r="K39" s="68">
        <f t="shared" si="1"/>
        <v>0</v>
      </c>
      <c r="L39" s="311">
        <f t="shared" si="2"/>
        <v>0</v>
      </c>
      <c r="N39" s="117">
        <f>'As-Filed Schedule 2E'!J39</f>
        <v>0</v>
      </c>
      <c r="O39" s="314">
        <f>SUMIFS(Adjustments!$G:$G,Adjustments!$H:$H,"2E",Adjustments!$I:$I,'Schedule 2E Adjustments'!$N$12,Adjustments!$J:$J,'Schedule 2E Adjustments'!$A39)</f>
        <v>0</v>
      </c>
      <c r="P39" s="310">
        <f t="shared" si="3"/>
        <v>0</v>
      </c>
      <c r="Q39" s="68">
        <f>IFERROR(N39*'As-Filed Schedule 1'!$E$103,0)</f>
        <v>0</v>
      </c>
      <c r="R39" s="68">
        <f>IFERROR(P39*'Adjusted Schedule 1'!$E$104,0)</f>
        <v>0</v>
      </c>
      <c r="S39" s="68">
        <f t="shared" si="4"/>
        <v>0</v>
      </c>
      <c r="T39" s="311">
        <f t="shared" si="5"/>
        <v>0</v>
      </c>
      <c r="V39" s="120">
        <f>'As-Filed Schedule 2E'!N39</f>
        <v>0</v>
      </c>
      <c r="W39" s="314">
        <f>SUMIFS(Adjustments!$G:$G,Adjustments!$H:$H,"2E",Adjustments!$I:$I,'Schedule 2E Adjustments'!$V$12,Adjustments!$J:$J,'Schedule 2E Adjustments'!$A39)</f>
        <v>0</v>
      </c>
      <c r="X39" s="310">
        <f t="shared" si="6"/>
        <v>0</v>
      </c>
      <c r="Y39" s="120">
        <f>'As-Filed Schedule 2E'!O39</f>
        <v>0</v>
      </c>
      <c r="Z39" s="314">
        <f>SUMIFS(Adjustments!$G:$G,Adjustments!$H:$H,"2E",Adjustments!$I:$I,'Schedule 2E Adjustments'!$Y$12,Adjustments!$J:$J,'Schedule 2E Adjustments'!$A39)</f>
        <v>0</v>
      </c>
      <c r="AA39" s="310">
        <f t="shared" si="7"/>
        <v>0</v>
      </c>
    </row>
    <row r="40" spans="1:27" x14ac:dyDescent="0.35">
      <c r="A40" s="24">
        <v>26</v>
      </c>
      <c r="B40" s="513" t="str">
        <f>IF('As-Filed Schedule 2E'!B40:D40=0,"",'As-Filed Schedule 2E'!B40:D40)</f>
        <v/>
      </c>
      <c r="C40" s="513"/>
      <c r="D40" s="513"/>
      <c r="F40" s="117">
        <f>'As-Filed Schedule 2E'!F40</f>
        <v>0</v>
      </c>
      <c r="G40" s="314">
        <f>SUMIFS(Adjustments!$G:$G,Adjustments!$H:$H,"2E",Adjustments!$I:$I,'Schedule 2E Adjustments'!$F$12,Adjustments!$J:$J,'Schedule 2E Adjustments'!$A40)</f>
        <v>0</v>
      </c>
      <c r="H40" s="310">
        <f t="shared" si="0"/>
        <v>0</v>
      </c>
      <c r="I40" s="68">
        <f>IFERROR(F40*'As-Filed Schedule 1'!$E$103,0)</f>
        <v>0</v>
      </c>
      <c r="J40" s="311">
        <f>IFERROR(H40*'Adjusted Schedule 1'!$E$104,0)</f>
        <v>0</v>
      </c>
      <c r="K40" s="68">
        <f t="shared" si="1"/>
        <v>0</v>
      </c>
      <c r="L40" s="311">
        <f t="shared" si="2"/>
        <v>0</v>
      </c>
      <c r="N40" s="117">
        <f>'As-Filed Schedule 2E'!J40</f>
        <v>0</v>
      </c>
      <c r="O40" s="314">
        <f>SUMIFS(Adjustments!$G:$G,Adjustments!$H:$H,"2E",Adjustments!$I:$I,'Schedule 2E Adjustments'!$N$12,Adjustments!$J:$J,'Schedule 2E Adjustments'!$A40)</f>
        <v>0</v>
      </c>
      <c r="P40" s="310">
        <f t="shared" si="3"/>
        <v>0</v>
      </c>
      <c r="Q40" s="68">
        <f>IFERROR(N40*'As-Filed Schedule 1'!$E$103,0)</f>
        <v>0</v>
      </c>
      <c r="R40" s="68">
        <f>IFERROR(P40*'Adjusted Schedule 1'!$E$104,0)</f>
        <v>0</v>
      </c>
      <c r="S40" s="68">
        <f t="shared" si="4"/>
        <v>0</v>
      </c>
      <c r="T40" s="311">
        <f t="shared" si="5"/>
        <v>0</v>
      </c>
      <c r="V40" s="120">
        <f>'As-Filed Schedule 2E'!N40</f>
        <v>0</v>
      </c>
      <c r="W40" s="314">
        <f>SUMIFS(Adjustments!$G:$G,Adjustments!$H:$H,"2E",Adjustments!$I:$I,'Schedule 2E Adjustments'!$V$12,Adjustments!$J:$J,'Schedule 2E Adjustments'!$A40)</f>
        <v>0</v>
      </c>
      <c r="X40" s="310">
        <f t="shared" si="6"/>
        <v>0</v>
      </c>
      <c r="Y40" s="120">
        <f>'As-Filed Schedule 2E'!O40</f>
        <v>0</v>
      </c>
      <c r="Z40" s="314">
        <f>SUMIFS(Adjustments!$G:$G,Adjustments!$H:$H,"2E",Adjustments!$I:$I,'Schedule 2E Adjustments'!$Y$12,Adjustments!$J:$J,'Schedule 2E Adjustments'!$A40)</f>
        <v>0</v>
      </c>
      <c r="AA40" s="310">
        <f t="shared" si="7"/>
        <v>0</v>
      </c>
    </row>
    <row r="41" spans="1:27" x14ac:dyDescent="0.35">
      <c r="A41" s="24">
        <v>27</v>
      </c>
      <c r="B41" s="513" t="str">
        <f>IF('As-Filed Schedule 2E'!B41:D41=0,"",'As-Filed Schedule 2E'!B41:D41)</f>
        <v/>
      </c>
      <c r="C41" s="513"/>
      <c r="D41" s="513"/>
      <c r="F41" s="117">
        <f>'As-Filed Schedule 2E'!F41</f>
        <v>0</v>
      </c>
      <c r="G41" s="314">
        <f>SUMIFS(Adjustments!$G:$G,Adjustments!$H:$H,"2E",Adjustments!$I:$I,'Schedule 2E Adjustments'!$F$12,Adjustments!$J:$J,'Schedule 2E Adjustments'!$A41)</f>
        <v>0</v>
      </c>
      <c r="H41" s="310">
        <f t="shared" si="0"/>
        <v>0</v>
      </c>
      <c r="I41" s="68">
        <f>IFERROR(F41*'As-Filed Schedule 1'!$E$103,0)</f>
        <v>0</v>
      </c>
      <c r="J41" s="311">
        <f>IFERROR(H41*'Adjusted Schedule 1'!$E$104,0)</f>
        <v>0</v>
      </c>
      <c r="K41" s="68">
        <f t="shared" si="1"/>
        <v>0</v>
      </c>
      <c r="L41" s="311">
        <f t="shared" si="2"/>
        <v>0</v>
      </c>
      <c r="N41" s="117">
        <f>'As-Filed Schedule 2E'!J41</f>
        <v>0</v>
      </c>
      <c r="O41" s="314">
        <f>SUMIFS(Adjustments!$G:$G,Adjustments!$H:$H,"2E",Adjustments!$I:$I,'Schedule 2E Adjustments'!$N$12,Adjustments!$J:$J,'Schedule 2E Adjustments'!$A41)</f>
        <v>0</v>
      </c>
      <c r="P41" s="310">
        <f t="shared" si="3"/>
        <v>0</v>
      </c>
      <c r="Q41" s="68">
        <f>IFERROR(N41*'As-Filed Schedule 1'!$E$103,0)</f>
        <v>0</v>
      </c>
      <c r="R41" s="68">
        <f>IFERROR(P41*'Adjusted Schedule 1'!$E$104,0)</f>
        <v>0</v>
      </c>
      <c r="S41" s="68">
        <f t="shared" si="4"/>
        <v>0</v>
      </c>
      <c r="T41" s="311">
        <f t="shared" si="5"/>
        <v>0</v>
      </c>
      <c r="V41" s="120">
        <f>'As-Filed Schedule 2E'!N41</f>
        <v>0</v>
      </c>
      <c r="W41" s="314">
        <f>SUMIFS(Adjustments!$G:$G,Adjustments!$H:$H,"2E",Adjustments!$I:$I,'Schedule 2E Adjustments'!$V$12,Adjustments!$J:$J,'Schedule 2E Adjustments'!$A41)</f>
        <v>0</v>
      </c>
      <c r="X41" s="310">
        <f t="shared" si="6"/>
        <v>0</v>
      </c>
      <c r="Y41" s="120">
        <f>'As-Filed Schedule 2E'!O41</f>
        <v>0</v>
      </c>
      <c r="Z41" s="314">
        <f>SUMIFS(Adjustments!$G:$G,Adjustments!$H:$H,"2E",Adjustments!$I:$I,'Schedule 2E Adjustments'!$Y$12,Adjustments!$J:$J,'Schedule 2E Adjustments'!$A41)</f>
        <v>0</v>
      </c>
      <c r="AA41" s="310">
        <f t="shared" si="7"/>
        <v>0</v>
      </c>
    </row>
    <row r="42" spans="1:27" x14ac:dyDescent="0.35">
      <c r="A42" s="24">
        <v>28</v>
      </c>
      <c r="B42" s="513" t="str">
        <f>IF('As-Filed Schedule 2E'!B42:D42=0,"",'As-Filed Schedule 2E'!B42:D42)</f>
        <v/>
      </c>
      <c r="C42" s="513"/>
      <c r="D42" s="513"/>
      <c r="F42" s="117">
        <f>'As-Filed Schedule 2E'!F42</f>
        <v>0</v>
      </c>
      <c r="G42" s="314">
        <f>SUMIFS(Adjustments!$G:$G,Adjustments!$H:$H,"2E",Adjustments!$I:$I,'Schedule 2E Adjustments'!$F$12,Adjustments!$J:$J,'Schedule 2E Adjustments'!$A42)</f>
        <v>0</v>
      </c>
      <c r="H42" s="310">
        <f t="shared" si="0"/>
        <v>0</v>
      </c>
      <c r="I42" s="68">
        <f>IFERROR(F42*'As-Filed Schedule 1'!$E$103,0)</f>
        <v>0</v>
      </c>
      <c r="J42" s="311">
        <f>IFERROR(H42*'Adjusted Schedule 1'!$E$104,0)</f>
        <v>0</v>
      </c>
      <c r="K42" s="68">
        <f t="shared" si="1"/>
        <v>0</v>
      </c>
      <c r="L42" s="311">
        <f t="shared" si="2"/>
        <v>0</v>
      </c>
      <c r="N42" s="117">
        <f>'As-Filed Schedule 2E'!J42</f>
        <v>0</v>
      </c>
      <c r="O42" s="314">
        <f>SUMIFS(Adjustments!$G:$G,Adjustments!$H:$H,"2E",Adjustments!$I:$I,'Schedule 2E Adjustments'!$N$12,Adjustments!$J:$J,'Schedule 2E Adjustments'!$A42)</f>
        <v>0</v>
      </c>
      <c r="P42" s="310">
        <f t="shared" si="3"/>
        <v>0</v>
      </c>
      <c r="Q42" s="68">
        <f>IFERROR(N42*'As-Filed Schedule 1'!$E$103,0)</f>
        <v>0</v>
      </c>
      <c r="R42" s="68">
        <f>IFERROR(P42*'Adjusted Schedule 1'!$E$104,0)</f>
        <v>0</v>
      </c>
      <c r="S42" s="68">
        <f t="shared" si="4"/>
        <v>0</v>
      </c>
      <c r="T42" s="311">
        <f t="shared" si="5"/>
        <v>0</v>
      </c>
      <c r="V42" s="120">
        <f>'As-Filed Schedule 2E'!N42</f>
        <v>0</v>
      </c>
      <c r="W42" s="314">
        <f>SUMIFS(Adjustments!$G:$G,Adjustments!$H:$H,"2E",Adjustments!$I:$I,'Schedule 2E Adjustments'!$V$12,Adjustments!$J:$J,'Schedule 2E Adjustments'!$A42)</f>
        <v>0</v>
      </c>
      <c r="X42" s="310">
        <f t="shared" si="6"/>
        <v>0</v>
      </c>
      <c r="Y42" s="120">
        <f>'As-Filed Schedule 2E'!O42</f>
        <v>0</v>
      </c>
      <c r="Z42" s="314">
        <f>SUMIFS(Adjustments!$G:$G,Adjustments!$H:$H,"2E",Adjustments!$I:$I,'Schedule 2E Adjustments'!$Y$12,Adjustments!$J:$J,'Schedule 2E Adjustments'!$A42)</f>
        <v>0</v>
      </c>
      <c r="AA42" s="310">
        <f t="shared" si="7"/>
        <v>0</v>
      </c>
    </row>
    <row r="43" spans="1:27" x14ac:dyDescent="0.35">
      <c r="A43" s="24">
        <v>29</v>
      </c>
      <c r="B43" s="513" t="str">
        <f>IF('As-Filed Schedule 2E'!B43:D43=0,"",'As-Filed Schedule 2E'!B43:D43)</f>
        <v/>
      </c>
      <c r="C43" s="513"/>
      <c r="D43" s="513"/>
      <c r="F43" s="117">
        <f>'As-Filed Schedule 2E'!F43</f>
        <v>0</v>
      </c>
      <c r="G43" s="314">
        <f>SUMIFS(Adjustments!$G:$G,Adjustments!$H:$H,"2E",Adjustments!$I:$I,'Schedule 2E Adjustments'!$F$12,Adjustments!$J:$J,'Schedule 2E Adjustments'!$A43)</f>
        <v>0</v>
      </c>
      <c r="H43" s="310">
        <f t="shared" si="0"/>
        <v>0</v>
      </c>
      <c r="I43" s="68">
        <f>IFERROR(F43*'As-Filed Schedule 1'!$E$103,0)</f>
        <v>0</v>
      </c>
      <c r="J43" s="311">
        <f>IFERROR(H43*'Adjusted Schedule 1'!$E$104,0)</f>
        <v>0</v>
      </c>
      <c r="K43" s="68">
        <f t="shared" si="1"/>
        <v>0</v>
      </c>
      <c r="L43" s="311">
        <f t="shared" si="2"/>
        <v>0</v>
      </c>
      <c r="N43" s="117">
        <f>'As-Filed Schedule 2E'!J43</f>
        <v>0</v>
      </c>
      <c r="O43" s="314">
        <f>SUMIFS(Adjustments!$G:$G,Adjustments!$H:$H,"2E",Adjustments!$I:$I,'Schedule 2E Adjustments'!$N$12,Adjustments!$J:$J,'Schedule 2E Adjustments'!$A43)</f>
        <v>0</v>
      </c>
      <c r="P43" s="310">
        <f t="shared" si="3"/>
        <v>0</v>
      </c>
      <c r="Q43" s="68">
        <f>IFERROR(N43*'As-Filed Schedule 1'!$E$103,0)</f>
        <v>0</v>
      </c>
      <c r="R43" s="68">
        <f>IFERROR(P43*'Adjusted Schedule 1'!$E$104,0)</f>
        <v>0</v>
      </c>
      <c r="S43" s="68">
        <f t="shared" si="4"/>
        <v>0</v>
      </c>
      <c r="T43" s="311">
        <f t="shared" si="5"/>
        <v>0</v>
      </c>
      <c r="V43" s="120">
        <f>'As-Filed Schedule 2E'!N43</f>
        <v>0</v>
      </c>
      <c r="W43" s="314">
        <f>SUMIFS(Adjustments!$G:$G,Adjustments!$H:$H,"2E",Adjustments!$I:$I,'Schedule 2E Adjustments'!$V$12,Adjustments!$J:$J,'Schedule 2E Adjustments'!$A43)</f>
        <v>0</v>
      </c>
      <c r="X43" s="310">
        <f t="shared" si="6"/>
        <v>0</v>
      </c>
      <c r="Y43" s="120">
        <f>'As-Filed Schedule 2E'!O43</f>
        <v>0</v>
      </c>
      <c r="Z43" s="314">
        <f>SUMIFS(Adjustments!$G:$G,Adjustments!$H:$H,"2E",Adjustments!$I:$I,'Schedule 2E Adjustments'!$Y$12,Adjustments!$J:$J,'Schedule 2E Adjustments'!$A43)</f>
        <v>0</v>
      </c>
      <c r="AA43" s="310">
        <f t="shared" si="7"/>
        <v>0</v>
      </c>
    </row>
    <row r="44" spans="1:27" x14ac:dyDescent="0.35">
      <c r="A44" s="24">
        <v>30</v>
      </c>
      <c r="B44" s="513" t="str">
        <f>IF('As-Filed Schedule 2E'!B44:D44=0,"",'As-Filed Schedule 2E'!B44:D44)</f>
        <v/>
      </c>
      <c r="C44" s="513"/>
      <c r="D44" s="513"/>
      <c r="F44" s="117">
        <f>'As-Filed Schedule 2E'!F44</f>
        <v>0</v>
      </c>
      <c r="G44" s="314">
        <f>SUMIFS(Adjustments!$G:$G,Adjustments!$H:$H,"2E",Adjustments!$I:$I,'Schedule 2E Adjustments'!$F$12,Adjustments!$J:$J,'Schedule 2E Adjustments'!$A44)</f>
        <v>0</v>
      </c>
      <c r="H44" s="310">
        <f t="shared" si="0"/>
        <v>0</v>
      </c>
      <c r="I44" s="68">
        <f>IFERROR(F44*'As-Filed Schedule 1'!$E$103,0)</f>
        <v>0</v>
      </c>
      <c r="J44" s="311">
        <f>IFERROR(H44*'Adjusted Schedule 1'!$E$104,0)</f>
        <v>0</v>
      </c>
      <c r="K44" s="68">
        <f t="shared" si="1"/>
        <v>0</v>
      </c>
      <c r="L44" s="311">
        <f t="shared" si="2"/>
        <v>0</v>
      </c>
      <c r="N44" s="117">
        <f>'As-Filed Schedule 2E'!J44</f>
        <v>0</v>
      </c>
      <c r="O44" s="314">
        <f>SUMIFS(Adjustments!$G:$G,Adjustments!$H:$H,"2E",Adjustments!$I:$I,'Schedule 2E Adjustments'!$N$12,Adjustments!$J:$J,'Schedule 2E Adjustments'!$A44)</f>
        <v>0</v>
      </c>
      <c r="P44" s="310">
        <f t="shared" si="3"/>
        <v>0</v>
      </c>
      <c r="Q44" s="68">
        <f>IFERROR(N44*'As-Filed Schedule 1'!$E$103,0)</f>
        <v>0</v>
      </c>
      <c r="R44" s="68">
        <f>IFERROR(P44*'Adjusted Schedule 1'!$E$104,0)</f>
        <v>0</v>
      </c>
      <c r="S44" s="68">
        <f t="shared" si="4"/>
        <v>0</v>
      </c>
      <c r="T44" s="311">
        <f t="shared" si="5"/>
        <v>0</v>
      </c>
      <c r="V44" s="120">
        <f>'As-Filed Schedule 2E'!N44</f>
        <v>0</v>
      </c>
      <c r="W44" s="314">
        <f>SUMIFS(Adjustments!$G:$G,Adjustments!$H:$H,"2E",Adjustments!$I:$I,'Schedule 2E Adjustments'!$V$12,Adjustments!$J:$J,'Schedule 2E Adjustments'!$A44)</f>
        <v>0</v>
      </c>
      <c r="X44" s="310">
        <f t="shared" si="6"/>
        <v>0</v>
      </c>
      <c r="Y44" s="120">
        <f>'As-Filed Schedule 2E'!O44</f>
        <v>0</v>
      </c>
      <c r="Z44" s="314">
        <f>SUMIFS(Adjustments!$G:$G,Adjustments!$H:$H,"2E",Adjustments!$I:$I,'Schedule 2E Adjustments'!$Y$12,Adjustments!$J:$J,'Schedule 2E Adjustments'!$A44)</f>
        <v>0</v>
      </c>
      <c r="AA44" s="310">
        <f t="shared" si="7"/>
        <v>0</v>
      </c>
    </row>
    <row r="45" spans="1:27" x14ac:dyDescent="0.35">
      <c r="A45" s="24">
        <v>31</v>
      </c>
      <c r="B45" s="513" t="str">
        <f>IF('As-Filed Schedule 2E'!B45:D45=0,"",'As-Filed Schedule 2E'!B45:D45)</f>
        <v/>
      </c>
      <c r="C45" s="513"/>
      <c r="D45" s="513"/>
      <c r="F45" s="117">
        <f>'As-Filed Schedule 2E'!F45</f>
        <v>0</v>
      </c>
      <c r="G45" s="314">
        <f>SUMIFS(Adjustments!$G:$G,Adjustments!$H:$H,"2E",Adjustments!$I:$I,'Schedule 2E Adjustments'!$F$12,Adjustments!$J:$J,'Schedule 2E Adjustments'!$A45)</f>
        <v>0</v>
      </c>
      <c r="H45" s="310">
        <f t="shared" si="0"/>
        <v>0</v>
      </c>
      <c r="I45" s="68">
        <f>IFERROR(F45*'As-Filed Schedule 1'!$E$103,0)</f>
        <v>0</v>
      </c>
      <c r="J45" s="311">
        <f>IFERROR(H45*'Adjusted Schedule 1'!$E$104,0)</f>
        <v>0</v>
      </c>
      <c r="K45" s="68">
        <f t="shared" si="1"/>
        <v>0</v>
      </c>
      <c r="L45" s="311">
        <f t="shared" si="2"/>
        <v>0</v>
      </c>
      <c r="N45" s="117">
        <f>'As-Filed Schedule 2E'!J45</f>
        <v>0</v>
      </c>
      <c r="O45" s="314">
        <f>SUMIFS(Adjustments!$G:$G,Adjustments!$H:$H,"2E",Adjustments!$I:$I,'Schedule 2E Adjustments'!$N$12,Adjustments!$J:$J,'Schedule 2E Adjustments'!$A45)</f>
        <v>0</v>
      </c>
      <c r="P45" s="310">
        <f t="shared" si="3"/>
        <v>0</v>
      </c>
      <c r="Q45" s="68">
        <f>IFERROR(N45*'As-Filed Schedule 1'!$E$103,0)</f>
        <v>0</v>
      </c>
      <c r="R45" s="68">
        <f>IFERROR(P45*'Adjusted Schedule 1'!$E$104,0)</f>
        <v>0</v>
      </c>
      <c r="S45" s="68">
        <f t="shared" si="4"/>
        <v>0</v>
      </c>
      <c r="T45" s="311">
        <f t="shared" si="5"/>
        <v>0</v>
      </c>
      <c r="V45" s="120">
        <f>'As-Filed Schedule 2E'!N45</f>
        <v>0</v>
      </c>
      <c r="W45" s="314">
        <f>SUMIFS(Adjustments!$G:$G,Adjustments!$H:$H,"2E",Adjustments!$I:$I,'Schedule 2E Adjustments'!$V$12,Adjustments!$J:$J,'Schedule 2E Adjustments'!$A45)</f>
        <v>0</v>
      </c>
      <c r="X45" s="310">
        <f t="shared" si="6"/>
        <v>0</v>
      </c>
      <c r="Y45" s="120">
        <f>'As-Filed Schedule 2E'!O45</f>
        <v>0</v>
      </c>
      <c r="Z45" s="314">
        <f>SUMIFS(Adjustments!$G:$G,Adjustments!$H:$H,"2E",Adjustments!$I:$I,'Schedule 2E Adjustments'!$Y$12,Adjustments!$J:$J,'Schedule 2E Adjustments'!$A45)</f>
        <v>0</v>
      </c>
      <c r="AA45" s="310">
        <f t="shared" si="7"/>
        <v>0</v>
      </c>
    </row>
    <row r="46" spans="1:27" x14ac:dyDescent="0.35">
      <c r="A46" s="24">
        <v>32</v>
      </c>
      <c r="B46" s="513" t="str">
        <f>IF('As-Filed Schedule 2E'!B46:D46=0,"",'As-Filed Schedule 2E'!B46:D46)</f>
        <v/>
      </c>
      <c r="C46" s="513"/>
      <c r="D46" s="513"/>
      <c r="F46" s="117">
        <f>'As-Filed Schedule 2E'!F46</f>
        <v>0</v>
      </c>
      <c r="G46" s="314">
        <f>SUMIFS(Adjustments!$G:$G,Adjustments!$H:$H,"2E",Adjustments!$I:$I,'Schedule 2E Adjustments'!$F$12,Adjustments!$J:$J,'Schedule 2E Adjustments'!$A46)</f>
        <v>0</v>
      </c>
      <c r="H46" s="310">
        <f t="shared" si="0"/>
        <v>0</v>
      </c>
      <c r="I46" s="68">
        <f>IFERROR(F46*'As-Filed Schedule 1'!$E$103,0)</f>
        <v>0</v>
      </c>
      <c r="J46" s="311">
        <f>IFERROR(H46*'Adjusted Schedule 1'!$E$104,0)</f>
        <v>0</v>
      </c>
      <c r="K46" s="68">
        <f t="shared" si="1"/>
        <v>0</v>
      </c>
      <c r="L46" s="311">
        <f t="shared" si="2"/>
        <v>0</v>
      </c>
      <c r="N46" s="117">
        <f>'As-Filed Schedule 2E'!J46</f>
        <v>0</v>
      </c>
      <c r="O46" s="314">
        <f>SUMIFS(Adjustments!$G:$G,Adjustments!$H:$H,"2E",Adjustments!$I:$I,'Schedule 2E Adjustments'!$N$12,Adjustments!$J:$J,'Schedule 2E Adjustments'!$A46)</f>
        <v>0</v>
      </c>
      <c r="P46" s="310">
        <f t="shared" si="3"/>
        <v>0</v>
      </c>
      <c r="Q46" s="68">
        <f>IFERROR(N46*'As-Filed Schedule 1'!$E$103,0)</f>
        <v>0</v>
      </c>
      <c r="R46" s="68">
        <f>IFERROR(P46*'Adjusted Schedule 1'!$E$104,0)</f>
        <v>0</v>
      </c>
      <c r="S46" s="68">
        <f t="shared" si="4"/>
        <v>0</v>
      </c>
      <c r="T46" s="311">
        <f t="shared" si="5"/>
        <v>0</v>
      </c>
      <c r="V46" s="120">
        <f>'As-Filed Schedule 2E'!N46</f>
        <v>0</v>
      </c>
      <c r="W46" s="314">
        <f>SUMIFS(Adjustments!$G:$G,Adjustments!$H:$H,"2E",Adjustments!$I:$I,'Schedule 2E Adjustments'!$V$12,Adjustments!$J:$J,'Schedule 2E Adjustments'!$A46)</f>
        <v>0</v>
      </c>
      <c r="X46" s="310">
        <f t="shared" si="6"/>
        <v>0</v>
      </c>
      <c r="Y46" s="120">
        <f>'As-Filed Schedule 2E'!O46</f>
        <v>0</v>
      </c>
      <c r="Z46" s="314">
        <f>SUMIFS(Adjustments!$G:$G,Adjustments!$H:$H,"2E",Adjustments!$I:$I,'Schedule 2E Adjustments'!$Y$12,Adjustments!$J:$J,'Schedule 2E Adjustments'!$A46)</f>
        <v>0</v>
      </c>
      <c r="AA46" s="310">
        <f t="shared" si="7"/>
        <v>0</v>
      </c>
    </row>
    <row r="47" spans="1:27" x14ac:dyDescent="0.35">
      <c r="A47" s="24">
        <v>33</v>
      </c>
      <c r="B47" s="513" t="str">
        <f>IF('As-Filed Schedule 2E'!B47:D47=0,"",'As-Filed Schedule 2E'!B47:D47)</f>
        <v/>
      </c>
      <c r="C47" s="513"/>
      <c r="D47" s="513"/>
      <c r="F47" s="117">
        <f>'As-Filed Schedule 2E'!F47</f>
        <v>0</v>
      </c>
      <c r="G47" s="314">
        <f>SUMIFS(Adjustments!$G:$G,Adjustments!$H:$H,"2E",Adjustments!$I:$I,'Schedule 2E Adjustments'!$F$12,Adjustments!$J:$J,'Schedule 2E Adjustments'!$A47)</f>
        <v>0</v>
      </c>
      <c r="H47" s="310">
        <f t="shared" si="0"/>
        <v>0</v>
      </c>
      <c r="I47" s="68">
        <f>IFERROR(F47*'As-Filed Schedule 1'!$E$103,0)</f>
        <v>0</v>
      </c>
      <c r="J47" s="311">
        <f>IFERROR(H47*'Adjusted Schedule 1'!$E$104,0)</f>
        <v>0</v>
      </c>
      <c r="K47" s="68">
        <f t="shared" si="1"/>
        <v>0</v>
      </c>
      <c r="L47" s="311">
        <f t="shared" si="2"/>
        <v>0</v>
      </c>
      <c r="N47" s="117">
        <f>'As-Filed Schedule 2E'!J47</f>
        <v>0</v>
      </c>
      <c r="O47" s="314">
        <f>SUMIFS(Adjustments!$G:$G,Adjustments!$H:$H,"2E",Adjustments!$I:$I,'Schedule 2E Adjustments'!$N$12,Adjustments!$J:$J,'Schedule 2E Adjustments'!$A47)</f>
        <v>0</v>
      </c>
      <c r="P47" s="310">
        <f t="shared" si="3"/>
        <v>0</v>
      </c>
      <c r="Q47" s="68">
        <f>IFERROR(N47*'As-Filed Schedule 1'!$E$103,0)</f>
        <v>0</v>
      </c>
      <c r="R47" s="68">
        <f>IFERROR(P47*'Adjusted Schedule 1'!$E$104,0)</f>
        <v>0</v>
      </c>
      <c r="S47" s="68">
        <f t="shared" si="4"/>
        <v>0</v>
      </c>
      <c r="T47" s="311">
        <f t="shared" si="5"/>
        <v>0</v>
      </c>
      <c r="V47" s="120">
        <f>'As-Filed Schedule 2E'!N47</f>
        <v>0</v>
      </c>
      <c r="W47" s="314">
        <f>SUMIFS(Adjustments!$G:$G,Adjustments!$H:$H,"2E",Adjustments!$I:$I,'Schedule 2E Adjustments'!$V$12,Adjustments!$J:$J,'Schedule 2E Adjustments'!$A47)</f>
        <v>0</v>
      </c>
      <c r="X47" s="310">
        <f t="shared" si="6"/>
        <v>0</v>
      </c>
      <c r="Y47" s="120">
        <f>'As-Filed Schedule 2E'!O47</f>
        <v>0</v>
      </c>
      <c r="Z47" s="314">
        <f>SUMIFS(Adjustments!$G:$G,Adjustments!$H:$H,"2E",Adjustments!$I:$I,'Schedule 2E Adjustments'!$Y$12,Adjustments!$J:$J,'Schedule 2E Adjustments'!$A47)</f>
        <v>0</v>
      </c>
      <c r="AA47" s="310">
        <f t="shared" si="7"/>
        <v>0</v>
      </c>
    </row>
    <row r="48" spans="1:27" x14ac:dyDescent="0.35">
      <c r="A48" s="24">
        <v>34</v>
      </c>
      <c r="B48" s="513" t="str">
        <f>IF('As-Filed Schedule 2E'!B48:D48=0,"",'As-Filed Schedule 2E'!B48:D48)</f>
        <v/>
      </c>
      <c r="C48" s="513"/>
      <c r="D48" s="513"/>
      <c r="F48" s="117">
        <f>'As-Filed Schedule 2E'!F48</f>
        <v>0</v>
      </c>
      <c r="G48" s="314">
        <f>SUMIFS(Adjustments!$G:$G,Adjustments!$H:$H,"2E",Adjustments!$I:$I,'Schedule 2E Adjustments'!$F$12,Adjustments!$J:$J,'Schedule 2E Adjustments'!$A48)</f>
        <v>0</v>
      </c>
      <c r="H48" s="310">
        <f t="shared" si="0"/>
        <v>0</v>
      </c>
      <c r="I48" s="68">
        <f>IFERROR(F48*'As-Filed Schedule 1'!$E$103,0)</f>
        <v>0</v>
      </c>
      <c r="J48" s="311">
        <f>IFERROR(H48*'Adjusted Schedule 1'!$E$104,0)</f>
        <v>0</v>
      </c>
      <c r="K48" s="68">
        <f t="shared" si="1"/>
        <v>0</v>
      </c>
      <c r="L48" s="311">
        <f t="shared" si="2"/>
        <v>0</v>
      </c>
      <c r="N48" s="117">
        <f>'As-Filed Schedule 2E'!J48</f>
        <v>0</v>
      </c>
      <c r="O48" s="314">
        <f>SUMIFS(Adjustments!$G:$G,Adjustments!$H:$H,"2E",Adjustments!$I:$I,'Schedule 2E Adjustments'!$N$12,Adjustments!$J:$J,'Schedule 2E Adjustments'!$A48)</f>
        <v>0</v>
      </c>
      <c r="P48" s="310">
        <f t="shared" si="3"/>
        <v>0</v>
      </c>
      <c r="Q48" s="68">
        <f>IFERROR(N48*'As-Filed Schedule 1'!$E$103,0)</f>
        <v>0</v>
      </c>
      <c r="R48" s="68">
        <f>IFERROR(P48*'Adjusted Schedule 1'!$E$104,0)</f>
        <v>0</v>
      </c>
      <c r="S48" s="68">
        <f t="shared" si="4"/>
        <v>0</v>
      </c>
      <c r="T48" s="311">
        <f t="shared" si="5"/>
        <v>0</v>
      </c>
      <c r="V48" s="120">
        <f>'As-Filed Schedule 2E'!N48</f>
        <v>0</v>
      </c>
      <c r="W48" s="314">
        <f>SUMIFS(Adjustments!$G:$G,Adjustments!$H:$H,"2E",Adjustments!$I:$I,'Schedule 2E Adjustments'!$V$12,Adjustments!$J:$J,'Schedule 2E Adjustments'!$A48)</f>
        <v>0</v>
      </c>
      <c r="X48" s="310">
        <f t="shared" si="6"/>
        <v>0</v>
      </c>
      <c r="Y48" s="120">
        <f>'As-Filed Schedule 2E'!O48</f>
        <v>0</v>
      </c>
      <c r="Z48" s="314">
        <f>SUMIFS(Adjustments!$G:$G,Adjustments!$H:$H,"2E",Adjustments!$I:$I,'Schedule 2E Adjustments'!$Y$12,Adjustments!$J:$J,'Schedule 2E Adjustments'!$A48)</f>
        <v>0</v>
      </c>
      <c r="AA48" s="310">
        <f t="shared" si="7"/>
        <v>0</v>
      </c>
    </row>
    <row r="49" spans="1:27" x14ac:dyDescent="0.35">
      <c r="A49" s="24">
        <v>35</v>
      </c>
      <c r="B49" s="513" t="str">
        <f>IF('As-Filed Schedule 2E'!B49:D49=0,"",'As-Filed Schedule 2E'!B49:D49)</f>
        <v/>
      </c>
      <c r="C49" s="513"/>
      <c r="D49" s="513"/>
      <c r="F49" s="117">
        <f>'As-Filed Schedule 2E'!F49</f>
        <v>0</v>
      </c>
      <c r="G49" s="314">
        <f>SUMIFS(Adjustments!$G:$G,Adjustments!$H:$H,"2E",Adjustments!$I:$I,'Schedule 2E Adjustments'!$F$12,Adjustments!$J:$J,'Schedule 2E Adjustments'!$A49)</f>
        <v>0</v>
      </c>
      <c r="H49" s="310">
        <f t="shared" si="0"/>
        <v>0</v>
      </c>
      <c r="I49" s="68">
        <f>IFERROR(F49*'As-Filed Schedule 1'!$E$103,0)</f>
        <v>0</v>
      </c>
      <c r="J49" s="311">
        <f>IFERROR(H49*'Adjusted Schedule 1'!$E$104,0)</f>
        <v>0</v>
      </c>
      <c r="K49" s="68">
        <f t="shared" si="1"/>
        <v>0</v>
      </c>
      <c r="L49" s="311">
        <f t="shared" si="2"/>
        <v>0</v>
      </c>
      <c r="N49" s="117">
        <f>'As-Filed Schedule 2E'!J49</f>
        <v>0</v>
      </c>
      <c r="O49" s="314">
        <f>SUMIFS(Adjustments!$G:$G,Adjustments!$H:$H,"2E",Adjustments!$I:$I,'Schedule 2E Adjustments'!$N$12,Adjustments!$J:$J,'Schedule 2E Adjustments'!$A49)</f>
        <v>0</v>
      </c>
      <c r="P49" s="310">
        <f t="shared" si="3"/>
        <v>0</v>
      </c>
      <c r="Q49" s="68">
        <f>IFERROR(N49*'As-Filed Schedule 1'!$E$103,0)</f>
        <v>0</v>
      </c>
      <c r="R49" s="68">
        <f>IFERROR(P49*'Adjusted Schedule 1'!$E$104,0)</f>
        <v>0</v>
      </c>
      <c r="S49" s="68">
        <f t="shared" si="4"/>
        <v>0</v>
      </c>
      <c r="T49" s="311">
        <f t="shared" si="5"/>
        <v>0</v>
      </c>
      <c r="V49" s="120">
        <f>'As-Filed Schedule 2E'!N49</f>
        <v>0</v>
      </c>
      <c r="W49" s="314">
        <f>SUMIFS(Adjustments!$G:$G,Adjustments!$H:$H,"2E",Adjustments!$I:$I,'Schedule 2E Adjustments'!$V$12,Adjustments!$J:$J,'Schedule 2E Adjustments'!$A49)</f>
        <v>0</v>
      </c>
      <c r="X49" s="310">
        <f t="shared" si="6"/>
        <v>0</v>
      </c>
      <c r="Y49" s="120">
        <f>'As-Filed Schedule 2E'!O49</f>
        <v>0</v>
      </c>
      <c r="Z49" s="314">
        <f>SUMIFS(Adjustments!$G:$G,Adjustments!$H:$H,"2E",Adjustments!$I:$I,'Schedule 2E Adjustments'!$Y$12,Adjustments!$J:$J,'Schedule 2E Adjustments'!$A49)</f>
        <v>0</v>
      </c>
      <c r="AA49" s="310">
        <f t="shared" si="7"/>
        <v>0</v>
      </c>
    </row>
    <row r="50" spans="1:27" x14ac:dyDescent="0.35">
      <c r="A50" s="24">
        <v>36</v>
      </c>
      <c r="B50" s="513" t="str">
        <f>IF('As-Filed Schedule 2E'!B50:D50=0,"",'As-Filed Schedule 2E'!B50:D50)</f>
        <v/>
      </c>
      <c r="C50" s="513"/>
      <c r="D50" s="513"/>
      <c r="F50" s="117">
        <f>'As-Filed Schedule 2E'!F50</f>
        <v>0</v>
      </c>
      <c r="G50" s="314">
        <f>SUMIFS(Adjustments!$G:$G,Adjustments!$H:$H,"2E",Adjustments!$I:$I,'Schedule 2E Adjustments'!$F$12,Adjustments!$J:$J,'Schedule 2E Adjustments'!$A50)</f>
        <v>0</v>
      </c>
      <c r="H50" s="310">
        <f t="shared" si="0"/>
        <v>0</v>
      </c>
      <c r="I50" s="68">
        <f>IFERROR(F50*'As-Filed Schedule 1'!$E$103,0)</f>
        <v>0</v>
      </c>
      <c r="J50" s="311">
        <f>IFERROR(H50*'Adjusted Schedule 1'!$E$104,0)</f>
        <v>0</v>
      </c>
      <c r="K50" s="68">
        <f t="shared" si="1"/>
        <v>0</v>
      </c>
      <c r="L50" s="311">
        <f t="shared" si="2"/>
        <v>0</v>
      </c>
      <c r="N50" s="117">
        <f>'As-Filed Schedule 2E'!J50</f>
        <v>0</v>
      </c>
      <c r="O50" s="314">
        <f>SUMIFS(Adjustments!$G:$G,Adjustments!$H:$H,"2E",Adjustments!$I:$I,'Schedule 2E Adjustments'!$N$12,Adjustments!$J:$J,'Schedule 2E Adjustments'!$A50)</f>
        <v>0</v>
      </c>
      <c r="P50" s="310">
        <f t="shared" si="3"/>
        <v>0</v>
      </c>
      <c r="Q50" s="68">
        <f>IFERROR(N50*'As-Filed Schedule 1'!$E$103,0)</f>
        <v>0</v>
      </c>
      <c r="R50" s="68">
        <f>IFERROR(P50*'Adjusted Schedule 1'!$E$104,0)</f>
        <v>0</v>
      </c>
      <c r="S50" s="68">
        <f t="shared" si="4"/>
        <v>0</v>
      </c>
      <c r="T50" s="311">
        <f t="shared" si="5"/>
        <v>0</v>
      </c>
      <c r="V50" s="120">
        <f>'As-Filed Schedule 2E'!N50</f>
        <v>0</v>
      </c>
      <c r="W50" s="314">
        <f>SUMIFS(Adjustments!$G:$G,Adjustments!$H:$H,"2E",Adjustments!$I:$I,'Schedule 2E Adjustments'!$V$12,Adjustments!$J:$J,'Schedule 2E Adjustments'!$A50)</f>
        <v>0</v>
      </c>
      <c r="X50" s="310">
        <f t="shared" si="6"/>
        <v>0</v>
      </c>
      <c r="Y50" s="120">
        <f>'As-Filed Schedule 2E'!O50</f>
        <v>0</v>
      </c>
      <c r="Z50" s="314">
        <f>SUMIFS(Adjustments!$G:$G,Adjustments!$H:$H,"2E",Adjustments!$I:$I,'Schedule 2E Adjustments'!$Y$12,Adjustments!$J:$J,'Schedule 2E Adjustments'!$A50)</f>
        <v>0</v>
      </c>
      <c r="AA50" s="310">
        <f t="shared" si="7"/>
        <v>0</v>
      </c>
    </row>
    <row r="51" spans="1:27" x14ac:dyDescent="0.35">
      <c r="A51" s="24">
        <v>37</v>
      </c>
      <c r="B51" s="513" t="str">
        <f>IF('As-Filed Schedule 2E'!B51:D51=0,"",'As-Filed Schedule 2E'!B51:D51)</f>
        <v/>
      </c>
      <c r="C51" s="513"/>
      <c r="D51" s="513"/>
      <c r="F51" s="117">
        <f>'As-Filed Schedule 2E'!F51</f>
        <v>0</v>
      </c>
      <c r="G51" s="314">
        <f>SUMIFS(Adjustments!$G:$G,Adjustments!$H:$H,"2E",Adjustments!$I:$I,'Schedule 2E Adjustments'!$F$12,Adjustments!$J:$J,'Schedule 2E Adjustments'!$A51)</f>
        <v>0</v>
      </c>
      <c r="H51" s="310">
        <f t="shared" si="0"/>
        <v>0</v>
      </c>
      <c r="I51" s="68">
        <f>IFERROR(F51*'As-Filed Schedule 1'!$E$103,0)</f>
        <v>0</v>
      </c>
      <c r="J51" s="311">
        <f>IFERROR(H51*'Adjusted Schedule 1'!$E$104,0)</f>
        <v>0</v>
      </c>
      <c r="K51" s="68">
        <f t="shared" si="1"/>
        <v>0</v>
      </c>
      <c r="L51" s="311">
        <f t="shared" si="2"/>
        <v>0</v>
      </c>
      <c r="N51" s="117">
        <f>'As-Filed Schedule 2E'!J51</f>
        <v>0</v>
      </c>
      <c r="O51" s="314">
        <f>SUMIFS(Adjustments!$G:$G,Adjustments!$H:$H,"2E",Adjustments!$I:$I,'Schedule 2E Adjustments'!$N$12,Adjustments!$J:$J,'Schedule 2E Adjustments'!$A51)</f>
        <v>0</v>
      </c>
      <c r="P51" s="310">
        <f t="shared" si="3"/>
        <v>0</v>
      </c>
      <c r="Q51" s="68">
        <f>IFERROR(N51*'As-Filed Schedule 1'!$E$103,0)</f>
        <v>0</v>
      </c>
      <c r="R51" s="68">
        <f>IFERROR(P51*'Adjusted Schedule 1'!$E$104,0)</f>
        <v>0</v>
      </c>
      <c r="S51" s="68">
        <f t="shared" si="4"/>
        <v>0</v>
      </c>
      <c r="T51" s="311">
        <f t="shared" si="5"/>
        <v>0</v>
      </c>
      <c r="V51" s="120">
        <f>'As-Filed Schedule 2E'!N51</f>
        <v>0</v>
      </c>
      <c r="W51" s="314">
        <f>SUMIFS(Adjustments!$G:$G,Adjustments!$H:$H,"2E",Adjustments!$I:$I,'Schedule 2E Adjustments'!$V$12,Adjustments!$J:$J,'Schedule 2E Adjustments'!$A51)</f>
        <v>0</v>
      </c>
      <c r="X51" s="310">
        <f t="shared" si="6"/>
        <v>0</v>
      </c>
      <c r="Y51" s="120">
        <f>'As-Filed Schedule 2E'!O51</f>
        <v>0</v>
      </c>
      <c r="Z51" s="314">
        <f>SUMIFS(Adjustments!$G:$G,Adjustments!$H:$H,"2E",Adjustments!$I:$I,'Schedule 2E Adjustments'!$Y$12,Adjustments!$J:$J,'Schedule 2E Adjustments'!$A51)</f>
        <v>0</v>
      </c>
      <c r="AA51" s="310">
        <f t="shared" si="7"/>
        <v>0</v>
      </c>
    </row>
    <row r="52" spans="1:27" x14ac:dyDescent="0.35">
      <c r="A52" s="24">
        <v>38</v>
      </c>
      <c r="B52" s="513" t="str">
        <f>IF('As-Filed Schedule 2E'!B52:D52=0,"",'As-Filed Schedule 2E'!B52:D52)</f>
        <v/>
      </c>
      <c r="C52" s="513"/>
      <c r="D52" s="513"/>
      <c r="F52" s="117">
        <f>'As-Filed Schedule 2E'!F52</f>
        <v>0</v>
      </c>
      <c r="G52" s="314">
        <f>SUMIFS(Adjustments!$G:$G,Adjustments!$H:$H,"2E",Adjustments!$I:$I,'Schedule 2E Adjustments'!$F$12,Adjustments!$J:$J,'Schedule 2E Adjustments'!$A52)</f>
        <v>0</v>
      </c>
      <c r="H52" s="310">
        <f t="shared" si="0"/>
        <v>0</v>
      </c>
      <c r="I52" s="68">
        <f>IFERROR(F52*'As-Filed Schedule 1'!$E$103,0)</f>
        <v>0</v>
      </c>
      <c r="J52" s="311">
        <f>IFERROR(H52*'Adjusted Schedule 1'!$E$104,0)</f>
        <v>0</v>
      </c>
      <c r="K52" s="68">
        <f t="shared" si="1"/>
        <v>0</v>
      </c>
      <c r="L52" s="311">
        <f t="shared" si="2"/>
        <v>0</v>
      </c>
      <c r="N52" s="117">
        <f>'As-Filed Schedule 2E'!J52</f>
        <v>0</v>
      </c>
      <c r="O52" s="314">
        <f>SUMIFS(Adjustments!$G:$G,Adjustments!$H:$H,"2E",Adjustments!$I:$I,'Schedule 2E Adjustments'!$N$12,Adjustments!$J:$J,'Schedule 2E Adjustments'!$A52)</f>
        <v>0</v>
      </c>
      <c r="P52" s="310">
        <f t="shared" si="3"/>
        <v>0</v>
      </c>
      <c r="Q52" s="68">
        <f>IFERROR(N52*'As-Filed Schedule 1'!$E$103,0)</f>
        <v>0</v>
      </c>
      <c r="R52" s="68">
        <f>IFERROR(P52*'Adjusted Schedule 1'!$E$104,0)</f>
        <v>0</v>
      </c>
      <c r="S52" s="68">
        <f t="shared" si="4"/>
        <v>0</v>
      </c>
      <c r="T52" s="311">
        <f t="shared" si="5"/>
        <v>0</v>
      </c>
      <c r="V52" s="120">
        <f>'As-Filed Schedule 2E'!N52</f>
        <v>0</v>
      </c>
      <c r="W52" s="314">
        <f>SUMIFS(Adjustments!$G:$G,Adjustments!$H:$H,"2E",Adjustments!$I:$I,'Schedule 2E Adjustments'!$V$12,Adjustments!$J:$J,'Schedule 2E Adjustments'!$A52)</f>
        <v>0</v>
      </c>
      <c r="X52" s="310">
        <f t="shared" si="6"/>
        <v>0</v>
      </c>
      <c r="Y52" s="120">
        <f>'As-Filed Schedule 2E'!O52</f>
        <v>0</v>
      </c>
      <c r="Z52" s="314">
        <f>SUMIFS(Adjustments!$G:$G,Adjustments!$H:$H,"2E",Adjustments!$I:$I,'Schedule 2E Adjustments'!$Y$12,Adjustments!$J:$J,'Schedule 2E Adjustments'!$A52)</f>
        <v>0</v>
      </c>
      <c r="AA52" s="310">
        <f t="shared" si="7"/>
        <v>0</v>
      </c>
    </row>
    <row r="53" spans="1:27" x14ac:dyDescent="0.35">
      <c r="A53" s="24">
        <v>39</v>
      </c>
      <c r="B53" s="513" t="str">
        <f>IF('As-Filed Schedule 2E'!B53:D53=0,"",'As-Filed Schedule 2E'!B53:D53)</f>
        <v/>
      </c>
      <c r="C53" s="513"/>
      <c r="D53" s="513"/>
      <c r="F53" s="117">
        <f>'As-Filed Schedule 2E'!F53</f>
        <v>0</v>
      </c>
      <c r="G53" s="314">
        <f>SUMIFS(Adjustments!$G:$G,Adjustments!$H:$H,"2E",Adjustments!$I:$I,'Schedule 2E Adjustments'!$F$12,Adjustments!$J:$J,'Schedule 2E Adjustments'!$A53)</f>
        <v>0</v>
      </c>
      <c r="H53" s="310">
        <f t="shared" si="0"/>
        <v>0</v>
      </c>
      <c r="I53" s="68">
        <f>IFERROR(F53*'As-Filed Schedule 1'!$E$103,0)</f>
        <v>0</v>
      </c>
      <c r="J53" s="311">
        <f>IFERROR(H53*'Adjusted Schedule 1'!$E$104,0)</f>
        <v>0</v>
      </c>
      <c r="K53" s="68">
        <f t="shared" si="1"/>
        <v>0</v>
      </c>
      <c r="L53" s="311">
        <f t="shared" si="2"/>
        <v>0</v>
      </c>
      <c r="N53" s="117">
        <f>'As-Filed Schedule 2E'!J53</f>
        <v>0</v>
      </c>
      <c r="O53" s="314">
        <f>SUMIFS(Adjustments!$G:$G,Adjustments!$H:$H,"2E",Adjustments!$I:$I,'Schedule 2E Adjustments'!$N$12,Adjustments!$J:$J,'Schedule 2E Adjustments'!$A53)</f>
        <v>0</v>
      </c>
      <c r="P53" s="310">
        <f t="shared" si="3"/>
        <v>0</v>
      </c>
      <c r="Q53" s="68">
        <f>IFERROR(N53*'As-Filed Schedule 1'!$E$103,0)</f>
        <v>0</v>
      </c>
      <c r="R53" s="68">
        <f>IFERROR(P53*'Adjusted Schedule 1'!$E$104,0)</f>
        <v>0</v>
      </c>
      <c r="S53" s="68">
        <f t="shared" si="4"/>
        <v>0</v>
      </c>
      <c r="T53" s="311">
        <f t="shared" si="5"/>
        <v>0</v>
      </c>
      <c r="V53" s="120">
        <f>'As-Filed Schedule 2E'!N53</f>
        <v>0</v>
      </c>
      <c r="W53" s="314">
        <f>SUMIFS(Adjustments!$G:$G,Adjustments!$H:$H,"2E",Adjustments!$I:$I,'Schedule 2E Adjustments'!$V$12,Adjustments!$J:$J,'Schedule 2E Adjustments'!$A53)</f>
        <v>0</v>
      </c>
      <c r="X53" s="310">
        <f t="shared" si="6"/>
        <v>0</v>
      </c>
      <c r="Y53" s="120">
        <f>'As-Filed Schedule 2E'!O53</f>
        <v>0</v>
      </c>
      <c r="Z53" s="314">
        <f>SUMIFS(Adjustments!$G:$G,Adjustments!$H:$H,"2E",Adjustments!$I:$I,'Schedule 2E Adjustments'!$Y$12,Adjustments!$J:$J,'Schedule 2E Adjustments'!$A53)</f>
        <v>0</v>
      </c>
      <c r="AA53" s="310">
        <f t="shared" si="7"/>
        <v>0</v>
      </c>
    </row>
    <row r="54" spans="1:27" x14ac:dyDescent="0.35">
      <c r="A54" s="24">
        <v>40</v>
      </c>
      <c r="B54" s="513" t="str">
        <f>IF('As-Filed Schedule 2E'!B54:D54=0,"",'As-Filed Schedule 2E'!B54:D54)</f>
        <v/>
      </c>
      <c r="C54" s="513"/>
      <c r="D54" s="513"/>
      <c r="F54" s="117">
        <f>'As-Filed Schedule 2E'!F54</f>
        <v>0</v>
      </c>
      <c r="G54" s="314">
        <f>SUMIFS(Adjustments!$G:$G,Adjustments!$H:$H,"2E",Adjustments!$I:$I,'Schedule 2E Adjustments'!$F$12,Adjustments!$J:$J,'Schedule 2E Adjustments'!$A54)</f>
        <v>0</v>
      </c>
      <c r="H54" s="310">
        <f t="shared" si="0"/>
        <v>0</v>
      </c>
      <c r="I54" s="68">
        <f>IFERROR(F54*'As-Filed Schedule 1'!$E$103,0)</f>
        <v>0</v>
      </c>
      <c r="J54" s="311">
        <f>IFERROR(H54*'Adjusted Schedule 1'!$E$104,0)</f>
        <v>0</v>
      </c>
      <c r="K54" s="68">
        <f t="shared" si="1"/>
        <v>0</v>
      </c>
      <c r="L54" s="311">
        <f t="shared" si="2"/>
        <v>0</v>
      </c>
      <c r="N54" s="117">
        <f>'As-Filed Schedule 2E'!J54</f>
        <v>0</v>
      </c>
      <c r="O54" s="314">
        <f>SUMIFS(Adjustments!$G:$G,Adjustments!$H:$H,"2E",Adjustments!$I:$I,'Schedule 2E Adjustments'!$N$12,Adjustments!$J:$J,'Schedule 2E Adjustments'!$A54)</f>
        <v>0</v>
      </c>
      <c r="P54" s="310">
        <f t="shared" si="3"/>
        <v>0</v>
      </c>
      <c r="Q54" s="68">
        <f>IFERROR(N54*'As-Filed Schedule 1'!$E$103,0)</f>
        <v>0</v>
      </c>
      <c r="R54" s="68">
        <f>IFERROR(P54*'Adjusted Schedule 1'!$E$104,0)</f>
        <v>0</v>
      </c>
      <c r="S54" s="68">
        <f t="shared" si="4"/>
        <v>0</v>
      </c>
      <c r="T54" s="311">
        <f t="shared" si="5"/>
        <v>0</v>
      </c>
      <c r="V54" s="120">
        <f>'As-Filed Schedule 2E'!N54</f>
        <v>0</v>
      </c>
      <c r="W54" s="314">
        <f>SUMIFS(Adjustments!$G:$G,Adjustments!$H:$H,"2E",Adjustments!$I:$I,'Schedule 2E Adjustments'!$V$12,Adjustments!$J:$J,'Schedule 2E Adjustments'!$A54)</f>
        <v>0</v>
      </c>
      <c r="X54" s="310">
        <f t="shared" si="6"/>
        <v>0</v>
      </c>
      <c r="Y54" s="120">
        <f>'As-Filed Schedule 2E'!O54</f>
        <v>0</v>
      </c>
      <c r="Z54" s="314">
        <f>SUMIFS(Adjustments!$G:$G,Adjustments!$H:$H,"2E",Adjustments!$I:$I,'Schedule 2E Adjustments'!$Y$12,Adjustments!$J:$J,'Schedule 2E Adjustments'!$A54)</f>
        <v>0</v>
      </c>
      <c r="AA54" s="310">
        <f t="shared" si="7"/>
        <v>0</v>
      </c>
    </row>
    <row r="55" spans="1:27" x14ac:dyDescent="0.35">
      <c r="A55" s="24">
        <v>41</v>
      </c>
      <c r="B55" s="513" t="str">
        <f>IF('As-Filed Schedule 2E'!B55:D55=0,"",'As-Filed Schedule 2E'!B55:D55)</f>
        <v/>
      </c>
      <c r="C55" s="513"/>
      <c r="D55" s="513"/>
      <c r="F55" s="117">
        <f>'As-Filed Schedule 2E'!F55</f>
        <v>0</v>
      </c>
      <c r="G55" s="314">
        <f>SUMIFS(Adjustments!$G:$G,Adjustments!$H:$H,"2E",Adjustments!$I:$I,'Schedule 2E Adjustments'!$F$12,Adjustments!$J:$J,'Schedule 2E Adjustments'!$A55)</f>
        <v>0</v>
      </c>
      <c r="H55" s="310">
        <f t="shared" si="0"/>
        <v>0</v>
      </c>
      <c r="I55" s="68">
        <f>IFERROR(F55*'As-Filed Schedule 1'!$E$103,0)</f>
        <v>0</v>
      </c>
      <c r="J55" s="311">
        <f>IFERROR(H55*'Adjusted Schedule 1'!$E$104,0)</f>
        <v>0</v>
      </c>
      <c r="K55" s="68">
        <f t="shared" si="1"/>
        <v>0</v>
      </c>
      <c r="L55" s="311">
        <f t="shared" si="2"/>
        <v>0</v>
      </c>
      <c r="N55" s="117">
        <f>'As-Filed Schedule 2E'!J55</f>
        <v>0</v>
      </c>
      <c r="O55" s="314">
        <f>SUMIFS(Adjustments!$G:$G,Adjustments!$H:$H,"2E",Adjustments!$I:$I,'Schedule 2E Adjustments'!$N$12,Adjustments!$J:$J,'Schedule 2E Adjustments'!$A55)</f>
        <v>0</v>
      </c>
      <c r="P55" s="310">
        <f t="shared" si="3"/>
        <v>0</v>
      </c>
      <c r="Q55" s="68">
        <f>IFERROR(N55*'As-Filed Schedule 1'!$E$103,0)</f>
        <v>0</v>
      </c>
      <c r="R55" s="68">
        <f>IFERROR(P55*'Adjusted Schedule 1'!$E$104,0)</f>
        <v>0</v>
      </c>
      <c r="S55" s="68">
        <f t="shared" si="4"/>
        <v>0</v>
      </c>
      <c r="T55" s="311">
        <f t="shared" si="5"/>
        <v>0</v>
      </c>
      <c r="V55" s="120">
        <f>'As-Filed Schedule 2E'!N55</f>
        <v>0</v>
      </c>
      <c r="W55" s="314">
        <f>SUMIFS(Adjustments!$G:$G,Adjustments!$H:$H,"2E",Adjustments!$I:$I,'Schedule 2E Adjustments'!$V$12,Adjustments!$J:$J,'Schedule 2E Adjustments'!$A55)</f>
        <v>0</v>
      </c>
      <c r="X55" s="310">
        <f t="shared" si="6"/>
        <v>0</v>
      </c>
      <c r="Y55" s="120">
        <f>'As-Filed Schedule 2E'!O55</f>
        <v>0</v>
      </c>
      <c r="Z55" s="314">
        <f>SUMIFS(Adjustments!$G:$G,Adjustments!$H:$H,"2E",Adjustments!$I:$I,'Schedule 2E Adjustments'!$Y$12,Adjustments!$J:$J,'Schedule 2E Adjustments'!$A55)</f>
        <v>0</v>
      </c>
      <c r="AA55" s="310">
        <f t="shared" si="7"/>
        <v>0</v>
      </c>
    </row>
    <row r="56" spans="1:27" x14ac:dyDescent="0.35">
      <c r="A56" s="24">
        <v>42</v>
      </c>
      <c r="B56" s="513" t="str">
        <f>IF('As-Filed Schedule 2E'!B56:D56=0,"",'As-Filed Schedule 2E'!B56:D56)</f>
        <v/>
      </c>
      <c r="C56" s="513"/>
      <c r="D56" s="513"/>
      <c r="F56" s="117">
        <f>'As-Filed Schedule 2E'!F56</f>
        <v>0</v>
      </c>
      <c r="G56" s="314">
        <f>SUMIFS(Adjustments!$G:$G,Adjustments!$H:$H,"2E",Adjustments!$I:$I,'Schedule 2E Adjustments'!$F$12,Adjustments!$J:$J,'Schedule 2E Adjustments'!$A56)</f>
        <v>0</v>
      </c>
      <c r="H56" s="310">
        <f t="shared" si="0"/>
        <v>0</v>
      </c>
      <c r="I56" s="68">
        <f>IFERROR(F56*'As-Filed Schedule 1'!$E$103,0)</f>
        <v>0</v>
      </c>
      <c r="J56" s="311">
        <f>IFERROR(H56*'Adjusted Schedule 1'!$E$104,0)</f>
        <v>0</v>
      </c>
      <c r="K56" s="68">
        <f t="shared" si="1"/>
        <v>0</v>
      </c>
      <c r="L56" s="311">
        <f t="shared" si="2"/>
        <v>0</v>
      </c>
      <c r="N56" s="117">
        <f>'As-Filed Schedule 2E'!J56</f>
        <v>0</v>
      </c>
      <c r="O56" s="314">
        <f>SUMIFS(Adjustments!$G:$G,Adjustments!$H:$H,"2E",Adjustments!$I:$I,'Schedule 2E Adjustments'!$N$12,Adjustments!$J:$J,'Schedule 2E Adjustments'!$A56)</f>
        <v>0</v>
      </c>
      <c r="P56" s="310">
        <f t="shared" si="3"/>
        <v>0</v>
      </c>
      <c r="Q56" s="68">
        <f>IFERROR(N56*'As-Filed Schedule 1'!$E$103,0)</f>
        <v>0</v>
      </c>
      <c r="R56" s="68">
        <f>IFERROR(P56*'Adjusted Schedule 1'!$E$104,0)</f>
        <v>0</v>
      </c>
      <c r="S56" s="68">
        <f t="shared" si="4"/>
        <v>0</v>
      </c>
      <c r="T56" s="311">
        <f t="shared" si="5"/>
        <v>0</v>
      </c>
      <c r="V56" s="120">
        <f>'As-Filed Schedule 2E'!N56</f>
        <v>0</v>
      </c>
      <c r="W56" s="314">
        <f>SUMIFS(Adjustments!$G:$G,Adjustments!$H:$H,"2E",Adjustments!$I:$I,'Schedule 2E Adjustments'!$V$12,Adjustments!$J:$J,'Schedule 2E Adjustments'!$A56)</f>
        <v>0</v>
      </c>
      <c r="X56" s="310">
        <f t="shared" si="6"/>
        <v>0</v>
      </c>
      <c r="Y56" s="120">
        <f>'As-Filed Schedule 2E'!O56</f>
        <v>0</v>
      </c>
      <c r="Z56" s="314">
        <f>SUMIFS(Adjustments!$G:$G,Adjustments!$H:$H,"2E",Adjustments!$I:$I,'Schedule 2E Adjustments'!$Y$12,Adjustments!$J:$J,'Schedule 2E Adjustments'!$A56)</f>
        <v>0</v>
      </c>
      <c r="AA56" s="310">
        <f t="shared" si="7"/>
        <v>0</v>
      </c>
    </row>
    <row r="57" spans="1:27" x14ac:dyDescent="0.35">
      <c r="A57" s="24">
        <v>43</v>
      </c>
      <c r="B57" s="513" t="str">
        <f>IF('As-Filed Schedule 2E'!B57:D57=0,"",'As-Filed Schedule 2E'!B57:D57)</f>
        <v/>
      </c>
      <c r="C57" s="513"/>
      <c r="D57" s="513"/>
      <c r="F57" s="117">
        <f>'As-Filed Schedule 2E'!F57</f>
        <v>0</v>
      </c>
      <c r="G57" s="314">
        <f>SUMIFS(Adjustments!$G:$G,Adjustments!$H:$H,"2E",Adjustments!$I:$I,'Schedule 2E Adjustments'!$F$12,Adjustments!$J:$J,'Schedule 2E Adjustments'!$A57)</f>
        <v>0</v>
      </c>
      <c r="H57" s="310">
        <f t="shared" si="0"/>
        <v>0</v>
      </c>
      <c r="I57" s="68">
        <f>IFERROR(F57*'As-Filed Schedule 1'!$E$103,0)</f>
        <v>0</v>
      </c>
      <c r="J57" s="311">
        <f>IFERROR(H57*'Adjusted Schedule 1'!$E$104,0)</f>
        <v>0</v>
      </c>
      <c r="K57" s="68">
        <f t="shared" si="1"/>
        <v>0</v>
      </c>
      <c r="L57" s="311">
        <f t="shared" si="2"/>
        <v>0</v>
      </c>
      <c r="N57" s="117">
        <f>'As-Filed Schedule 2E'!J57</f>
        <v>0</v>
      </c>
      <c r="O57" s="314">
        <f>SUMIFS(Adjustments!$G:$G,Adjustments!$H:$H,"2E",Adjustments!$I:$I,'Schedule 2E Adjustments'!$N$12,Adjustments!$J:$J,'Schedule 2E Adjustments'!$A57)</f>
        <v>0</v>
      </c>
      <c r="P57" s="310">
        <f t="shared" si="3"/>
        <v>0</v>
      </c>
      <c r="Q57" s="68">
        <f>IFERROR(N57*'As-Filed Schedule 1'!$E$103,0)</f>
        <v>0</v>
      </c>
      <c r="R57" s="68">
        <f>IFERROR(P57*'Adjusted Schedule 1'!$E$104,0)</f>
        <v>0</v>
      </c>
      <c r="S57" s="68">
        <f t="shared" si="4"/>
        <v>0</v>
      </c>
      <c r="T57" s="311">
        <f t="shared" si="5"/>
        <v>0</v>
      </c>
      <c r="V57" s="120">
        <f>'As-Filed Schedule 2E'!N57</f>
        <v>0</v>
      </c>
      <c r="W57" s="314">
        <f>SUMIFS(Adjustments!$G:$G,Adjustments!$H:$H,"2E",Adjustments!$I:$I,'Schedule 2E Adjustments'!$V$12,Adjustments!$J:$J,'Schedule 2E Adjustments'!$A57)</f>
        <v>0</v>
      </c>
      <c r="X57" s="310">
        <f t="shared" si="6"/>
        <v>0</v>
      </c>
      <c r="Y57" s="120">
        <f>'As-Filed Schedule 2E'!O57</f>
        <v>0</v>
      </c>
      <c r="Z57" s="314">
        <f>SUMIFS(Adjustments!$G:$G,Adjustments!$H:$H,"2E",Adjustments!$I:$I,'Schedule 2E Adjustments'!$Y$12,Adjustments!$J:$J,'Schedule 2E Adjustments'!$A57)</f>
        <v>0</v>
      </c>
      <c r="AA57" s="310">
        <f t="shared" si="7"/>
        <v>0</v>
      </c>
    </row>
    <row r="58" spans="1:27" x14ac:dyDescent="0.35">
      <c r="A58" s="24">
        <v>44</v>
      </c>
      <c r="B58" s="513" t="str">
        <f>IF('As-Filed Schedule 2E'!B58:D58=0,"",'As-Filed Schedule 2E'!B58:D58)</f>
        <v/>
      </c>
      <c r="C58" s="513"/>
      <c r="D58" s="513"/>
      <c r="F58" s="117">
        <f>'As-Filed Schedule 2E'!F58</f>
        <v>0</v>
      </c>
      <c r="G58" s="314">
        <f>SUMIFS(Adjustments!$G:$G,Adjustments!$H:$H,"2E",Adjustments!$I:$I,'Schedule 2E Adjustments'!$F$12,Adjustments!$J:$J,'Schedule 2E Adjustments'!$A58)</f>
        <v>0</v>
      </c>
      <c r="H58" s="310">
        <f t="shared" si="0"/>
        <v>0</v>
      </c>
      <c r="I58" s="68">
        <f>IFERROR(F58*'As-Filed Schedule 1'!$E$103,0)</f>
        <v>0</v>
      </c>
      <c r="J58" s="311">
        <f>IFERROR(H58*'Adjusted Schedule 1'!$E$104,0)</f>
        <v>0</v>
      </c>
      <c r="K58" s="68">
        <f t="shared" si="1"/>
        <v>0</v>
      </c>
      <c r="L58" s="311">
        <f t="shared" si="2"/>
        <v>0</v>
      </c>
      <c r="N58" s="117">
        <f>'As-Filed Schedule 2E'!J58</f>
        <v>0</v>
      </c>
      <c r="O58" s="314">
        <f>SUMIFS(Adjustments!$G:$G,Adjustments!$H:$H,"2E",Adjustments!$I:$I,'Schedule 2E Adjustments'!$N$12,Adjustments!$J:$J,'Schedule 2E Adjustments'!$A58)</f>
        <v>0</v>
      </c>
      <c r="P58" s="310">
        <f t="shared" si="3"/>
        <v>0</v>
      </c>
      <c r="Q58" s="68">
        <f>IFERROR(N58*'As-Filed Schedule 1'!$E$103,0)</f>
        <v>0</v>
      </c>
      <c r="R58" s="68">
        <f>IFERROR(P58*'Adjusted Schedule 1'!$E$104,0)</f>
        <v>0</v>
      </c>
      <c r="S58" s="68">
        <f t="shared" si="4"/>
        <v>0</v>
      </c>
      <c r="T58" s="311">
        <f t="shared" si="5"/>
        <v>0</v>
      </c>
      <c r="V58" s="120">
        <f>'As-Filed Schedule 2E'!N58</f>
        <v>0</v>
      </c>
      <c r="W58" s="314">
        <f>SUMIFS(Adjustments!$G:$G,Adjustments!$H:$H,"2E",Adjustments!$I:$I,'Schedule 2E Adjustments'!$V$12,Adjustments!$J:$J,'Schedule 2E Adjustments'!$A58)</f>
        <v>0</v>
      </c>
      <c r="X58" s="310">
        <f t="shared" si="6"/>
        <v>0</v>
      </c>
      <c r="Y58" s="120">
        <f>'As-Filed Schedule 2E'!O58</f>
        <v>0</v>
      </c>
      <c r="Z58" s="314">
        <f>SUMIFS(Adjustments!$G:$G,Adjustments!$H:$H,"2E",Adjustments!$I:$I,'Schedule 2E Adjustments'!$Y$12,Adjustments!$J:$J,'Schedule 2E Adjustments'!$A58)</f>
        <v>0</v>
      </c>
      <c r="AA58" s="310">
        <f t="shared" si="7"/>
        <v>0</v>
      </c>
    </row>
    <row r="59" spans="1:27" x14ac:dyDescent="0.35">
      <c r="A59" s="24">
        <v>45</v>
      </c>
      <c r="B59" s="513" t="str">
        <f>IF('As-Filed Schedule 2E'!B59:D59=0,"",'As-Filed Schedule 2E'!B59:D59)</f>
        <v/>
      </c>
      <c r="C59" s="513"/>
      <c r="D59" s="513"/>
      <c r="F59" s="117">
        <f>'As-Filed Schedule 2E'!F59</f>
        <v>0</v>
      </c>
      <c r="G59" s="314">
        <f>SUMIFS(Adjustments!$G:$G,Adjustments!$H:$H,"2E",Adjustments!$I:$I,'Schedule 2E Adjustments'!$F$12,Adjustments!$J:$J,'Schedule 2E Adjustments'!$A59)</f>
        <v>0</v>
      </c>
      <c r="H59" s="310">
        <f t="shared" si="0"/>
        <v>0</v>
      </c>
      <c r="I59" s="68">
        <f>IFERROR(F59*'As-Filed Schedule 1'!$E$103,0)</f>
        <v>0</v>
      </c>
      <c r="J59" s="311">
        <f>IFERROR(H59*'Adjusted Schedule 1'!$E$104,0)</f>
        <v>0</v>
      </c>
      <c r="K59" s="68">
        <f t="shared" si="1"/>
        <v>0</v>
      </c>
      <c r="L59" s="311">
        <f t="shared" si="2"/>
        <v>0</v>
      </c>
      <c r="N59" s="117">
        <f>'As-Filed Schedule 2E'!J59</f>
        <v>0</v>
      </c>
      <c r="O59" s="314">
        <f>SUMIFS(Adjustments!$G:$G,Adjustments!$H:$H,"2E",Adjustments!$I:$I,'Schedule 2E Adjustments'!$N$12,Adjustments!$J:$J,'Schedule 2E Adjustments'!$A59)</f>
        <v>0</v>
      </c>
      <c r="P59" s="310">
        <f t="shared" si="3"/>
        <v>0</v>
      </c>
      <c r="Q59" s="68">
        <f>IFERROR(N59*'As-Filed Schedule 1'!$E$103,0)</f>
        <v>0</v>
      </c>
      <c r="R59" s="68">
        <f>IFERROR(P59*'Adjusted Schedule 1'!$E$104,0)</f>
        <v>0</v>
      </c>
      <c r="S59" s="68">
        <f t="shared" si="4"/>
        <v>0</v>
      </c>
      <c r="T59" s="311">
        <f t="shared" si="5"/>
        <v>0</v>
      </c>
      <c r="V59" s="120">
        <f>'As-Filed Schedule 2E'!N59</f>
        <v>0</v>
      </c>
      <c r="W59" s="314">
        <f>SUMIFS(Adjustments!$G:$G,Adjustments!$H:$H,"2E",Adjustments!$I:$I,'Schedule 2E Adjustments'!$V$12,Adjustments!$J:$J,'Schedule 2E Adjustments'!$A59)</f>
        <v>0</v>
      </c>
      <c r="X59" s="310">
        <f t="shared" si="6"/>
        <v>0</v>
      </c>
      <c r="Y59" s="120">
        <f>'As-Filed Schedule 2E'!O59</f>
        <v>0</v>
      </c>
      <c r="Z59" s="314">
        <f>SUMIFS(Adjustments!$G:$G,Adjustments!$H:$H,"2E",Adjustments!$I:$I,'Schedule 2E Adjustments'!$Y$12,Adjustments!$J:$J,'Schedule 2E Adjustments'!$A59)</f>
        <v>0</v>
      </c>
      <c r="AA59" s="310">
        <f t="shared" si="7"/>
        <v>0</v>
      </c>
    </row>
    <row r="60" spans="1:27" x14ac:dyDescent="0.35">
      <c r="A60" s="24">
        <v>46</v>
      </c>
      <c r="B60" s="513" t="str">
        <f>IF('As-Filed Schedule 2E'!B60:D60=0,"",'As-Filed Schedule 2E'!B60:D60)</f>
        <v/>
      </c>
      <c r="C60" s="513"/>
      <c r="D60" s="513"/>
      <c r="F60" s="117">
        <f>'As-Filed Schedule 2E'!F60</f>
        <v>0</v>
      </c>
      <c r="G60" s="314">
        <f>SUMIFS(Adjustments!$G:$G,Adjustments!$H:$H,"2E",Adjustments!$I:$I,'Schedule 2E Adjustments'!$F$12,Adjustments!$J:$J,'Schedule 2E Adjustments'!$A60)</f>
        <v>0</v>
      </c>
      <c r="H60" s="310">
        <f t="shared" si="0"/>
        <v>0</v>
      </c>
      <c r="I60" s="68">
        <f>IFERROR(F60*'As-Filed Schedule 1'!$E$103,0)</f>
        <v>0</v>
      </c>
      <c r="J60" s="311">
        <f>IFERROR(H60*'Adjusted Schedule 1'!$E$104,0)</f>
        <v>0</v>
      </c>
      <c r="K60" s="68">
        <f t="shared" si="1"/>
        <v>0</v>
      </c>
      <c r="L60" s="311">
        <f t="shared" si="2"/>
        <v>0</v>
      </c>
      <c r="N60" s="117">
        <f>'As-Filed Schedule 2E'!J60</f>
        <v>0</v>
      </c>
      <c r="O60" s="314">
        <f>SUMIFS(Adjustments!$G:$G,Adjustments!$H:$H,"2E",Adjustments!$I:$I,'Schedule 2E Adjustments'!$N$12,Adjustments!$J:$J,'Schedule 2E Adjustments'!$A60)</f>
        <v>0</v>
      </c>
      <c r="P60" s="310">
        <f t="shared" si="3"/>
        <v>0</v>
      </c>
      <c r="Q60" s="68">
        <f>IFERROR(N60*'As-Filed Schedule 1'!$E$103,0)</f>
        <v>0</v>
      </c>
      <c r="R60" s="68">
        <f>IFERROR(P60*'Adjusted Schedule 1'!$E$104,0)</f>
        <v>0</v>
      </c>
      <c r="S60" s="68">
        <f t="shared" si="4"/>
        <v>0</v>
      </c>
      <c r="T60" s="311">
        <f t="shared" si="5"/>
        <v>0</v>
      </c>
      <c r="V60" s="120">
        <f>'As-Filed Schedule 2E'!N60</f>
        <v>0</v>
      </c>
      <c r="W60" s="314">
        <f>SUMIFS(Adjustments!$G:$G,Adjustments!$H:$H,"2E",Adjustments!$I:$I,'Schedule 2E Adjustments'!$V$12,Adjustments!$J:$J,'Schedule 2E Adjustments'!$A60)</f>
        <v>0</v>
      </c>
      <c r="X60" s="310">
        <f t="shared" si="6"/>
        <v>0</v>
      </c>
      <c r="Y60" s="120">
        <f>'As-Filed Schedule 2E'!O60</f>
        <v>0</v>
      </c>
      <c r="Z60" s="314">
        <f>SUMIFS(Adjustments!$G:$G,Adjustments!$H:$H,"2E",Adjustments!$I:$I,'Schedule 2E Adjustments'!$Y$12,Adjustments!$J:$J,'Schedule 2E Adjustments'!$A60)</f>
        <v>0</v>
      </c>
      <c r="AA60" s="310">
        <f t="shared" si="7"/>
        <v>0</v>
      </c>
    </row>
    <row r="61" spans="1:27" x14ac:dyDescent="0.35">
      <c r="A61" s="24">
        <v>47</v>
      </c>
      <c r="B61" s="513" t="str">
        <f>IF('As-Filed Schedule 2E'!B61:D61=0,"",'As-Filed Schedule 2E'!B61:D61)</f>
        <v/>
      </c>
      <c r="C61" s="513"/>
      <c r="D61" s="513"/>
      <c r="F61" s="117">
        <f>'As-Filed Schedule 2E'!F61</f>
        <v>0</v>
      </c>
      <c r="G61" s="314">
        <f>SUMIFS(Adjustments!$G:$G,Adjustments!$H:$H,"2E",Adjustments!$I:$I,'Schedule 2E Adjustments'!$F$12,Adjustments!$J:$J,'Schedule 2E Adjustments'!$A61)</f>
        <v>0</v>
      </c>
      <c r="H61" s="310">
        <f t="shared" si="0"/>
        <v>0</v>
      </c>
      <c r="I61" s="68">
        <f>IFERROR(F61*'As-Filed Schedule 1'!$E$103,0)</f>
        <v>0</v>
      </c>
      <c r="J61" s="311">
        <f>IFERROR(H61*'Adjusted Schedule 1'!$E$104,0)</f>
        <v>0</v>
      </c>
      <c r="K61" s="68">
        <f t="shared" si="1"/>
        <v>0</v>
      </c>
      <c r="L61" s="311">
        <f t="shared" si="2"/>
        <v>0</v>
      </c>
      <c r="N61" s="117">
        <f>'As-Filed Schedule 2E'!J61</f>
        <v>0</v>
      </c>
      <c r="O61" s="314">
        <f>SUMIFS(Adjustments!$G:$G,Adjustments!$H:$H,"2E",Adjustments!$I:$I,'Schedule 2E Adjustments'!$N$12,Adjustments!$J:$J,'Schedule 2E Adjustments'!$A61)</f>
        <v>0</v>
      </c>
      <c r="P61" s="310">
        <f t="shared" si="3"/>
        <v>0</v>
      </c>
      <c r="Q61" s="68">
        <f>IFERROR(N61*'As-Filed Schedule 1'!$E$103,0)</f>
        <v>0</v>
      </c>
      <c r="R61" s="68">
        <f>IFERROR(P61*'Adjusted Schedule 1'!$E$104,0)</f>
        <v>0</v>
      </c>
      <c r="S61" s="68">
        <f t="shared" si="4"/>
        <v>0</v>
      </c>
      <c r="T61" s="311">
        <f t="shared" si="5"/>
        <v>0</v>
      </c>
      <c r="V61" s="120">
        <f>'As-Filed Schedule 2E'!N61</f>
        <v>0</v>
      </c>
      <c r="W61" s="314">
        <f>SUMIFS(Adjustments!$G:$G,Adjustments!$H:$H,"2E",Adjustments!$I:$I,'Schedule 2E Adjustments'!$V$12,Adjustments!$J:$J,'Schedule 2E Adjustments'!$A61)</f>
        <v>0</v>
      </c>
      <c r="X61" s="310">
        <f t="shared" si="6"/>
        <v>0</v>
      </c>
      <c r="Y61" s="120">
        <f>'As-Filed Schedule 2E'!O61</f>
        <v>0</v>
      </c>
      <c r="Z61" s="314">
        <f>SUMIFS(Adjustments!$G:$G,Adjustments!$H:$H,"2E",Adjustments!$I:$I,'Schedule 2E Adjustments'!$Y$12,Adjustments!$J:$J,'Schedule 2E Adjustments'!$A61)</f>
        <v>0</v>
      </c>
      <c r="AA61" s="310">
        <f t="shared" si="7"/>
        <v>0</v>
      </c>
    </row>
    <row r="62" spans="1:27" x14ac:dyDescent="0.35">
      <c r="A62" s="24">
        <v>48</v>
      </c>
      <c r="B62" s="513" t="str">
        <f>IF('As-Filed Schedule 2E'!B62:D62=0,"",'As-Filed Schedule 2E'!B62:D62)</f>
        <v/>
      </c>
      <c r="C62" s="513"/>
      <c r="D62" s="513"/>
      <c r="F62" s="117">
        <f>'As-Filed Schedule 2E'!F62</f>
        <v>0</v>
      </c>
      <c r="G62" s="314">
        <f>SUMIFS(Adjustments!$G:$G,Adjustments!$H:$H,"2E",Adjustments!$I:$I,'Schedule 2E Adjustments'!$F$12,Adjustments!$J:$J,'Schedule 2E Adjustments'!$A62)</f>
        <v>0</v>
      </c>
      <c r="H62" s="310">
        <f t="shared" si="0"/>
        <v>0</v>
      </c>
      <c r="I62" s="68">
        <f>IFERROR(F62*'As-Filed Schedule 1'!$E$103,0)</f>
        <v>0</v>
      </c>
      <c r="J62" s="311">
        <f>IFERROR(H62*'Adjusted Schedule 1'!$E$104,0)</f>
        <v>0</v>
      </c>
      <c r="K62" s="68">
        <f t="shared" si="1"/>
        <v>0</v>
      </c>
      <c r="L62" s="311">
        <f t="shared" si="2"/>
        <v>0</v>
      </c>
      <c r="N62" s="117">
        <f>'As-Filed Schedule 2E'!J62</f>
        <v>0</v>
      </c>
      <c r="O62" s="314">
        <f>SUMIFS(Adjustments!$G:$G,Adjustments!$H:$H,"2E",Adjustments!$I:$I,'Schedule 2E Adjustments'!$N$12,Adjustments!$J:$J,'Schedule 2E Adjustments'!$A62)</f>
        <v>0</v>
      </c>
      <c r="P62" s="310">
        <f t="shared" si="3"/>
        <v>0</v>
      </c>
      <c r="Q62" s="68">
        <f>IFERROR(N62*'As-Filed Schedule 1'!$E$103,0)</f>
        <v>0</v>
      </c>
      <c r="R62" s="68">
        <f>IFERROR(P62*'Adjusted Schedule 1'!$E$104,0)</f>
        <v>0</v>
      </c>
      <c r="S62" s="68">
        <f t="shared" si="4"/>
        <v>0</v>
      </c>
      <c r="T62" s="311">
        <f t="shared" si="5"/>
        <v>0</v>
      </c>
      <c r="V62" s="120">
        <f>'As-Filed Schedule 2E'!N62</f>
        <v>0</v>
      </c>
      <c r="W62" s="314">
        <f>SUMIFS(Adjustments!$G:$G,Adjustments!$H:$H,"2E",Adjustments!$I:$I,'Schedule 2E Adjustments'!$V$12,Adjustments!$J:$J,'Schedule 2E Adjustments'!$A62)</f>
        <v>0</v>
      </c>
      <c r="X62" s="310">
        <f t="shared" si="6"/>
        <v>0</v>
      </c>
      <c r="Y62" s="120">
        <f>'As-Filed Schedule 2E'!O62</f>
        <v>0</v>
      </c>
      <c r="Z62" s="314">
        <f>SUMIFS(Adjustments!$G:$G,Adjustments!$H:$H,"2E",Adjustments!$I:$I,'Schedule 2E Adjustments'!$Y$12,Adjustments!$J:$J,'Schedule 2E Adjustments'!$A62)</f>
        <v>0</v>
      </c>
      <c r="AA62" s="310">
        <f t="shared" si="7"/>
        <v>0</v>
      </c>
    </row>
    <row r="63" spans="1:27" x14ac:dyDescent="0.35">
      <c r="A63" s="24">
        <v>49</v>
      </c>
      <c r="B63" s="513" t="str">
        <f>IF('As-Filed Schedule 2E'!B63:D63=0,"",'As-Filed Schedule 2E'!B63:D63)</f>
        <v/>
      </c>
      <c r="C63" s="513"/>
      <c r="D63" s="513"/>
      <c r="F63" s="117">
        <f>'As-Filed Schedule 2E'!F63</f>
        <v>0</v>
      </c>
      <c r="G63" s="314">
        <f>SUMIFS(Adjustments!$G:$G,Adjustments!$H:$H,"2E",Adjustments!$I:$I,'Schedule 2E Adjustments'!$F$12,Adjustments!$J:$J,'Schedule 2E Adjustments'!$A63)</f>
        <v>0</v>
      </c>
      <c r="H63" s="310">
        <f t="shared" si="0"/>
        <v>0</v>
      </c>
      <c r="I63" s="68">
        <f>IFERROR(F63*'As-Filed Schedule 1'!$E$103,0)</f>
        <v>0</v>
      </c>
      <c r="J63" s="311">
        <f>IFERROR(H63*'Adjusted Schedule 1'!$E$104,0)</f>
        <v>0</v>
      </c>
      <c r="K63" s="68">
        <f t="shared" si="1"/>
        <v>0</v>
      </c>
      <c r="L63" s="311">
        <f t="shared" si="2"/>
        <v>0</v>
      </c>
      <c r="N63" s="117">
        <f>'As-Filed Schedule 2E'!J63</f>
        <v>0</v>
      </c>
      <c r="O63" s="314">
        <f>SUMIFS(Adjustments!$G:$G,Adjustments!$H:$H,"2E",Adjustments!$I:$I,'Schedule 2E Adjustments'!$N$12,Adjustments!$J:$J,'Schedule 2E Adjustments'!$A63)</f>
        <v>0</v>
      </c>
      <c r="P63" s="310">
        <f t="shared" si="3"/>
        <v>0</v>
      </c>
      <c r="Q63" s="68">
        <f>IFERROR(N63*'As-Filed Schedule 1'!$E$103,0)</f>
        <v>0</v>
      </c>
      <c r="R63" s="68">
        <f>IFERROR(P63*'Adjusted Schedule 1'!$E$104,0)</f>
        <v>0</v>
      </c>
      <c r="S63" s="68">
        <f t="shared" si="4"/>
        <v>0</v>
      </c>
      <c r="T63" s="311">
        <f t="shared" si="5"/>
        <v>0</v>
      </c>
      <c r="V63" s="120">
        <f>'As-Filed Schedule 2E'!N63</f>
        <v>0</v>
      </c>
      <c r="W63" s="314">
        <f>SUMIFS(Adjustments!$G:$G,Adjustments!$H:$H,"2E",Adjustments!$I:$I,'Schedule 2E Adjustments'!$V$12,Adjustments!$J:$J,'Schedule 2E Adjustments'!$A63)</f>
        <v>0</v>
      </c>
      <c r="X63" s="310">
        <f t="shared" si="6"/>
        <v>0</v>
      </c>
      <c r="Y63" s="120">
        <f>'As-Filed Schedule 2E'!O63</f>
        <v>0</v>
      </c>
      <c r="Z63" s="314">
        <f>SUMIFS(Adjustments!$G:$G,Adjustments!$H:$H,"2E",Adjustments!$I:$I,'Schedule 2E Adjustments'!$Y$12,Adjustments!$J:$J,'Schedule 2E Adjustments'!$A63)</f>
        <v>0</v>
      </c>
      <c r="AA63" s="310">
        <f t="shared" si="7"/>
        <v>0</v>
      </c>
    </row>
    <row r="64" spans="1:27" x14ac:dyDescent="0.35">
      <c r="A64" s="24">
        <v>50</v>
      </c>
      <c r="B64" s="513" t="str">
        <f>IF('As-Filed Schedule 2E'!B64:D64=0,"",'As-Filed Schedule 2E'!B64:D64)</f>
        <v/>
      </c>
      <c r="C64" s="513"/>
      <c r="D64" s="513"/>
      <c r="F64" s="117">
        <f>'As-Filed Schedule 2E'!F64</f>
        <v>0</v>
      </c>
      <c r="G64" s="314">
        <f>SUMIFS(Adjustments!$G:$G,Adjustments!$H:$H,"2E",Adjustments!$I:$I,'Schedule 2E Adjustments'!$F$12,Adjustments!$J:$J,'Schedule 2E Adjustments'!$A64)</f>
        <v>0</v>
      </c>
      <c r="H64" s="310">
        <f t="shared" si="0"/>
        <v>0</v>
      </c>
      <c r="I64" s="68">
        <f>IFERROR(F64*'As-Filed Schedule 1'!$E$103,0)</f>
        <v>0</v>
      </c>
      <c r="J64" s="311">
        <f>IFERROR(H64*'Adjusted Schedule 1'!$E$104,0)</f>
        <v>0</v>
      </c>
      <c r="K64" s="68">
        <f t="shared" si="1"/>
        <v>0</v>
      </c>
      <c r="L64" s="311">
        <f t="shared" si="2"/>
        <v>0</v>
      </c>
      <c r="N64" s="117">
        <f>'As-Filed Schedule 2E'!J64</f>
        <v>0</v>
      </c>
      <c r="O64" s="314">
        <f>SUMIFS(Adjustments!$G:$G,Adjustments!$H:$H,"2E",Adjustments!$I:$I,'Schedule 2E Adjustments'!$N$12,Adjustments!$J:$J,'Schedule 2E Adjustments'!$A64)</f>
        <v>0</v>
      </c>
      <c r="P64" s="310">
        <f t="shared" si="3"/>
        <v>0</v>
      </c>
      <c r="Q64" s="68">
        <f>IFERROR(N64*'As-Filed Schedule 1'!$E$103,0)</f>
        <v>0</v>
      </c>
      <c r="R64" s="68">
        <f>IFERROR(P64*'Adjusted Schedule 1'!$E$104,0)</f>
        <v>0</v>
      </c>
      <c r="S64" s="68">
        <f t="shared" si="4"/>
        <v>0</v>
      </c>
      <c r="T64" s="311">
        <f t="shared" si="5"/>
        <v>0</v>
      </c>
      <c r="V64" s="120">
        <f>'As-Filed Schedule 2E'!N64</f>
        <v>0</v>
      </c>
      <c r="W64" s="314">
        <f>SUMIFS(Adjustments!$G:$G,Adjustments!$H:$H,"2E",Adjustments!$I:$I,'Schedule 2E Adjustments'!$V$12,Adjustments!$J:$J,'Schedule 2E Adjustments'!$A64)</f>
        <v>0</v>
      </c>
      <c r="X64" s="310">
        <f t="shared" si="6"/>
        <v>0</v>
      </c>
      <c r="Y64" s="120">
        <f>'As-Filed Schedule 2E'!O64</f>
        <v>0</v>
      </c>
      <c r="Z64" s="314">
        <f>SUMIFS(Adjustments!$G:$G,Adjustments!$H:$H,"2E",Adjustments!$I:$I,'Schedule 2E Adjustments'!$Y$12,Adjustments!$J:$J,'Schedule 2E Adjustments'!$A64)</f>
        <v>0</v>
      </c>
      <c r="AA64" s="310">
        <f t="shared" si="7"/>
        <v>0</v>
      </c>
    </row>
    <row r="65" spans="1:27" x14ac:dyDescent="0.35">
      <c r="A65" s="24">
        <v>51</v>
      </c>
      <c r="B65" s="513" t="str">
        <f>IF('As-Filed Schedule 2E'!B65:D65=0,"",'As-Filed Schedule 2E'!B65:D65)</f>
        <v/>
      </c>
      <c r="C65" s="513"/>
      <c r="D65" s="513"/>
      <c r="F65" s="117">
        <f>'As-Filed Schedule 2E'!F65</f>
        <v>0</v>
      </c>
      <c r="G65" s="314">
        <f>SUMIFS(Adjustments!$G:$G,Adjustments!$H:$H,"2E",Adjustments!$I:$I,'Schedule 2E Adjustments'!$F$12,Adjustments!$J:$J,'Schedule 2E Adjustments'!$A65)</f>
        <v>0</v>
      </c>
      <c r="H65" s="310">
        <f t="shared" si="0"/>
        <v>0</v>
      </c>
      <c r="I65" s="68">
        <f>IFERROR(F65*'As-Filed Schedule 1'!$E$103,0)</f>
        <v>0</v>
      </c>
      <c r="J65" s="311">
        <f>IFERROR(H65*'Adjusted Schedule 1'!$E$104,0)</f>
        <v>0</v>
      </c>
      <c r="K65" s="68">
        <f t="shared" si="1"/>
        <v>0</v>
      </c>
      <c r="L65" s="311">
        <f t="shared" si="2"/>
        <v>0</v>
      </c>
      <c r="N65" s="117">
        <f>'As-Filed Schedule 2E'!J65</f>
        <v>0</v>
      </c>
      <c r="O65" s="314">
        <f>SUMIFS(Adjustments!$G:$G,Adjustments!$H:$H,"2E",Adjustments!$I:$I,'Schedule 2E Adjustments'!$N$12,Adjustments!$J:$J,'Schedule 2E Adjustments'!$A65)</f>
        <v>0</v>
      </c>
      <c r="P65" s="310">
        <f t="shared" si="3"/>
        <v>0</v>
      </c>
      <c r="Q65" s="68">
        <f>IFERROR(N65*'As-Filed Schedule 1'!$E$103,0)</f>
        <v>0</v>
      </c>
      <c r="R65" s="68">
        <f>IFERROR(P65*'Adjusted Schedule 1'!$E$104,0)</f>
        <v>0</v>
      </c>
      <c r="S65" s="68">
        <f t="shared" si="4"/>
        <v>0</v>
      </c>
      <c r="T65" s="311">
        <f t="shared" si="5"/>
        <v>0</v>
      </c>
      <c r="V65" s="120">
        <f>'As-Filed Schedule 2E'!N65</f>
        <v>0</v>
      </c>
      <c r="W65" s="314">
        <f>SUMIFS(Adjustments!$G:$G,Adjustments!$H:$H,"2E",Adjustments!$I:$I,'Schedule 2E Adjustments'!$V$12,Adjustments!$J:$J,'Schedule 2E Adjustments'!$A65)</f>
        <v>0</v>
      </c>
      <c r="X65" s="310">
        <f t="shared" si="6"/>
        <v>0</v>
      </c>
      <c r="Y65" s="120">
        <f>'As-Filed Schedule 2E'!O65</f>
        <v>0</v>
      </c>
      <c r="Z65" s="314">
        <f>SUMIFS(Adjustments!$G:$G,Adjustments!$H:$H,"2E",Adjustments!$I:$I,'Schedule 2E Adjustments'!$Y$12,Adjustments!$J:$J,'Schedule 2E Adjustments'!$A65)</f>
        <v>0</v>
      </c>
      <c r="AA65" s="310">
        <f t="shared" si="7"/>
        <v>0</v>
      </c>
    </row>
    <row r="66" spans="1:27" x14ac:dyDescent="0.35">
      <c r="A66" s="24">
        <v>52</v>
      </c>
      <c r="B66" s="513" t="str">
        <f>IF('As-Filed Schedule 2E'!B66:D66=0,"",'As-Filed Schedule 2E'!B66:D66)</f>
        <v/>
      </c>
      <c r="C66" s="513"/>
      <c r="D66" s="513"/>
      <c r="F66" s="117">
        <f>'As-Filed Schedule 2E'!F66</f>
        <v>0</v>
      </c>
      <c r="G66" s="314">
        <f>SUMIFS(Adjustments!$G:$G,Adjustments!$H:$H,"2E",Adjustments!$I:$I,'Schedule 2E Adjustments'!$F$12,Adjustments!$J:$J,'Schedule 2E Adjustments'!$A66)</f>
        <v>0</v>
      </c>
      <c r="H66" s="310">
        <f t="shared" si="0"/>
        <v>0</v>
      </c>
      <c r="I66" s="68">
        <f>IFERROR(F66*'As-Filed Schedule 1'!$E$103,0)</f>
        <v>0</v>
      </c>
      <c r="J66" s="311">
        <f>IFERROR(H66*'Adjusted Schedule 1'!$E$104,0)</f>
        <v>0</v>
      </c>
      <c r="K66" s="68">
        <f t="shared" si="1"/>
        <v>0</v>
      </c>
      <c r="L66" s="311">
        <f t="shared" si="2"/>
        <v>0</v>
      </c>
      <c r="N66" s="117">
        <f>'As-Filed Schedule 2E'!J66</f>
        <v>0</v>
      </c>
      <c r="O66" s="314">
        <f>SUMIFS(Adjustments!$G:$G,Adjustments!$H:$H,"2E",Adjustments!$I:$I,'Schedule 2E Adjustments'!$N$12,Adjustments!$J:$J,'Schedule 2E Adjustments'!$A66)</f>
        <v>0</v>
      </c>
      <c r="P66" s="310">
        <f t="shared" si="3"/>
        <v>0</v>
      </c>
      <c r="Q66" s="68">
        <f>IFERROR(N66*'As-Filed Schedule 1'!$E$103,0)</f>
        <v>0</v>
      </c>
      <c r="R66" s="68">
        <f>IFERROR(P66*'Adjusted Schedule 1'!$E$104,0)</f>
        <v>0</v>
      </c>
      <c r="S66" s="68">
        <f t="shared" si="4"/>
        <v>0</v>
      </c>
      <c r="T66" s="311">
        <f t="shared" si="5"/>
        <v>0</v>
      </c>
      <c r="V66" s="120">
        <f>'As-Filed Schedule 2E'!N66</f>
        <v>0</v>
      </c>
      <c r="W66" s="314">
        <f>SUMIFS(Adjustments!$G:$G,Adjustments!$H:$H,"2E",Adjustments!$I:$I,'Schedule 2E Adjustments'!$V$12,Adjustments!$J:$J,'Schedule 2E Adjustments'!$A66)</f>
        <v>0</v>
      </c>
      <c r="X66" s="310">
        <f t="shared" si="6"/>
        <v>0</v>
      </c>
      <c r="Y66" s="120">
        <f>'As-Filed Schedule 2E'!O66</f>
        <v>0</v>
      </c>
      <c r="Z66" s="314">
        <f>SUMIFS(Adjustments!$G:$G,Adjustments!$H:$H,"2E",Adjustments!$I:$I,'Schedule 2E Adjustments'!$Y$12,Adjustments!$J:$J,'Schedule 2E Adjustments'!$A66)</f>
        <v>0</v>
      </c>
      <c r="AA66" s="310">
        <f t="shared" si="7"/>
        <v>0</v>
      </c>
    </row>
    <row r="67" spans="1:27" x14ac:dyDescent="0.35">
      <c r="A67" s="24">
        <v>53</v>
      </c>
      <c r="B67" s="513" t="str">
        <f>IF('As-Filed Schedule 2E'!B67:D67=0,"",'As-Filed Schedule 2E'!B67:D67)</f>
        <v/>
      </c>
      <c r="C67" s="513"/>
      <c r="D67" s="513"/>
      <c r="F67" s="117">
        <f>'As-Filed Schedule 2E'!F67</f>
        <v>0</v>
      </c>
      <c r="G67" s="314">
        <f>SUMIFS(Adjustments!$G:$G,Adjustments!$H:$H,"2E",Adjustments!$I:$I,'Schedule 2E Adjustments'!$F$12,Adjustments!$J:$J,'Schedule 2E Adjustments'!$A67)</f>
        <v>0</v>
      </c>
      <c r="H67" s="310">
        <f t="shared" si="0"/>
        <v>0</v>
      </c>
      <c r="I67" s="68">
        <f>IFERROR(F67*'As-Filed Schedule 1'!$E$103,0)</f>
        <v>0</v>
      </c>
      <c r="J67" s="311">
        <f>IFERROR(H67*'Adjusted Schedule 1'!$E$104,0)</f>
        <v>0</v>
      </c>
      <c r="K67" s="68">
        <f t="shared" si="1"/>
        <v>0</v>
      </c>
      <c r="L67" s="311">
        <f t="shared" si="2"/>
        <v>0</v>
      </c>
      <c r="N67" s="117">
        <f>'As-Filed Schedule 2E'!J67</f>
        <v>0</v>
      </c>
      <c r="O67" s="314">
        <f>SUMIFS(Adjustments!$G:$G,Adjustments!$H:$H,"2E",Adjustments!$I:$I,'Schedule 2E Adjustments'!$N$12,Adjustments!$J:$J,'Schedule 2E Adjustments'!$A67)</f>
        <v>0</v>
      </c>
      <c r="P67" s="310">
        <f t="shared" si="3"/>
        <v>0</v>
      </c>
      <c r="Q67" s="68">
        <f>IFERROR(N67*'As-Filed Schedule 1'!$E$103,0)</f>
        <v>0</v>
      </c>
      <c r="R67" s="68">
        <f>IFERROR(P67*'Adjusted Schedule 1'!$E$104,0)</f>
        <v>0</v>
      </c>
      <c r="S67" s="68">
        <f t="shared" si="4"/>
        <v>0</v>
      </c>
      <c r="T67" s="311">
        <f t="shared" si="5"/>
        <v>0</v>
      </c>
      <c r="V67" s="120">
        <f>'As-Filed Schedule 2E'!N67</f>
        <v>0</v>
      </c>
      <c r="W67" s="314">
        <f>SUMIFS(Adjustments!$G:$G,Adjustments!$H:$H,"2E",Adjustments!$I:$I,'Schedule 2E Adjustments'!$V$12,Adjustments!$J:$J,'Schedule 2E Adjustments'!$A67)</f>
        <v>0</v>
      </c>
      <c r="X67" s="310">
        <f t="shared" si="6"/>
        <v>0</v>
      </c>
      <c r="Y67" s="120">
        <f>'As-Filed Schedule 2E'!O67</f>
        <v>0</v>
      </c>
      <c r="Z67" s="314">
        <f>SUMIFS(Adjustments!$G:$G,Adjustments!$H:$H,"2E",Adjustments!$I:$I,'Schedule 2E Adjustments'!$Y$12,Adjustments!$J:$J,'Schedule 2E Adjustments'!$A67)</f>
        <v>0</v>
      </c>
      <c r="AA67" s="310">
        <f t="shared" si="7"/>
        <v>0</v>
      </c>
    </row>
    <row r="68" spans="1:27" x14ac:dyDescent="0.35">
      <c r="A68" s="24">
        <v>54</v>
      </c>
      <c r="B68" s="513" t="str">
        <f>IF('As-Filed Schedule 2E'!B68:D68=0,"",'As-Filed Schedule 2E'!B68:D68)</f>
        <v/>
      </c>
      <c r="C68" s="513"/>
      <c r="D68" s="513"/>
      <c r="F68" s="117">
        <f>'As-Filed Schedule 2E'!F68</f>
        <v>0</v>
      </c>
      <c r="G68" s="314">
        <f>SUMIFS(Adjustments!$G:$G,Adjustments!$H:$H,"2E",Adjustments!$I:$I,'Schedule 2E Adjustments'!$F$12,Adjustments!$J:$J,'Schedule 2E Adjustments'!$A68)</f>
        <v>0</v>
      </c>
      <c r="H68" s="310">
        <f t="shared" si="0"/>
        <v>0</v>
      </c>
      <c r="I68" s="68">
        <f>IFERROR(F68*'As-Filed Schedule 1'!$E$103,0)</f>
        <v>0</v>
      </c>
      <c r="J68" s="311">
        <f>IFERROR(H68*'Adjusted Schedule 1'!$E$104,0)</f>
        <v>0</v>
      </c>
      <c r="K68" s="68">
        <f t="shared" si="1"/>
        <v>0</v>
      </c>
      <c r="L68" s="311">
        <f t="shared" si="2"/>
        <v>0</v>
      </c>
      <c r="N68" s="117">
        <f>'As-Filed Schedule 2E'!J68</f>
        <v>0</v>
      </c>
      <c r="O68" s="314">
        <f>SUMIFS(Adjustments!$G:$G,Adjustments!$H:$H,"2E",Adjustments!$I:$I,'Schedule 2E Adjustments'!$N$12,Adjustments!$J:$J,'Schedule 2E Adjustments'!$A68)</f>
        <v>0</v>
      </c>
      <c r="P68" s="310">
        <f t="shared" si="3"/>
        <v>0</v>
      </c>
      <c r="Q68" s="68">
        <f>IFERROR(N68*'As-Filed Schedule 1'!$E$103,0)</f>
        <v>0</v>
      </c>
      <c r="R68" s="68">
        <f>IFERROR(P68*'Adjusted Schedule 1'!$E$104,0)</f>
        <v>0</v>
      </c>
      <c r="S68" s="68">
        <f t="shared" si="4"/>
        <v>0</v>
      </c>
      <c r="T68" s="311">
        <f t="shared" si="5"/>
        <v>0</v>
      </c>
      <c r="V68" s="120">
        <f>'As-Filed Schedule 2E'!N68</f>
        <v>0</v>
      </c>
      <c r="W68" s="314">
        <f>SUMIFS(Adjustments!$G:$G,Adjustments!$H:$H,"2E",Adjustments!$I:$I,'Schedule 2E Adjustments'!$V$12,Adjustments!$J:$J,'Schedule 2E Adjustments'!$A68)</f>
        <v>0</v>
      </c>
      <c r="X68" s="310">
        <f t="shared" si="6"/>
        <v>0</v>
      </c>
      <c r="Y68" s="120">
        <f>'As-Filed Schedule 2E'!O68</f>
        <v>0</v>
      </c>
      <c r="Z68" s="314">
        <f>SUMIFS(Adjustments!$G:$G,Adjustments!$H:$H,"2E",Adjustments!$I:$I,'Schedule 2E Adjustments'!$Y$12,Adjustments!$J:$J,'Schedule 2E Adjustments'!$A68)</f>
        <v>0</v>
      </c>
      <c r="AA68" s="310">
        <f t="shared" si="7"/>
        <v>0</v>
      </c>
    </row>
    <row r="69" spans="1:27" x14ac:dyDescent="0.35">
      <c r="A69" s="24">
        <v>55</v>
      </c>
      <c r="B69" s="513" t="str">
        <f>IF('As-Filed Schedule 2E'!B69:D69=0,"",'As-Filed Schedule 2E'!B69:D69)</f>
        <v/>
      </c>
      <c r="C69" s="513"/>
      <c r="D69" s="513"/>
      <c r="F69" s="117">
        <f>'As-Filed Schedule 2E'!F69</f>
        <v>0</v>
      </c>
      <c r="G69" s="314">
        <f>SUMIFS(Adjustments!$G:$G,Adjustments!$H:$H,"2E",Adjustments!$I:$I,'Schedule 2E Adjustments'!$F$12,Adjustments!$J:$J,'Schedule 2E Adjustments'!$A69)</f>
        <v>0</v>
      </c>
      <c r="H69" s="310">
        <f t="shared" si="0"/>
        <v>0</v>
      </c>
      <c r="I69" s="68">
        <f>IFERROR(F69*'As-Filed Schedule 1'!$E$103,0)</f>
        <v>0</v>
      </c>
      <c r="J69" s="311">
        <f>IFERROR(H69*'Adjusted Schedule 1'!$E$104,0)</f>
        <v>0</v>
      </c>
      <c r="K69" s="68">
        <f t="shared" si="1"/>
        <v>0</v>
      </c>
      <c r="L69" s="311">
        <f t="shared" si="2"/>
        <v>0</v>
      </c>
      <c r="N69" s="117">
        <f>'As-Filed Schedule 2E'!J69</f>
        <v>0</v>
      </c>
      <c r="O69" s="314">
        <f>SUMIFS(Adjustments!$G:$G,Adjustments!$H:$H,"2E",Adjustments!$I:$I,'Schedule 2E Adjustments'!$N$12,Adjustments!$J:$J,'Schedule 2E Adjustments'!$A69)</f>
        <v>0</v>
      </c>
      <c r="P69" s="310">
        <f t="shared" si="3"/>
        <v>0</v>
      </c>
      <c r="Q69" s="68">
        <f>IFERROR(N69*'As-Filed Schedule 1'!$E$103,0)</f>
        <v>0</v>
      </c>
      <c r="R69" s="68">
        <f>IFERROR(P69*'Adjusted Schedule 1'!$E$104,0)</f>
        <v>0</v>
      </c>
      <c r="S69" s="68">
        <f t="shared" si="4"/>
        <v>0</v>
      </c>
      <c r="T69" s="311">
        <f t="shared" si="5"/>
        <v>0</v>
      </c>
      <c r="V69" s="120">
        <f>'As-Filed Schedule 2E'!N69</f>
        <v>0</v>
      </c>
      <c r="W69" s="314">
        <f>SUMIFS(Adjustments!$G:$G,Adjustments!$H:$H,"2E",Adjustments!$I:$I,'Schedule 2E Adjustments'!$V$12,Adjustments!$J:$J,'Schedule 2E Adjustments'!$A69)</f>
        <v>0</v>
      </c>
      <c r="X69" s="310">
        <f t="shared" si="6"/>
        <v>0</v>
      </c>
      <c r="Y69" s="120">
        <f>'As-Filed Schedule 2E'!O69</f>
        <v>0</v>
      </c>
      <c r="Z69" s="314">
        <f>SUMIFS(Adjustments!$G:$G,Adjustments!$H:$H,"2E",Adjustments!$I:$I,'Schedule 2E Adjustments'!$Y$12,Adjustments!$J:$J,'Schedule 2E Adjustments'!$A69)</f>
        <v>0</v>
      </c>
      <c r="AA69" s="310">
        <f t="shared" si="7"/>
        <v>0</v>
      </c>
    </row>
    <row r="70" spans="1:27" x14ac:dyDescent="0.35">
      <c r="A70" s="24">
        <v>56</v>
      </c>
      <c r="B70" s="513" t="str">
        <f>IF('As-Filed Schedule 2E'!B70:D70=0,"",'As-Filed Schedule 2E'!B70:D70)</f>
        <v/>
      </c>
      <c r="C70" s="513"/>
      <c r="D70" s="513"/>
      <c r="F70" s="117">
        <f>'As-Filed Schedule 2E'!F70</f>
        <v>0</v>
      </c>
      <c r="G70" s="314">
        <f>SUMIFS(Adjustments!$G:$G,Adjustments!$H:$H,"2E",Adjustments!$I:$I,'Schedule 2E Adjustments'!$F$12,Adjustments!$J:$J,'Schedule 2E Adjustments'!$A70)</f>
        <v>0</v>
      </c>
      <c r="H70" s="310">
        <f t="shared" si="0"/>
        <v>0</v>
      </c>
      <c r="I70" s="68">
        <f>IFERROR(F70*'As-Filed Schedule 1'!$E$103,0)</f>
        <v>0</v>
      </c>
      <c r="J70" s="311">
        <f>IFERROR(H70*'Adjusted Schedule 1'!$E$104,0)</f>
        <v>0</v>
      </c>
      <c r="K70" s="68">
        <f t="shared" si="1"/>
        <v>0</v>
      </c>
      <c r="L70" s="311">
        <f t="shared" si="2"/>
        <v>0</v>
      </c>
      <c r="N70" s="117">
        <f>'As-Filed Schedule 2E'!J70</f>
        <v>0</v>
      </c>
      <c r="O70" s="314">
        <f>SUMIFS(Adjustments!$G:$G,Adjustments!$H:$H,"2E",Adjustments!$I:$I,'Schedule 2E Adjustments'!$N$12,Adjustments!$J:$J,'Schedule 2E Adjustments'!$A70)</f>
        <v>0</v>
      </c>
      <c r="P70" s="310">
        <f t="shared" si="3"/>
        <v>0</v>
      </c>
      <c r="Q70" s="68">
        <f>IFERROR(N70*'As-Filed Schedule 1'!$E$103,0)</f>
        <v>0</v>
      </c>
      <c r="R70" s="68">
        <f>IFERROR(P70*'Adjusted Schedule 1'!$E$104,0)</f>
        <v>0</v>
      </c>
      <c r="S70" s="68">
        <f t="shared" si="4"/>
        <v>0</v>
      </c>
      <c r="T70" s="311">
        <f t="shared" si="5"/>
        <v>0</v>
      </c>
      <c r="V70" s="120">
        <f>'As-Filed Schedule 2E'!N70</f>
        <v>0</v>
      </c>
      <c r="W70" s="314">
        <f>SUMIFS(Adjustments!$G:$G,Adjustments!$H:$H,"2E",Adjustments!$I:$I,'Schedule 2E Adjustments'!$V$12,Adjustments!$J:$J,'Schedule 2E Adjustments'!$A70)</f>
        <v>0</v>
      </c>
      <c r="X70" s="310">
        <f t="shared" si="6"/>
        <v>0</v>
      </c>
      <c r="Y70" s="120">
        <f>'As-Filed Schedule 2E'!O70</f>
        <v>0</v>
      </c>
      <c r="Z70" s="314">
        <f>SUMIFS(Adjustments!$G:$G,Adjustments!$H:$H,"2E",Adjustments!$I:$I,'Schedule 2E Adjustments'!$Y$12,Adjustments!$J:$J,'Schedule 2E Adjustments'!$A70)</f>
        <v>0</v>
      </c>
      <c r="AA70" s="310">
        <f t="shared" si="7"/>
        <v>0</v>
      </c>
    </row>
    <row r="71" spans="1:27" x14ac:dyDescent="0.35">
      <c r="A71" s="24">
        <v>57</v>
      </c>
      <c r="B71" s="513" t="str">
        <f>IF('As-Filed Schedule 2E'!B71:D71=0,"",'As-Filed Schedule 2E'!B71:D71)</f>
        <v/>
      </c>
      <c r="C71" s="513"/>
      <c r="D71" s="513"/>
      <c r="F71" s="117">
        <f>'As-Filed Schedule 2E'!F71</f>
        <v>0</v>
      </c>
      <c r="G71" s="314">
        <f>SUMIFS(Adjustments!$G:$G,Adjustments!$H:$H,"2E",Adjustments!$I:$I,'Schedule 2E Adjustments'!$F$12,Adjustments!$J:$J,'Schedule 2E Adjustments'!$A71)</f>
        <v>0</v>
      </c>
      <c r="H71" s="310">
        <f t="shared" si="0"/>
        <v>0</v>
      </c>
      <c r="I71" s="68">
        <f>IFERROR(F71*'As-Filed Schedule 1'!$E$103,0)</f>
        <v>0</v>
      </c>
      <c r="J71" s="311">
        <f>IFERROR(H71*'Adjusted Schedule 1'!$E$104,0)</f>
        <v>0</v>
      </c>
      <c r="K71" s="68">
        <f t="shared" si="1"/>
        <v>0</v>
      </c>
      <c r="L71" s="311">
        <f t="shared" si="2"/>
        <v>0</v>
      </c>
      <c r="N71" s="117">
        <f>'As-Filed Schedule 2E'!J71</f>
        <v>0</v>
      </c>
      <c r="O71" s="314">
        <f>SUMIFS(Adjustments!$G:$G,Adjustments!$H:$H,"2E",Adjustments!$I:$I,'Schedule 2E Adjustments'!$N$12,Adjustments!$J:$J,'Schedule 2E Adjustments'!$A71)</f>
        <v>0</v>
      </c>
      <c r="P71" s="310">
        <f t="shared" si="3"/>
        <v>0</v>
      </c>
      <c r="Q71" s="68">
        <f>IFERROR(N71*'As-Filed Schedule 1'!$E$103,0)</f>
        <v>0</v>
      </c>
      <c r="R71" s="68">
        <f>IFERROR(P71*'Adjusted Schedule 1'!$E$104,0)</f>
        <v>0</v>
      </c>
      <c r="S71" s="68">
        <f t="shared" si="4"/>
        <v>0</v>
      </c>
      <c r="T71" s="311">
        <f t="shared" si="5"/>
        <v>0</v>
      </c>
      <c r="V71" s="120">
        <f>'As-Filed Schedule 2E'!N71</f>
        <v>0</v>
      </c>
      <c r="W71" s="314">
        <f>SUMIFS(Adjustments!$G:$G,Adjustments!$H:$H,"2E",Adjustments!$I:$I,'Schedule 2E Adjustments'!$V$12,Adjustments!$J:$J,'Schedule 2E Adjustments'!$A71)</f>
        <v>0</v>
      </c>
      <c r="X71" s="310">
        <f t="shared" si="6"/>
        <v>0</v>
      </c>
      <c r="Y71" s="120">
        <f>'As-Filed Schedule 2E'!O71</f>
        <v>0</v>
      </c>
      <c r="Z71" s="314">
        <f>SUMIFS(Adjustments!$G:$G,Adjustments!$H:$H,"2E",Adjustments!$I:$I,'Schedule 2E Adjustments'!$Y$12,Adjustments!$J:$J,'Schedule 2E Adjustments'!$A71)</f>
        <v>0</v>
      </c>
      <c r="AA71" s="310">
        <f t="shared" si="7"/>
        <v>0</v>
      </c>
    </row>
    <row r="72" spans="1:27" x14ac:dyDescent="0.35">
      <c r="A72" s="24">
        <v>58</v>
      </c>
      <c r="B72" s="513" t="str">
        <f>IF('As-Filed Schedule 2E'!B72:D72=0,"",'As-Filed Schedule 2E'!B72:D72)</f>
        <v/>
      </c>
      <c r="C72" s="513"/>
      <c r="D72" s="513"/>
      <c r="F72" s="117">
        <f>'As-Filed Schedule 2E'!F72</f>
        <v>0</v>
      </c>
      <c r="G72" s="314">
        <f>SUMIFS(Adjustments!$G:$G,Adjustments!$H:$H,"2E",Adjustments!$I:$I,'Schedule 2E Adjustments'!$F$12,Adjustments!$J:$J,'Schedule 2E Adjustments'!$A72)</f>
        <v>0</v>
      </c>
      <c r="H72" s="310">
        <f t="shared" si="0"/>
        <v>0</v>
      </c>
      <c r="I72" s="68">
        <f>IFERROR(F72*'As-Filed Schedule 1'!$E$103,0)</f>
        <v>0</v>
      </c>
      <c r="J72" s="311">
        <f>IFERROR(H72*'Adjusted Schedule 1'!$E$104,0)</f>
        <v>0</v>
      </c>
      <c r="K72" s="68">
        <f t="shared" si="1"/>
        <v>0</v>
      </c>
      <c r="L72" s="311">
        <f t="shared" si="2"/>
        <v>0</v>
      </c>
      <c r="N72" s="117">
        <f>'As-Filed Schedule 2E'!J72</f>
        <v>0</v>
      </c>
      <c r="O72" s="314">
        <f>SUMIFS(Adjustments!$G:$G,Adjustments!$H:$H,"2E",Adjustments!$I:$I,'Schedule 2E Adjustments'!$N$12,Adjustments!$J:$J,'Schedule 2E Adjustments'!$A72)</f>
        <v>0</v>
      </c>
      <c r="P72" s="310">
        <f t="shared" si="3"/>
        <v>0</v>
      </c>
      <c r="Q72" s="68">
        <f>IFERROR(N72*'As-Filed Schedule 1'!$E$103,0)</f>
        <v>0</v>
      </c>
      <c r="R72" s="68">
        <f>IFERROR(P72*'Adjusted Schedule 1'!$E$104,0)</f>
        <v>0</v>
      </c>
      <c r="S72" s="68">
        <f t="shared" si="4"/>
        <v>0</v>
      </c>
      <c r="T72" s="311">
        <f t="shared" si="5"/>
        <v>0</v>
      </c>
      <c r="V72" s="120">
        <f>'As-Filed Schedule 2E'!N72</f>
        <v>0</v>
      </c>
      <c r="W72" s="314">
        <f>SUMIFS(Adjustments!$G:$G,Adjustments!$H:$H,"2E",Adjustments!$I:$I,'Schedule 2E Adjustments'!$V$12,Adjustments!$J:$J,'Schedule 2E Adjustments'!$A72)</f>
        <v>0</v>
      </c>
      <c r="X72" s="310">
        <f t="shared" si="6"/>
        <v>0</v>
      </c>
      <c r="Y72" s="120">
        <f>'As-Filed Schedule 2E'!O72</f>
        <v>0</v>
      </c>
      <c r="Z72" s="314">
        <f>SUMIFS(Adjustments!$G:$G,Adjustments!$H:$H,"2E",Adjustments!$I:$I,'Schedule 2E Adjustments'!$Y$12,Adjustments!$J:$J,'Schedule 2E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811</v>
      </c>
      <c r="F75" s="75">
        <f>K73+S73</f>
        <v>0</v>
      </c>
      <c r="G75"/>
      <c r="H75" s="75">
        <f>L73+T73</f>
        <v>0</v>
      </c>
      <c r="I75" s="74"/>
      <c r="J75" s="326"/>
      <c r="K75" s="74"/>
      <c r="L75" s="326"/>
      <c r="N75" s="74"/>
      <c r="O75" s="333"/>
      <c r="P75" s="326"/>
      <c r="Q75" s="74"/>
      <c r="R75" s="326"/>
      <c r="T75" s="328"/>
      <c r="W75" s="331"/>
      <c r="X75" s="328"/>
      <c r="Z75" s="331"/>
      <c r="AA75" s="328"/>
    </row>
  </sheetData>
  <customSheetViews>
    <customSheetView guid="{27BAF95E-10B4-4025-9660-F5A8EBC66DC3}">
      <pageMargins left="0.7" right="0.7" top="0.75" bottom="0.75" header="0.3" footer="0.3"/>
      <pageSetup orientation="portrait" horizontalDpi="1200" verticalDpi="1200" r:id="rId1"/>
    </customSheetView>
    <customSheetView guid="{D0F83CC0-0361-4280-BCA4-9A92C986158B}" state="hidden">
      <pageMargins left="0.7" right="0.7" top="0.75" bottom="0.75" header="0.3" footer="0.3"/>
      <pageSetup orientation="portrait" horizontalDpi="1200" verticalDpi="1200" r:id="rId2"/>
    </customSheetView>
  </customSheetViews>
  <mergeCells count="69">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40:D40"/>
    <mergeCell ref="B41:D41"/>
    <mergeCell ref="B42:D42"/>
    <mergeCell ref="B43:D43"/>
    <mergeCell ref="B44:D44"/>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V13:V14"/>
    <mergeCell ref="W13:W14"/>
    <mergeCell ref="X13:X14"/>
    <mergeCell ref="Y13:Y14"/>
    <mergeCell ref="Z13:Z14"/>
  </mergeCells>
  <pageMargins left="0.7" right="0.7" top="0.75" bottom="0.75" header="0.3" footer="0.3"/>
  <pageSetup orientation="portrait" horizontalDpi="1200" verticalDpi="1200"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6"/>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494" t="s">
        <v>840</v>
      </c>
      <c r="B3" s="494"/>
      <c r="C3" s="494"/>
      <c r="D3" s="494"/>
      <c r="E3" s="494"/>
      <c r="F3" s="494"/>
      <c r="G3" s="494"/>
      <c r="H3" s="494"/>
      <c r="I3" s="494"/>
      <c r="J3" s="494"/>
      <c r="K3" s="494"/>
      <c r="L3" s="322"/>
    </row>
    <row r="5" spans="1:27" x14ac:dyDescent="0.35">
      <c r="A5" s="1" t="s">
        <v>773</v>
      </c>
      <c r="C5" s="421" t="str">
        <f>Results!$C$6</f>
        <v>Health Solutions</v>
      </c>
    </row>
    <row r="6" spans="1:27" x14ac:dyDescent="0.35">
      <c r="A6" s="1" t="s">
        <v>0</v>
      </c>
      <c r="C6" s="35">
        <f>Results!$C$7</f>
        <v>45473</v>
      </c>
      <c r="F6" s="35"/>
      <c r="G6" s="320"/>
      <c r="H6" s="60"/>
    </row>
    <row r="8" spans="1:27" x14ac:dyDescent="0.35">
      <c r="A8" s="1" t="s">
        <v>253</v>
      </c>
      <c r="B8" s="1" t="s">
        <v>813</v>
      </c>
      <c r="C8" s="1"/>
      <c r="F8" s="119" t="str">
        <f>'As-Filed Schedule 2F'!F8</f>
        <v>Yes/No</v>
      </c>
      <c r="G8" s="41" t="s">
        <v>259</v>
      </c>
    </row>
    <row r="10" spans="1:27" x14ac:dyDescent="0.35">
      <c r="A10" s="1" t="s">
        <v>254</v>
      </c>
      <c r="B10" s="1" t="s">
        <v>256</v>
      </c>
      <c r="C10" s="1"/>
    </row>
    <row r="12" spans="1:27" x14ac:dyDescent="0.35">
      <c r="B12" s="508">
        <v>1</v>
      </c>
      <c r="C12" s="508"/>
      <c r="D12" s="508"/>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09" t="s">
        <v>255</v>
      </c>
      <c r="C13" s="509"/>
      <c r="D13" s="509"/>
      <c r="F13" s="511" t="s">
        <v>261</v>
      </c>
      <c r="G13" s="516"/>
      <c r="H13" s="516"/>
      <c r="I13" s="516"/>
      <c r="J13" s="516"/>
      <c r="K13" s="516"/>
      <c r="L13" s="512"/>
      <c r="N13" s="511" t="s">
        <v>262</v>
      </c>
      <c r="O13" s="516"/>
      <c r="P13" s="516"/>
      <c r="Q13" s="516"/>
      <c r="R13" s="516"/>
      <c r="S13" s="516"/>
      <c r="T13" s="512"/>
      <c r="V13" s="510" t="s">
        <v>250</v>
      </c>
      <c r="W13" s="568" t="s">
        <v>620</v>
      </c>
      <c r="X13" s="569" t="s">
        <v>621</v>
      </c>
      <c r="Y13" s="510" t="s">
        <v>312</v>
      </c>
      <c r="Z13" s="568" t="s">
        <v>630</v>
      </c>
      <c r="AA13" s="569" t="s">
        <v>631</v>
      </c>
    </row>
    <row r="14" spans="1:27" ht="55.5" customHeight="1" x14ac:dyDescent="0.35">
      <c r="B14" s="509"/>
      <c r="C14" s="509"/>
      <c r="D14" s="509"/>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0"/>
      <c r="W14" s="568"/>
      <c r="X14" s="569"/>
      <c r="Y14" s="510"/>
      <c r="Z14" s="568"/>
      <c r="AA14" s="569"/>
    </row>
    <row r="15" spans="1:27" x14ac:dyDescent="0.35">
      <c r="A15" s="24">
        <v>1</v>
      </c>
      <c r="B15" s="513" t="str">
        <f>IF('As-Filed Schedule 2F'!B15:D15=0,"",'As-Filed Schedule 2F'!B15:D15)</f>
        <v/>
      </c>
      <c r="C15" s="513"/>
      <c r="D15" s="513"/>
      <c r="F15" s="117">
        <f>'As-Filed Schedule 2F'!F15</f>
        <v>0</v>
      </c>
      <c r="G15" s="314">
        <f>SUMIFS(Adjustments!$G:$G,Adjustments!$H:$H,"2F",Adjustments!$I:$I,'Schedule 2F Adjustments'!$F$12,Adjustments!$J:$J,'Schedule 2F Adjustments'!$A15)</f>
        <v>0</v>
      </c>
      <c r="H15" s="310">
        <f>SUM(F15:G15)</f>
        <v>0</v>
      </c>
      <c r="I15" s="68">
        <f>IFERROR(F15*'As-Filed Schedule 1'!$E$103,0)</f>
        <v>0</v>
      </c>
      <c r="J15" s="311">
        <f>IFERROR(H15*'Adjusted Schedule 1'!$E$104,0)</f>
        <v>0</v>
      </c>
      <c r="K15" s="68">
        <f>SUM(F15,I15)</f>
        <v>0</v>
      </c>
      <c r="L15" s="311">
        <f>SUM(H15,J15)</f>
        <v>0</v>
      </c>
      <c r="N15" s="117">
        <f>'As-Filed Schedule 2F'!J15</f>
        <v>0</v>
      </c>
      <c r="O15" s="314">
        <f>SUMIFS(Adjustments!$G:$G,Adjustments!$H:$H,"2F",Adjustments!$I:$I,'Schedule 2F Adjustments'!$N$12,Adjustments!$J:$J,'Schedule 2F Adjustments'!$A15)</f>
        <v>0</v>
      </c>
      <c r="P15" s="310">
        <f>SUM(N15:O15)</f>
        <v>0</v>
      </c>
      <c r="Q15" s="68">
        <f>IFERROR(N15*'As-Filed Schedule 1'!$E$103,0)</f>
        <v>0</v>
      </c>
      <c r="R15" s="68">
        <f>IFERROR(P15*'Adjusted Schedule 1'!$E$104,0)</f>
        <v>0</v>
      </c>
      <c r="S15" s="68">
        <f>SUM(N15,Q15)</f>
        <v>0</v>
      </c>
      <c r="T15" s="311">
        <f>SUM(P15,R15)</f>
        <v>0</v>
      </c>
      <c r="V15" s="120">
        <f>'As-Filed Schedule 2F'!N15</f>
        <v>0</v>
      </c>
      <c r="W15" s="314">
        <f>SUMIFS(Adjustments!$G:$G,Adjustments!$H:$H,"2F",Adjustments!$I:$I,'Schedule 2F Adjustments'!$V$12,Adjustments!$J:$J,'Schedule 2F Adjustments'!$A15)</f>
        <v>0</v>
      </c>
      <c r="X15" s="310">
        <f>SUM(V15:W15)</f>
        <v>0</v>
      </c>
      <c r="Y15" s="120">
        <f>'As-Filed Schedule 2F'!O15</f>
        <v>0</v>
      </c>
      <c r="Z15" s="314">
        <f>SUMIFS(Adjustments!$G:$G,Adjustments!$H:$H,"2F",Adjustments!$I:$I,'Schedule 2F Adjustments'!$Y$12,Adjustments!$J:$J,'Schedule 2F Adjustments'!$A15)</f>
        <v>0</v>
      </c>
      <c r="AA15" s="310">
        <f>SUM(Y15:Z15)</f>
        <v>0</v>
      </c>
    </row>
    <row r="16" spans="1:27" x14ac:dyDescent="0.35">
      <c r="A16" s="24">
        <v>2</v>
      </c>
      <c r="B16" s="513" t="str">
        <f>IF('As-Filed Schedule 2F'!B16:D16=0,"",'As-Filed Schedule 2F'!B16:D16)</f>
        <v/>
      </c>
      <c r="C16" s="513"/>
      <c r="D16" s="513"/>
      <c r="F16" s="117">
        <f>'As-Filed Schedule 2F'!F16</f>
        <v>0</v>
      </c>
      <c r="G16" s="314">
        <f>SUMIFS(Adjustments!$G:$G,Adjustments!$H:$H,"2F",Adjustments!$I:$I,'Schedule 2F Adjustments'!$F$12,Adjustments!$J:$J,'Schedule 2F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2F'!J16</f>
        <v>0</v>
      </c>
      <c r="O16" s="314">
        <f>SUMIFS(Adjustments!$G:$G,Adjustments!$H:$H,"2F",Adjustments!$I:$I,'Schedule 2F Adjustments'!$N$12,Adjustments!$J:$J,'Schedule 2F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2F'!N16</f>
        <v>0</v>
      </c>
      <c r="W16" s="314">
        <f>SUMIFS(Adjustments!$G:$G,Adjustments!$H:$H,"2F",Adjustments!$I:$I,'Schedule 2F Adjustments'!$V$12,Adjustments!$J:$J,'Schedule 2F Adjustments'!$A16)</f>
        <v>0</v>
      </c>
      <c r="X16" s="310">
        <f t="shared" ref="X16:X72" si="6">SUM(V16:W16)</f>
        <v>0</v>
      </c>
      <c r="Y16" s="120">
        <f>'As-Filed Schedule 2F'!O16</f>
        <v>0</v>
      </c>
      <c r="Z16" s="314">
        <f>SUMIFS(Adjustments!$G:$G,Adjustments!$H:$H,"2F",Adjustments!$I:$I,'Schedule 2F Adjustments'!$Y$12,Adjustments!$J:$J,'Schedule 2F Adjustments'!$A16)</f>
        <v>0</v>
      </c>
      <c r="AA16" s="310">
        <f t="shared" ref="AA16:AA72" si="7">SUM(Y16:Z16)</f>
        <v>0</v>
      </c>
    </row>
    <row r="17" spans="1:27" x14ac:dyDescent="0.35">
      <c r="A17" s="24">
        <v>3</v>
      </c>
      <c r="B17" s="513" t="str">
        <f>IF('As-Filed Schedule 2F'!B17:D17=0,"",'As-Filed Schedule 2F'!B17:D17)</f>
        <v/>
      </c>
      <c r="C17" s="513"/>
      <c r="D17" s="513"/>
      <c r="F17" s="117">
        <f>'As-Filed Schedule 2F'!F17</f>
        <v>0</v>
      </c>
      <c r="G17" s="314">
        <f>SUMIFS(Adjustments!$G:$G,Adjustments!$H:$H,"2F",Adjustments!$I:$I,'Schedule 2F Adjustments'!$F$12,Adjustments!$J:$J,'Schedule 2F Adjustments'!$A17)</f>
        <v>0</v>
      </c>
      <c r="H17" s="310">
        <f t="shared" si="0"/>
        <v>0</v>
      </c>
      <c r="I17" s="68">
        <f>IFERROR(F17*'As-Filed Schedule 1'!$E$103,0)</f>
        <v>0</v>
      </c>
      <c r="J17" s="311">
        <f>IFERROR(H17*'Adjusted Schedule 1'!$E$104,0)</f>
        <v>0</v>
      </c>
      <c r="K17" s="68">
        <f t="shared" si="1"/>
        <v>0</v>
      </c>
      <c r="L17" s="311">
        <f t="shared" si="2"/>
        <v>0</v>
      </c>
      <c r="N17" s="117">
        <f>'As-Filed Schedule 2F'!J17</f>
        <v>0</v>
      </c>
      <c r="O17" s="314">
        <f>SUMIFS(Adjustments!$G:$G,Adjustments!$H:$H,"2F",Adjustments!$I:$I,'Schedule 2F Adjustments'!$N$12,Adjustments!$J:$J,'Schedule 2F Adjustments'!$A17)</f>
        <v>0</v>
      </c>
      <c r="P17" s="310">
        <f t="shared" si="3"/>
        <v>0</v>
      </c>
      <c r="Q17" s="68">
        <f>IFERROR(N17*'As-Filed Schedule 1'!$E$103,0)</f>
        <v>0</v>
      </c>
      <c r="R17" s="68">
        <f>IFERROR(P17*'Adjusted Schedule 1'!$E$104,0)</f>
        <v>0</v>
      </c>
      <c r="S17" s="68">
        <f t="shared" si="4"/>
        <v>0</v>
      </c>
      <c r="T17" s="311">
        <f t="shared" si="5"/>
        <v>0</v>
      </c>
      <c r="V17" s="120">
        <f>'As-Filed Schedule 2F'!N17</f>
        <v>0</v>
      </c>
      <c r="W17" s="314">
        <f>SUMIFS(Adjustments!$G:$G,Adjustments!$H:$H,"2F",Adjustments!$I:$I,'Schedule 2F Adjustments'!$V$12,Adjustments!$J:$J,'Schedule 2F Adjustments'!$A17)</f>
        <v>0</v>
      </c>
      <c r="X17" s="310">
        <f t="shared" si="6"/>
        <v>0</v>
      </c>
      <c r="Y17" s="120">
        <f>'As-Filed Schedule 2F'!O17</f>
        <v>0</v>
      </c>
      <c r="Z17" s="314">
        <f>SUMIFS(Adjustments!$G:$G,Adjustments!$H:$H,"2F",Adjustments!$I:$I,'Schedule 2F Adjustments'!$Y$12,Adjustments!$J:$J,'Schedule 2F Adjustments'!$A17)</f>
        <v>0</v>
      </c>
      <c r="AA17" s="310">
        <f t="shared" si="7"/>
        <v>0</v>
      </c>
    </row>
    <row r="18" spans="1:27" x14ac:dyDescent="0.35">
      <c r="A18" s="24">
        <v>4</v>
      </c>
      <c r="B18" s="513" t="str">
        <f>IF('As-Filed Schedule 2F'!B18:D18=0,"",'As-Filed Schedule 2F'!B18:D18)</f>
        <v/>
      </c>
      <c r="C18" s="513"/>
      <c r="D18" s="513"/>
      <c r="F18" s="117">
        <f>'As-Filed Schedule 2F'!F18</f>
        <v>0</v>
      </c>
      <c r="G18" s="314">
        <f>SUMIFS(Adjustments!$G:$G,Adjustments!$H:$H,"2F",Adjustments!$I:$I,'Schedule 2F Adjustments'!$F$12,Adjustments!$J:$J,'Schedule 2F Adjustments'!$A18)</f>
        <v>0</v>
      </c>
      <c r="H18" s="310">
        <f t="shared" si="0"/>
        <v>0</v>
      </c>
      <c r="I18" s="68">
        <f>IFERROR(F18*'As-Filed Schedule 1'!$E$103,0)</f>
        <v>0</v>
      </c>
      <c r="J18" s="311">
        <f>IFERROR(H18*'Adjusted Schedule 1'!$E$104,0)</f>
        <v>0</v>
      </c>
      <c r="K18" s="68">
        <f>SUM(F18,I18)</f>
        <v>0</v>
      </c>
      <c r="L18" s="311">
        <f>SUM(H18,J18)</f>
        <v>0</v>
      </c>
      <c r="N18" s="117">
        <f>'As-Filed Schedule 2F'!J18</f>
        <v>0</v>
      </c>
      <c r="O18" s="314">
        <f>SUMIFS(Adjustments!$G:$G,Adjustments!$H:$H,"2F",Adjustments!$I:$I,'Schedule 2F Adjustments'!$N$12,Adjustments!$J:$J,'Schedule 2F Adjustments'!$A18)</f>
        <v>0</v>
      </c>
      <c r="P18" s="310">
        <f t="shared" si="3"/>
        <v>0</v>
      </c>
      <c r="Q18" s="68">
        <f>IFERROR(N18*'As-Filed Schedule 1'!$E$103,0)</f>
        <v>0</v>
      </c>
      <c r="R18" s="68">
        <f>IFERROR(P18*'Adjusted Schedule 1'!$E$104,0)</f>
        <v>0</v>
      </c>
      <c r="S18" s="68">
        <f t="shared" si="4"/>
        <v>0</v>
      </c>
      <c r="T18" s="311">
        <f t="shared" si="5"/>
        <v>0</v>
      </c>
      <c r="V18" s="120">
        <f>'As-Filed Schedule 2F'!N18</f>
        <v>0</v>
      </c>
      <c r="W18" s="314">
        <f>SUMIFS(Adjustments!$G:$G,Adjustments!$H:$H,"2F",Adjustments!$I:$I,'Schedule 2F Adjustments'!$V$12,Adjustments!$J:$J,'Schedule 2F Adjustments'!$A18)</f>
        <v>0</v>
      </c>
      <c r="X18" s="310">
        <f t="shared" si="6"/>
        <v>0</v>
      </c>
      <c r="Y18" s="120">
        <f>'As-Filed Schedule 2F'!O18</f>
        <v>0</v>
      </c>
      <c r="Z18" s="314">
        <f>SUMIFS(Adjustments!$G:$G,Adjustments!$H:$H,"2F",Adjustments!$I:$I,'Schedule 2F Adjustments'!$Y$12,Adjustments!$J:$J,'Schedule 2F Adjustments'!$A18)</f>
        <v>0</v>
      </c>
      <c r="AA18" s="310">
        <f t="shared" si="7"/>
        <v>0</v>
      </c>
    </row>
    <row r="19" spans="1:27" x14ac:dyDescent="0.35">
      <c r="A19" s="24">
        <v>5</v>
      </c>
      <c r="B19" s="513" t="str">
        <f>IF('As-Filed Schedule 2F'!B19:D19=0,"",'As-Filed Schedule 2F'!B19:D19)</f>
        <v/>
      </c>
      <c r="C19" s="513"/>
      <c r="D19" s="513"/>
      <c r="F19" s="117">
        <f>'As-Filed Schedule 2F'!F19</f>
        <v>0</v>
      </c>
      <c r="G19" s="314">
        <f>SUMIFS(Adjustments!$G:$G,Adjustments!$H:$H,"2F",Adjustments!$I:$I,'Schedule 2F Adjustments'!$F$12,Adjustments!$J:$J,'Schedule 2F Adjustments'!$A19)</f>
        <v>0</v>
      </c>
      <c r="H19" s="310">
        <f t="shared" si="0"/>
        <v>0</v>
      </c>
      <c r="I19" s="68">
        <f>IFERROR(F19*'As-Filed Schedule 1'!$E$103,0)</f>
        <v>0</v>
      </c>
      <c r="J19" s="311">
        <f>IFERROR(H19*'Adjusted Schedule 1'!$E$104,0)</f>
        <v>0</v>
      </c>
      <c r="K19" s="68">
        <f t="shared" si="1"/>
        <v>0</v>
      </c>
      <c r="L19" s="311">
        <f>SUM(H19,J19)</f>
        <v>0</v>
      </c>
      <c r="N19" s="117">
        <f>'As-Filed Schedule 2F'!J19</f>
        <v>0</v>
      </c>
      <c r="O19" s="314">
        <f>SUMIFS(Adjustments!$G:$G,Adjustments!$H:$H,"2F",Adjustments!$I:$I,'Schedule 2F Adjustments'!$N$12,Adjustments!$J:$J,'Schedule 2F Adjustments'!$A19)</f>
        <v>0</v>
      </c>
      <c r="P19" s="310">
        <f t="shared" si="3"/>
        <v>0</v>
      </c>
      <c r="Q19" s="68">
        <f>IFERROR(N19*'As-Filed Schedule 1'!$E$103,0)</f>
        <v>0</v>
      </c>
      <c r="R19" s="68">
        <f>IFERROR(P19*'Adjusted Schedule 1'!$E$104,0)</f>
        <v>0</v>
      </c>
      <c r="S19" s="68">
        <f t="shared" si="4"/>
        <v>0</v>
      </c>
      <c r="T19" s="311">
        <f t="shared" si="5"/>
        <v>0</v>
      </c>
      <c r="V19" s="120">
        <f>'As-Filed Schedule 2F'!N19</f>
        <v>0</v>
      </c>
      <c r="W19" s="314">
        <f>SUMIFS(Adjustments!$G:$G,Adjustments!$H:$H,"2F",Adjustments!$I:$I,'Schedule 2F Adjustments'!$V$12,Adjustments!$J:$J,'Schedule 2F Adjustments'!$A19)</f>
        <v>0</v>
      </c>
      <c r="X19" s="310">
        <f t="shared" si="6"/>
        <v>0</v>
      </c>
      <c r="Y19" s="120">
        <f>'As-Filed Schedule 2F'!O19</f>
        <v>0</v>
      </c>
      <c r="Z19" s="314">
        <f>SUMIFS(Adjustments!$G:$G,Adjustments!$H:$H,"2F",Adjustments!$I:$I,'Schedule 2F Adjustments'!$Y$12,Adjustments!$J:$J,'Schedule 2F Adjustments'!$A19)</f>
        <v>0</v>
      </c>
      <c r="AA19" s="310">
        <f t="shared" si="7"/>
        <v>0</v>
      </c>
    </row>
    <row r="20" spans="1:27" x14ac:dyDescent="0.35">
      <c r="A20" s="24">
        <v>6</v>
      </c>
      <c r="B20" s="513" t="str">
        <f>IF('As-Filed Schedule 2F'!B20:D20=0,"",'As-Filed Schedule 2F'!B20:D20)</f>
        <v/>
      </c>
      <c r="C20" s="513"/>
      <c r="D20" s="513"/>
      <c r="F20" s="117">
        <f>'As-Filed Schedule 2F'!F20</f>
        <v>0</v>
      </c>
      <c r="G20" s="314">
        <f>SUMIFS(Adjustments!$G:$G,Adjustments!$H:$H,"2F",Adjustments!$I:$I,'Schedule 2F Adjustments'!$F$12,Adjustments!$J:$J,'Schedule 2F Adjustments'!$A20)</f>
        <v>0</v>
      </c>
      <c r="H20" s="310">
        <f t="shared" si="0"/>
        <v>0</v>
      </c>
      <c r="I20" s="68">
        <f>IFERROR(F20*'As-Filed Schedule 1'!$E$103,0)</f>
        <v>0</v>
      </c>
      <c r="J20" s="311">
        <f>IFERROR(H20*'Adjusted Schedule 1'!$E$104,0)</f>
        <v>0</v>
      </c>
      <c r="K20" s="68">
        <f>SUM(F20,I20)</f>
        <v>0</v>
      </c>
      <c r="L20" s="311">
        <f t="shared" si="2"/>
        <v>0</v>
      </c>
      <c r="N20" s="117">
        <f>'As-Filed Schedule 2F'!J20</f>
        <v>0</v>
      </c>
      <c r="O20" s="314">
        <f>SUMIFS(Adjustments!$G:$G,Adjustments!$H:$H,"2F",Adjustments!$I:$I,'Schedule 2F Adjustments'!$N$12,Adjustments!$J:$J,'Schedule 2F Adjustments'!$A20)</f>
        <v>0</v>
      </c>
      <c r="P20" s="310">
        <f t="shared" si="3"/>
        <v>0</v>
      </c>
      <c r="Q20" s="68">
        <f>IFERROR(N20*'As-Filed Schedule 1'!$E$103,0)</f>
        <v>0</v>
      </c>
      <c r="R20" s="68">
        <f>IFERROR(P20*'Adjusted Schedule 1'!$E$104,0)</f>
        <v>0</v>
      </c>
      <c r="S20" s="68">
        <f t="shared" si="4"/>
        <v>0</v>
      </c>
      <c r="T20" s="311">
        <f t="shared" si="5"/>
        <v>0</v>
      </c>
      <c r="V20" s="120">
        <f>'As-Filed Schedule 2F'!N20</f>
        <v>0</v>
      </c>
      <c r="W20" s="314">
        <f>SUMIFS(Adjustments!$G:$G,Adjustments!$H:$H,"2F",Adjustments!$I:$I,'Schedule 2F Adjustments'!$V$12,Adjustments!$J:$J,'Schedule 2F Adjustments'!$A20)</f>
        <v>0</v>
      </c>
      <c r="X20" s="310">
        <f t="shared" si="6"/>
        <v>0</v>
      </c>
      <c r="Y20" s="120">
        <f>'As-Filed Schedule 2F'!O20</f>
        <v>0</v>
      </c>
      <c r="Z20" s="314">
        <f>SUMIFS(Adjustments!$G:$G,Adjustments!$H:$H,"2F",Adjustments!$I:$I,'Schedule 2F Adjustments'!$Y$12,Adjustments!$J:$J,'Schedule 2F Adjustments'!$A20)</f>
        <v>0</v>
      </c>
      <c r="AA20" s="310">
        <f t="shared" si="7"/>
        <v>0</v>
      </c>
    </row>
    <row r="21" spans="1:27" x14ac:dyDescent="0.35">
      <c r="A21" s="24">
        <v>7</v>
      </c>
      <c r="B21" s="513" t="str">
        <f>IF('As-Filed Schedule 2F'!B21:D21=0,"",'As-Filed Schedule 2F'!B21:D21)</f>
        <v/>
      </c>
      <c r="C21" s="513"/>
      <c r="D21" s="513"/>
      <c r="F21" s="117">
        <f>'As-Filed Schedule 2F'!F21</f>
        <v>0</v>
      </c>
      <c r="G21" s="314">
        <f>SUMIFS(Adjustments!$G:$G,Adjustments!$H:$H,"2F",Adjustments!$I:$I,'Schedule 2F Adjustments'!$F$12,Adjustments!$J:$J,'Schedule 2F Adjustments'!$A21)</f>
        <v>0</v>
      </c>
      <c r="H21" s="310">
        <f t="shared" si="0"/>
        <v>0</v>
      </c>
      <c r="I21" s="68">
        <f>IFERROR(F21*'As-Filed Schedule 1'!$E$103,0)</f>
        <v>0</v>
      </c>
      <c r="J21" s="311">
        <f>IFERROR(H21*'Adjusted Schedule 1'!$E$104,0)</f>
        <v>0</v>
      </c>
      <c r="K21" s="68">
        <f t="shared" si="1"/>
        <v>0</v>
      </c>
      <c r="L21" s="311">
        <f t="shared" si="2"/>
        <v>0</v>
      </c>
      <c r="N21" s="117">
        <f>'As-Filed Schedule 2F'!J21</f>
        <v>0</v>
      </c>
      <c r="O21" s="314">
        <f>SUMIFS(Adjustments!$G:$G,Adjustments!$H:$H,"2F",Adjustments!$I:$I,'Schedule 2F Adjustments'!$N$12,Adjustments!$J:$J,'Schedule 2F Adjustments'!$A21)</f>
        <v>0</v>
      </c>
      <c r="P21" s="310">
        <f t="shared" si="3"/>
        <v>0</v>
      </c>
      <c r="Q21" s="68">
        <f>IFERROR(N21*'As-Filed Schedule 1'!$E$103,0)</f>
        <v>0</v>
      </c>
      <c r="R21" s="68">
        <f>IFERROR(P21*'Adjusted Schedule 1'!$E$104,0)</f>
        <v>0</v>
      </c>
      <c r="S21" s="68">
        <f>SUM(N21,Q21)</f>
        <v>0</v>
      </c>
      <c r="T21" s="311">
        <f>SUM(P21,R21)</f>
        <v>0</v>
      </c>
      <c r="V21" s="120">
        <f>'As-Filed Schedule 2F'!N21</f>
        <v>0</v>
      </c>
      <c r="W21" s="314">
        <f>SUMIFS(Adjustments!$G:$G,Adjustments!$H:$H,"2F",Adjustments!$I:$I,'Schedule 2F Adjustments'!$V$12,Adjustments!$J:$J,'Schedule 2F Adjustments'!$A21)</f>
        <v>0</v>
      </c>
      <c r="X21" s="310">
        <f t="shared" si="6"/>
        <v>0</v>
      </c>
      <c r="Y21" s="120">
        <f>'As-Filed Schedule 2F'!O21</f>
        <v>0</v>
      </c>
      <c r="Z21" s="314">
        <f>SUMIFS(Adjustments!$G:$G,Adjustments!$H:$H,"2F",Adjustments!$I:$I,'Schedule 2F Adjustments'!$Y$12,Adjustments!$J:$J,'Schedule 2F Adjustments'!$A21)</f>
        <v>0</v>
      </c>
      <c r="AA21" s="310">
        <f t="shared" si="7"/>
        <v>0</v>
      </c>
    </row>
    <row r="22" spans="1:27" x14ac:dyDescent="0.35">
      <c r="A22" s="24">
        <v>8</v>
      </c>
      <c r="B22" s="513" t="str">
        <f>IF('As-Filed Schedule 2F'!B22:D22=0,"",'As-Filed Schedule 2F'!B22:D22)</f>
        <v/>
      </c>
      <c r="C22" s="513"/>
      <c r="D22" s="513"/>
      <c r="F22" s="117">
        <f>'As-Filed Schedule 2F'!F22</f>
        <v>0</v>
      </c>
      <c r="G22" s="314">
        <f>SUMIFS(Adjustments!$G:$G,Adjustments!$H:$H,"2F",Adjustments!$I:$I,'Schedule 2F Adjustments'!$F$12,Adjustments!$J:$J,'Schedule 2F Adjustments'!$A22)</f>
        <v>0</v>
      </c>
      <c r="H22" s="310">
        <f t="shared" si="0"/>
        <v>0</v>
      </c>
      <c r="I22" s="68">
        <f>IFERROR(F22*'As-Filed Schedule 1'!$E$103,0)</f>
        <v>0</v>
      </c>
      <c r="J22" s="311">
        <f>IFERROR(H22*'Adjusted Schedule 1'!$E$104,0)</f>
        <v>0</v>
      </c>
      <c r="K22" s="68">
        <f t="shared" si="1"/>
        <v>0</v>
      </c>
      <c r="L22" s="311">
        <f t="shared" si="2"/>
        <v>0</v>
      </c>
      <c r="N22" s="117">
        <f>'As-Filed Schedule 2F'!J22</f>
        <v>0</v>
      </c>
      <c r="O22" s="314">
        <f>SUMIFS(Adjustments!$G:$G,Adjustments!$H:$H,"2F",Adjustments!$I:$I,'Schedule 2F Adjustments'!$N$12,Adjustments!$J:$J,'Schedule 2F Adjustments'!$A22)</f>
        <v>0</v>
      </c>
      <c r="P22" s="310">
        <f t="shared" si="3"/>
        <v>0</v>
      </c>
      <c r="Q22" s="68">
        <f>IFERROR(N22*'As-Filed Schedule 1'!$E$103,0)</f>
        <v>0</v>
      </c>
      <c r="R22" s="68">
        <f>IFERROR(P22*'Adjusted Schedule 1'!$E$104,0)</f>
        <v>0</v>
      </c>
      <c r="S22" s="68">
        <f t="shared" si="4"/>
        <v>0</v>
      </c>
      <c r="T22" s="311">
        <f t="shared" si="5"/>
        <v>0</v>
      </c>
      <c r="V22" s="120">
        <f>'As-Filed Schedule 2F'!N22</f>
        <v>0</v>
      </c>
      <c r="W22" s="314">
        <f>SUMIFS(Adjustments!$G:$G,Adjustments!$H:$H,"2F",Adjustments!$I:$I,'Schedule 2F Adjustments'!$V$12,Adjustments!$J:$J,'Schedule 2F Adjustments'!$A22)</f>
        <v>0</v>
      </c>
      <c r="X22" s="310">
        <f t="shared" si="6"/>
        <v>0</v>
      </c>
      <c r="Y22" s="120">
        <f>'As-Filed Schedule 2F'!O22</f>
        <v>0</v>
      </c>
      <c r="Z22" s="314">
        <f>SUMIFS(Adjustments!$G:$G,Adjustments!$H:$H,"2F",Adjustments!$I:$I,'Schedule 2F Adjustments'!$Y$12,Adjustments!$J:$J,'Schedule 2F Adjustments'!$A22)</f>
        <v>0</v>
      </c>
      <c r="AA22" s="310">
        <f t="shared" si="7"/>
        <v>0</v>
      </c>
    </row>
    <row r="23" spans="1:27" x14ac:dyDescent="0.35">
      <c r="A23" s="24">
        <v>9</v>
      </c>
      <c r="B23" s="513" t="str">
        <f>IF('As-Filed Schedule 2F'!B23:D23=0,"",'As-Filed Schedule 2F'!B23:D23)</f>
        <v/>
      </c>
      <c r="C23" s="513"/>
      <c r="D23" s="513"/>
      <c r="F23" s="117">
        <f>'As-Filed Schedule 2F'!F23</f>
        <v>0</v>
      </c>
      <c r="G23" s="314">
        <f>SUMIFS(Adjustments!$G:$G,Adjustments!$H:$H,"2F",Adjustments!$I:$I,'Schedule 2F Adjustments'!$F$12,Adjustments!$J:$J,'Schedule 2F Adjustments'!$A23)</f>
        <v>0</v>
      </c>
      <c r="H23" s="310">
        <f t="shared" si="0"/>
        <v>0</v>
      </c>
      <c r="I23" s="68">
        <f>IFERROR(F23*'As-Filed Schedule 1'!$E$103,0)</f>
        <v>0</v>
      </c>
      <c r="J23" s="311">
        <f>IFERROR(H23*'Adjusted Schedule 1'!$E$104,0)</f>
        <v>0</v>
      </c>
      <c r="K23" s="68">
        <f t="shared" si="1"/>
        <v>0</v>
      </c>
      <c r="L23" s="311">
        <f t="shared" si="2"/>
        <v>0</v>
      </c>
      <c r="N23" s="117">
        <f>'As-Filed Schedule 2F'!J23</f>
        <v>0</v>
      </c>
      <c r="O23" s="314">
        <f>SUMIFS(Adjustments!$G:$G,Adjustments!$H:$H,"2F",Adjustments!$I:$I,'Schedule 2F Adjustments'!$N$12,Adjustments!$J:$J,'Schedule 2F Adjustments'!$A23)</f>
        <v>0</v>
      </c>
      <c r="P23" s="310">
        <f t="shared" si="3"/>
        <v>0</v>
      </c>
      <c r="Q23" s="68">
        <f>IFERROR(N23*'As-Filed Schedule 1'!$E$103,0)</f>
        <v>0</v>
      </c>
      <c r="R23" s="68">
        <f>IFERROR(P23*'Adjusted Schedule 1'!$E$104,0)</f>
        <v>0</v>
      </c>
      <c r="S23" s="68">
        <f t="shared" si="4"/>
        <v>0</v>
      </c>
      <c r="T23" s="311">
        <f t="shared" si="5"/>
        <v>0</v>
      </c>
      <c r="V23" s="120">
        <f>'As-Filed Schedule 2F'!N23</f>
        <v>0</v>
      </c>
      <c r="W23" s="314">
        <f>SUMIFS(Adjustments!$G:$G,Adjustments!$H:$H,"2F",Adjustments!$I:$I,'Schedule 2F Adjustments'!$V$12,Adjustments!$J:$J,'Schedule 2F Adjustments'!$A23)</f>
        <v>0</v>
      </c>
      <c r="X23" s="310">
        <f t="shared" si="6"/>
        <v>0</v>
      </c>
      <c r="Y23" s="120">
        <f>'As-Filed Schedule 2F'!O23</f>
        <v>0</v>
      </c>
      <c r="Z23" s="314">
        <f>SUMIFS(Adjustments!$G:$G,Adjustments!$H:$H,"2F",Adjustments!$I:$I,'Schedule 2F Adjustments'!$Y$12,Adjustments!$J:$J,'Schedule 2F Adjustments'!$A23)</f>
        <v>0</v>
      </c>
      <c r="AA23" s="310">
        <f t="shared" si="7"/>
        <v>0</v>
      </c>
    </row>
    <row r="24" spans="1:27" x14ac:dyDescent="0.35">
      <c r="A24" s="24">
        <v>10</v>
      </c>
      <c r="B24" s="513" t="str">
        <f>IF('As-Filed Schedule 2F'!B24:D24=0,"",'As-Filed Schedule 2F'!B24:D24)</f>
        <v/>
      </c>
      <c r="C24" s="513"/>
      <c r="D24" s="513"/>
      <c r="F24" s="117">
        <f>'As-Filed Schedule 2F'!F24</f>
        <v>0</v>
      </c>
      <c r="G24" s="314">
        <f>SUMIFS(Adjustments!$G:$G,Adjustments!$H:$H,"2F",Adjustments!$I:$I,'Schedule 2F Adjustments'!$F$12,Adjustments!$J:$J,'Schedule 2F Adjustments'!$A24)</f>
        <v>0</v>
      </c>
      <c r="H24" s="310">
        <f t="shared" si="0"/>
        <v>0</v>
      </c>
      <c r="I24" s="68">
        <f>IFERROR(F24*'As-Filed Schedule 1'!$E$103,0)</f>
        <v>0</v>
      </c>
      <c r="J24" s="311">
        <f>IFERROR(H24*'Adjusted Schedule 1'!$E$104,0)</f>
        <v>0</v>
      </c>
      <c r="K24" s="68">
        <f t="shared" si="1"/>
        <v>0</v>
      </c>
      <c r="L24" s="311">
        <f t="shared" si="2"/>
        <v>0</v>
      </c>
      <c r="N24" s="117">
        <f>'As-Filed Schedule 2F'!J24</f>
        <v>0</v>
      </c>
      <c r="O24" s="314">
        <f>SUMIFS(Adjustments!$G:$G,Adjustments!$H:$H,"2F",Adjustments!$I:$I,'Schedule 2F Adjustments'!$N$12,Adjustments!$J:$J,'Schedule 2F Adjustments'!$A24)</f>
        <v>0</v>
      </c>
      <c r="P24" s="310">
        <f t="shared" si="3"/>
        <v>0</v>
      </c>
      <c r="Q24" s="68">
        <f>IFERROR(N24*'As-Filed Schedule 1'!$E$103,0)</f>
        <v>0</v>
      </c>
      <c r="R24" s="68">
        <f>IFERROR(P24*'Adjusted Schedule 1'!$E$104,0)</f>
        <v>0</v>
      </c>
      <c r="S24" s="68">
        <f t="shared" si="4"/>
        <v>0</v>
      </c>
      <c r="T24" s="311">
        <f t="shared" si="5"/>
        <v>0</v>
      </c>
      <c r="V24" s="120">
        <f>'As-Filed Schedule 2F'!N24</f>
        <v>0</v>
      </c>
      <c r="W24" s="314">
        <f>SUMIFS(Adjustments!$G:$G,Adjustments!$H:$H,"2F",Adjustments!$I:$I,'Schedule 2F Adjustments'!$V$12,Adjustments!$J:$J,'Schedule 2F Adjustments'!$A24)</f>
        <v>0</v>
      </c>
      <c r="X24" s="310">
        <f t="shared" si="6"/>
        <v>0</v>
      </c>
      <c r="Y24" s="120">
        <f>'As-Filed Schedule 2F'!O24</f>
        <v>0</v>
      </c>
      <c r="Z24" s="314">
        <f>SUMIFS(Adjustments!$G:$G,Adjustments!$H:$H,"2F",Adjustments!$I:$I,'Schedule 2F Adjustments'!$Y$12,Adjustments!$J:$J,'Schedule 2F Adjustments'!$A24)</f>
        <v>0</v>
      </c>
      <c r="AA24" s="310">
        <f t="shared" si="7"/>
        <v>0</v>
      </c>
    </row>
    <row r="25" spans="1:27" x14ac:dyDescent="0.35">
      <c r="A25" s="24">
        <v>11</v>
      </c>
      <c r="B25" s="513" t="str">
        <f>IF('As-Filed Schedule 2F'!B25:D25=0,"",'As-Filed Schedule 2F'!B25:D25)</f>
        <v/>
      </c>
      <c r="C25" s="513"/>
      <c r="D25" s="513"/>
      <c r="F25" s="117">
        <f>'As-Filed Schedule 2F'!F25</f>
        <v>0</v>
      </c>
      <c r="G25" s="314">
        <f>SUMIFS(Adjustments!$G:$G,Adjustments!$H:$H,"2F",Adjustments!$I:$I,'Schedule 2F Adjustments'!$F$12,Adjustments!$J:$J,'Schedule 2F Adjustments'!$A25)</f>
        <v>0</v>
      </c>
      <c r="H25" s="310">
        <f t="shared" si="0"/>
        <v>0</v>
      </c>
      <c r="I25" s="68">
        <f>IFERROR(F25*'As-Filed Schedule 1'!$E$103,0)</f>
        <v>0</v>
      </c>
      <c r="J25" s="311">
        <f>IFERROR(H25*'Adjusted Schedule 1'!$E$104,0)</f>
        <v>0</v>
      </c>
      <c r="K25" s="68">
        <f t="shared" si="1"/>
        <v>0</v>
      </c>
      <c r="L25" s="311">
        <f t="shared" si="2"/>
        <v>0</v>
      </c>
      <c r="N25" s="117">
        <f>'As-Filed Schedule 2F'!J25</f>
        <v>0</v>
      </c>
      <c r="O25" s="314">
        <f>SUMIFS(Adjustments!$G:$G,Adjustments!$H:$H,"2F",Adjustments!$I:$I,'Schedule 2F Adjustments'!$N$12,Adjustments!$J:$J,'Schedule 2F Adjustments'!$A25)</f>
        <v>0</v>
      </c>
      <c r="P25" s="310">
        <f t="shared" si="3"/>
        <v>0</v>
      </c>
      <c r="Q25" s="68">
        <f>IFERROR(N25*'As-Filed Schedule 1'!$E$103,0)</f>
        <v>0</v>
      </c>
      <c r="R25" s="68">
        <f>IFERROR(P25*'Adjusted Schedule 1'!$E$104,0)</f>
        <v>0</v>
      </c>
      <c r="S25" s="68">
        <f t="shared" si="4"/>
        <v>0</v>
      </c>
      <c r="T25" s="311">
        <f t="shared" si="5"/>
        <v>0</v>
      </c>
      <c r="V25" s="120">
        <f>'As-Filed Schedule 2F'!N25</f>
        <v>0</v>
      </c>
      <c r="W25" s="314">
        <f>SUMIFS(Adjustments!$G:$G,Adjustments!$H:$H,"2F",Adjustments!$I:$I,'Schedule 2F Adjustments'!$V$12,Adjustments!$J:$J,'Schedule 2F Adjustments'!$A25)</f>
        <v>0</v>
      </c>
      <c r="X25" s="310">
        <f t="shared" si="6"/>
        <v>0</v>
      </c>
      <c r="Y25" s="120">
        <f>'As-Filed Schedule 2F'!O25</f>
        <v>0</v>
      </c>
      <c r="Z25" s="314">
        <f>SUMIFS(Adjustments!$G:$G,Adjustments!$H:$H,"2F",Adjustments!$I:$I,'Schedule 2F Adjustments'!$Y$12,Adjustments!$J:$J,'Schedule 2F Adjustments'!$A25)</f>
        <v>0</v>
      </c>
      <c r="AA25" s="310">
        <f t="shared" si="7"/>
        <v>0</v>
      </c>
    </row>
    <row r="26" spans="1:27" x14ac:dyDescent="0.35">
      <c r="A26" s="24">
        <v>12</v>
      </c>
      <c r="B26" s="513" t="str">
        <f>IF('As-Filed Schedule 2F'!B26:D26=0,"",'As-Filed Schedule 2F'!B26:D26)</f>
        <v/>
      </c>
      <c r="C26" s="513"/>
      <c r="D26" s="513"/>
      <c r="F26" s="117">
        <f>'As-Filed Schedule 2F'!F26</f>
        <v>0</v>
      </c>
      <c r="G26" s="314">
        <f>SUMIFS(Adjustments!$G:$G,Adjustments!$H:$H,"2F",Adjustments!$I:$I,'Schedule 2F Adjustments'!$F$12,Adjustments!$J:$J,'Schedule 2F Adjustments'!$A26)</f>
        <v>0</v>
      </c>
      <c r="H26" s="310">
        <f t="shared" si="0"/>
        <v>0</v>
      </c>
      <c r="I26" s="68">
        <f>IFERROR(F26*'As-Filed Schedule 1'!$E$103,0)</f>
        <v>0</v>
      </c>
      <c r="J26" s="311">
        <f>IFERROR(H26*'Adjusted Schedule 1'!$E$104,0)</f>
        <v>0</v>
      </c>
      <c r="K26" s="68">
        <f t="shared" si="1"/>
        <v>0</v>
      </c>
      <c r="L26" s="311">
        <f t="shared" si="2"/>
        <v>0</v>
      </c>
      <c r="N26" s="117">
        <f>'As-Filed Schedule 2F'!J26</f>
        <v>0</v>
      </c>
      <c r="O26" s="314">
        <f>SUMIFS(Adjustments!$G:$G,Adjustments!$H:$H,"2F",Adjustments!$I:$I,'Schedule 2F Adjustments'!$N$12,Adjustments!$J:$J,'Schedule 2F Adjustments'!$A26)</f>
        <v>0</v>
      </c>
      <c r="P26" s="310">
        <f t="shared" si="3"/>
        <v>0</v>
      </c>
      <c r="Q26" s="68">
        <f>IFERROR(N26*'As-Filed Schedule 1'!$E$103,0)</f>
        <v>0</v>
      </c>
      <c r="R26" s="68">
        <f>IFERROR(P26*'Adjusted Schedule 1'!$E$104,0)</f>
        <v>0</v>
      </c>
      <c r="S26" s="68">
        <f t="shared" si="4"/>
        <v>0</v>
      </c>
      <c r="T26" s="311">
        <f t="shared" si="5"/>
        <v>0</v>
      </c>
      <c r="V26" s="120">
        <f>'As-Filed Schedule 2F'!N26</f>
        <v>0</v>
      </c>
      <c r="W26" s="314">
        <f>SUMIFS(Adjustments!$G:$G,Adjustments!$H:$H,"2F",Adjustments!$I:$I,'Schedule 2F Adjustments'!$V$12,Adjustments!$J:$J,'Schedule 2F Adjustments'!$A26)</f>
        <v>0</v>
      </c>
      <c r="X26" s="310">
        <f t="shared" si="6"/>
        <v>0</v>
      </c>
      <c r="Y26" s="120">
        <f>'As-Filed Schedule 2F'!O26</f>
        <v>0</v>
      </c>
      <c r="Z26" s="314">
        <f>SUMIFS(Adjustments!$G:$G,Adjustments!$H:$H,"2F",Adjustments!$I:$I,'Schedule 2F Adjustments'!$Y$12,Adjustments!$J:$J,'Schedule 2F Adjustments'!$A26)</f>
        <v>0</v>
      </c>
      <c r="AA26" s="310">
        <f t="shared" si="7"/>
        <v>0</v>
      </c>
    </row>
    <row r="27" spans="1:27" x14ac:dyDescent="0.35">
      <c r="A27" s="24">
        <v>13</v>
      </c>
      <c r="B27" s="513" t="str">
        <f>IF('As-Filed Schedule 2F'!B27:D27=0,"",'As-Filed Schedule 2F'!B27:D27)</f>
        <v/>
      </c>
      <c r="C27" s="513"/>
      <c r="D27" s="513"/>
      <c r="F27" s="117">
        <f>'As-Filed Schedule 2F'!F27</f>
        <v>0</v>
      </c>
      <c r="G27" s="314">
        <f>SUMIFS(Adjustments!$G:$G,Adjustments!$H:$H,"2F",Adjustments!$I:$I,'Schedule 2F Adjustments'!$F$12,Adjustments!$J:$J,'Schedule 2F Adjustments'!$A27)</f>
        <v>0</v>
      </c>
      <c r="H27" s="310">
        <f t="shared" si="0"/>
        <v>0</v>
      </c>
      <c r="I27" s="68">
        <f>IFERROR(F27*'As-Filed Schedule 1'!$E$103,0)</f>
        <v>0</v>
      </c>
      <c r="J27" s="311">
        <f>IFERROR(H27*'Adjusted Schedule 1'!$E$104,0)</f>
        <v>0</v>
      </c>
      <c r="K27" s="68">
        <f t="shared" si="1"/>
        <v>0</v>
      </c>
      <c r="L27" s="311">
        <f t="shared" si="2"/>
        <v>0</v>
      </c>
      <c r="N27" s="117">
        <f>'As-Filed Schedule 2F'!J27</f>
        <v>0</v>
      </c>
      <c r="O27" s="314">
        <f>SUMIFS(Adjustments!$G:$G,Adjustments!$H:$H,"2F",Adjustments!$I:$I,'Schedule 2F Adjustments'!$N$12,Adjustments!$J:$J,'Schedule 2F Adjustments'!$A27)</f>
        <v>0</v>
      </c>
      <c r="P27" s="310">
        <f t="shared" si="3"/>
        <v>0</v>
      </c>
      <c r="Q27" s="68">
        <f>IFERROR(N27*'As-Filed Schedule 1'!$E$103,0)</f>
        <v>0</v>
      </c>
      <c r="R27" s="68">
        <f>IFERROR(P27*'Adjusted Schedule 1'!$E$104,0)</f>
        <v>0</v>
      </c>
      <c r="S27" s="68">
        <f t="shared" si="4"/>
        <v>0</v>
      </c>
      <c r="T27" s="311">
        <f t="shared" si="5"/>
        <v>0</v>
      </c>
      <c r="V27" s="120">
        <f>'As-Filed Schedule 2F'!N27</f>
        <v>0</v>
      </c>
      <c r="W27" s="314">
        <f>SUMIFS(Adjustments!$G:$G,Adjustments!$H:$H,"2F",Adjustments!$I:$I,'Schedule 2F Adjustments'!$V$12,Adjustments!$J:$J,'Schedule 2F Adjustments'!$A27)</f>
        <v>0</v>
      </c>
      <c r="X27" s="310">
        <f t="shared" si="6"/>
        <v>0</v>
      </c>
      <c r="Y27" s="120">
        <f>'As-Filed Schedule 2F'!O27</f>
        <v>0</v>
      </c>
      <c r="Z27" s="314">
        <f>SUMIFS(Adjustments!$G:$G,Adjustments!$H:$H,"2F",Adjustments!$I:$I,'Schedule 2F Adjustments'!$Y$12,Adjustments!$J:$J,'Schedule 2F Adjustments'!$A27)</f>
        <v>0</v>
      </c>
      <c r="AA27" s="310">
        <f t="shared" si="7"/>
        <v>0</v>
      </c>
    </row>
    <row r="28" spans="1:27" x14ac:dyDescent="0.35">
      <c r="A28" s="24">
        <v>14</v>
      </c>
      <c r="B28" s="513" t="str">
        <f>IF('As-Filed Schedule 2F'!B28:D28=0,"",'As-Filed Schedule 2F'!B28:D28)</f>
        <v/>
      </c>
      <c r="C28" s="513"/>
      <c r="D28" s="513"/>
      <c r="F28" s="117">
        <f>'As-Filed Schedule 2F'!F28</f>
        <v>0</v>
      </c>
      <c r="G28" s="314">
        <f>SUMIFS(Adjustments!$G:$G,Adjustments!$H:$H,"2F",Adjustments!$I:$I,'Schedule 2F Adjustments'!$F$12,Adjustments!$J:$J,'Schedule 2F Adjustments'!$A28)</f>
        <v>0</v>
      </c>
      <c r="H28" s="310">
        <f t="shared" si="0"/>
        <v>0</v>
      </c>
      <c r="I28" s="68">
        <f>IFERROR(F28*'As-Filed Schedule 1'!$E$103,0)</f>
        <v>0</v>
      </c>
      <c r="J28" s="311">
        <f>IFERROR(H28*'Adjusted Schedule 1'!$E$104,0)</f>
        <v>0</v>
      </c>
      <c r="K28" s="68">
        <f t="shared" si="1"/>
        <v>0</v>
      </c>
      <c r="L28" s="311">
        <f t="shared" si="2"/>
        <v>0</v>
      </c>
      <c r="N28" s="117">
        <f>'As-Filed Schedule 2F'!J28</f>
        <v>0</v>
      </c>
      <c r="O28" s="314">
        <f>SUMIFS(Adjustments!$G:$G,Adjustments!$H:$H,"2F",Adjustments!$I:$I,'Schedule 2F Adjustments'!$N$12,Adjustments!$J:$J,'Schedule 2F Adjustments'!$A28)</f>
        <v>0</v>
      </c>
      <c r="P28" s="310">
        <f t="shared" si="3"/>
        <v>0</v>
      </c>
      <c r="Q28" s="68">
        <f>IFERROR(N28*'As-Filed Schedule 1'!$E$103,0)</f>
        <v>0</v>
      </c>
      <c r="R28" s="68">
        <f>IFERROR(P28*'Adjusted Schedule 1'!$E$104,0)</f>
        <v>0</v>
      </c>
      <c r="S28" s="68">
        <f t="shared" si="4"/>
        <v>0</v>
      </c>
      <c r="T28" s="311">
        <f t="shared" si="5"/>
        <v>0</v>
      </c>
      <c r="V28" s="120">
        <f>'As-Filed Schedule 2F'!N28</f>
        <v>0</v>
      </c>
      <c r="W28" s="314">
        <f>SUMIFS(Adjustments!$G:$G,Adjustments!$H:$H,"2F",Adjustments!$I:$I,'Schedule 2F Adjustments'!$V$12,Adjustments!$J:$J,'Schedule 2F Adjustments'!$A28)</f>
        <v>0</v>
      </c>
      <c r="X28" s="310">
        <f t="shared" si="6"/>
        <v>0</v>
      </c>
      <c r="Y28" s="120">
        <f>'As-Filed Schedule 2F'!O28</f>
        <v>0</v>
      </c>
      <c r="Z28" s="314">
        <f>SUMIFS(Adjustments!$G:$G,Adjustments!$H:$H,"2F",Adjustments!$I:$I,'Schedule 2F Adjustments'!$Y$12,Adjustments!$J:$J,'Schedule 2F Adjustments'!$A28)</f>
        <v>0</v>
      </c>
      <c r="AA28" s="310">
        <f t="shared" si="7"/>
        <v>0</v>
      </c>
    </row>
    <row r="29" spans="1:27" x14ac:dyDescent="0.35">
      <c r="A29" s="24">
        <v>15</v>
      </c>
      <c r="B29" s="513" t="str">
        <f>IF('As-Filed Schedule 2F'!B29:D29=0,"",'As-Filed Schedule 2F'!B29:D29)</f>
        <v/>
      </c>
      <c r="C29" s="513"/>
      <c r="D29" s="513"/>
      <c r="F29" s="117">
        <f>'As-Filed Schedule 2F'!F29</f>
        <v>0</v>
      </c>
      <c r="G29" s="314">
        <f>SUMIFS(Adjustments!$G:$G,Adjustments!$H:$H,"2F",Adjustments!$I:$I,'Schedule 2F Adjustments'!$F$12,Adjustments!$J:$J,'Schedule 2F Adjustments'!$A29)</f>
        <v>0</v>
      </c>
      <c r="H29" s="310">
        <f t="shared" si="0"/>
        <v>0</v>
      </c>
      <c r="I29" s="68">
        <f>IFERROR(F29*'As-Filed Schedule 1'!$E$103,0)</f>
        <v>0</v>
      </c>
      <c r="J29" s="311">
        <f>IFERROR(H29*'Adjusted Schedule 1'!$E$104,0)</f>
        <v>0</v>
      </c>
      <c r="K29" s="68">
        <f t="shared" si="1"/>
        <v>0</v>
      </c>
      <c r="L29" s="311">
        <f t="shared" si="2"/>
        <v>0</v>
      </c>
      <c r="N29" s="117">
        <f>'As-Filed Schedule 2F'!J29</f>
        <v>0</v>
      </c>
      <c r="O29" s="314">
        <f>SUMIFS(Adjustments!$G:$G,Adjustments!$H:$H,"2F",Adjustments!$I:$I,'Schedule 2F Adjustments'!$N$12,Adjustments!$J:$J,'Schedule 2F Adjustments'!$A29)</f>
        <v>0</v>
      </c>
      <c r="P29" s="310">
        <f t="shared" si="3"/>
        <v>0</v>
      </c>
      <c r="Q29" s="68">
        <f>IFERROR(N29*'As-Filed Schedule 1'!$E$103,0)</f>
        <v>0</v>
      </c>
      <c r="R29" s="68">
        <f>IFERROR(P29*'Adjusted Schedule 1'!$E$104,0)</f>
        <v>0</v>
      </c>
      <c r="S29" s="68">
        <f t="shared" si="4"/>
        <v>0</v>
      </c>
      <c r="T29" s="311">
        <f t="shared" si="5"/>
        <v>0</v>
      </c>
      <c r="V29" s="120">
        <f>'As-Filed Schedule 2F'!N29</f>
        <v>0</v>
      </c>
      <c r="W29" s="314">
        <f>SUMIFS(Adjustments!$G:$G,Adjustments!$H:$H,"2F",Adjustments!$I:$I,'Schedule 2F Adjustments'!$V$12,Adjustments!$J:$J,'Schedule 2F Adjustments'!$A29)</f>
        <v>0</v>
      </c>
      <c r="X29" s="310">
        <f t="shared" si="6"/>
        <v>0</v>
      </c>
      <c r="Y29" s="120">
        <f>'As-Filed Schedule 2F'!O29</f>
        <v>0</v>
      </c>
      <c r="Z29" s="314">
        <f>SUMIFS(Adjustments!$G:$G,Adjustments!$H:$H,"2F",Adjustments!$I:$I,'Schedule 2F Adjustments'!$Y$12,Adjustments!$J:$J,'Schedule 2F Adjustments'!$A29)</f>
        <v>0</v>
      </c>
      <c r="AA29" s="310">
        <f t="shared" si="7"/>
        <v>0</v>
      </c>
    </row>
    <row r="30" spans="1:27" x14ac:dyDescent="0.35">
      <c r="A30" s="24">
        <v>16</v>
      </c>
      <c r="B30" s="513" t="str">
        <f>IF('As-Filed Schedule 2F'!B30:D30=0,"",'As-Filed Schedule 2F'!B30:D30)</f>
        <v/>
      </c>
      <c r="C30" s="513"/>
      <c r="D30" s="513"/>
      <c r="F30" s="117">
        <f>'As-Filed Schedule 2F'!F30</f>
        <v>0</v>
      </c>
      <c r="G30" s="314">
        <f>SUMIFS(Adjustments!$G:$G,Adjustments!$H:$H,"2F",Adjustments!$I:$I,'Schedule 2F Adjustments'!$F$12,Adjustments!$J:$J,'Schedule 2F Adjustments'!$A30)</f>
        <v>0</v>
      </c>
      <c r="H30" s="310">
        <f t="shared" si="0"/>
        <v>0</v>
      </c>
      <c r="I30" s="68">
        <f>IFERROR(F30*'As-Filed Schedule 1'!$E$103,0)</f>
        <v>0</v>
      </c>
      <c r="J30" s="311">
        <f>IFERROR(H30*'Adjusted Schedule 1'!$E$104,0)</f>
        <v>0</v>
      </c>
      <c r="K30" s="68">
        <f t="shared" si="1"/>
        <v>0</v>
      </c>
      <c r="L30" s="311">
        <f t="shared" si="2"/>
        <v>0</v>
      </c>
      <c r="N30" s="117">
        <f>'As-Filed Schedule 2F'!J30</f>
        <v>0</v>
      </c>
      <c r="O30" s="314">
        <f>SUMIFS(Adjustments!$G:$G,Adjustments!$H:$H,"2F",Adjustments!$I:$I,'Schedule 2F Adjustments'!$N$12,Adjustments!$J:$J,'Schedule 2F Adjustments'!$A30)</f>
        <v>0</v>
      </c>
      <c r="P30" s="310">
        <f t="shared" si="3"/>
        <v>0</v>
      </c>
      <c r="Q30" s="68">
        <f>IFERROR(N30*'As-Filed Schedule 1'!$E$103,0)</f>
        <v>0</v>
      </c>
      <c r="R30" s="68">
        <f>IFERROR(P30*'Adjusted Schedule 1'!$E$104,0)</f>
        <v>0</v>
      </c>
      <c r="S30" s="68">
        <f t="shared" si="4"/>
        <v>0</v>
      </c>
      <c r="T30" s="311">
        <f t="shared" si="5"/>
        <v>0</v>
      </c>
      <c r="V30" s="120">
        <f>'As-Filed Schedule 2F'!N30</f>
        <v>0</v>
      </c>
      <c r="W30" s="314">
        <f>SUMIFS(Adjustments!$G:$G,Adjustments!$H:$H,"2F",Adjustments!$I:$I,'Schedule 2F Adjustments'!$V$12,Adjustments!$J:$J,'Schedule 2F Adjustments'!$A30)</f>
        <v>0</v>
      </c>
      <c r="X30" s="310">
        <f t="shared" si="6"/>
        <v>0</v>
      </c>
      <c r="Y30" s="120">
        <f>'As-Filed Schedule 2F'!O30</f>
        <v>0</v>
      </c>
      <c r="Z30" s="314">
        <f>SUMIFS(Adjustments!$G:$G,Adjustments!$H:$H,"2F",Adjustments!$I:$I,'Schedule 2F Adjustments'!$Y$12,Adjustments!$J:$J,'Schedule 2F Adjustments'!$A30)</f>
        <v>0</v>
      </c>
      <c r="AA30" s="310">
        <f t="shared" si="7"/>
        <v>0</v>
      </c>
    </row>
    <row r="31" spans="1:27" x14ac:dyDescent="0.35">
      <c r="A31" s="24">
        <v>17</v>
      </c>
      <c r="B31" s="513" t="str">
        <f>IF('As-Filed Schedule 2F'!B31:D31=0,"",'As-Filed Schedule 2F'!B31:D31)</f>
        <v/>
      </c>
      <c r="C31" s="513"/>
      <c r="D31" s="513"/>
      <c r="F31" s="117">
        <f>'As-Filed Schedule 2F'!F31</f>
        <v>0</v>
      </c>
      <c r="G31" s="314">
        <f>SUMIFS(Adjustments!$G:$G,Adjustments!$H:$H,"2F",Adjustments!$I:$I,'Schedule 2F Adjustments'!$F$12,Adjustments!$J:$J,'Schedule 2F Adjustments'!$A31)</f>
        <v>0</v>
      </c>
      <c r="H31" s="310">
        <f t="shared" si="0"/>
        <v>0</v>
      </c>
      <c r="I31" s="68">
        <f>IFERROR(F31*'As-Filed Schedule 1'!$E$103,0)</f>
        <v>0</v>
      </c>
      <c r="J31" s="311">
        <f>IFERROR(H31*'Adjusted Schedule 1'!$E$104,0)</f>
        <v>0</v>
      </c>
      <c r="K31" s="68">
        <f t="shared" si="1"/>
        <v>0</v>
      </c>
      <c r="L31" s="311">
        <f t="shared" si="2"/>
        <v>0</v>
      </c>
      <c r="N31" s="117">
        <f>'As-Filed Schedule 2F'!J31</f>
        <v>0</v>
      </c>
      <c r="O31" s="314">
        <f>SUMIFS(Adjustments!$G:$G,Adjustments!$H:$H,"2F",Adjustments!$I:$I,'Schedule 2F Adjustments'!$N$12,Adjustments!$J:$J,'Schedule 2F Adjustments'!$A31)</f>
        <v>0</v>
      </c>
      <c r="P31" s="310">
        <f t="shared" si="3"/>
        <v>0</v>
      </c>
      <c r="Q31" s="68">
        <f>IFERROR(N31*'As-Filed Schedule 1'!$E$103,0)</f>
        <v>0</v>
      </c>
      <c r="R31" s="68">
        <f>IFERROR(P31*'Adjusted Schedule 1'!$E$104,0)</f>
        <v>0</v>
      </c>
      <c r="S31" s="68">
        <f t="shared" si="4"/>
        <v>0</v>
      </c>
      <c r="T31" s="311">
        <f t="shared" si="5"/>
        <v>0</v>
      </c>
      <c r="V31" s="120">
        <f>'As-Filed Schedule 2F'!N31</f>
        <v>0</v>
      </c>
      <c r="W31" s="314">
        <f>SUMIFS(Adjustments!$G:$G,Adjustments!$H:$H,"2F",Adjustments!$I:$I,'Schedule 2F Adjustments'!$V$12,Adjustments!$J:$J,'Schedule 2F Adjustments'!$A31)</f>
        <v>0</v>
      </c>
      <c r="X31" s="310">
        <f t="shared" si="6"/>
        <v>0</v>
      </c>
      <c r="Y31" s="120">
        <f>'As-Filed Schedule 2F'!O31</f>
        <v>0</v>
      </c>
      <c r="Z31" s="314">
        <f>SUMIFS(Adjustments!$G:$G,Adjustments!$H:$H,"2F",Adjustments!$I:$I,'Schedule 2F Adjustments'!$Y$12,Adjustments!$J:$J,'Schedule 2F Adjustments'!$A31)</f>
        <v>0</v>
      </c>
      <c r="AA31" s="310">
        <f t="shared" si="7"/>
        <v>0</v>
      </c>
    </row>
    <row r="32" spans="1:27" x14ac:dyDescent="0.35">
      <c r="A32" s="24">
        <v>18</v>
      </c>
      <c r="B32" s="513" t="str">
        <f>IF('As-Filed Schedule 2F'!B32:D32=0,"",'As-Filed Schedule 2F'!B32:D32)</f>
        <v/>
      </c>
      <c r="C32" s="513"/>
      <c r="D32" s="513"/>
      <c r="F32" s="117">
        <f>'As-Filed Schedule 2F'!F32</f>
        <v>0</v>
      </c>
      <c r="G32" s="314">
        <f>SUMIFS(Adjustments!$G:$G,Adjustments!$H:$H,"2F",Adjustments!$I:$I,'Schedule 2F Adjustments'!$F$12,Adjustments!$J:$J,'Schedule 2F Adjustments'!$A32)</f>
        <v>0</v>
      </c>
      <c r="H32" s="310">
        <f t="shared" si="0"/>
        <v>0</v>
      </c>
      <c r="I32" s="68">
        <f>IFERROR(F32*'As-Filed Schedule 1'!$E$103,0)</f>
        <v>0</v>
      </c>
      <c r="J32" s="311">
        <f>IFERROR(H32*'Adjusted Schedule 1'!$E$104,0)</f>
        <v>0</v>
      </c>
      <c r="K32" s="68">
        <f t="shared" si="1"/>
        <v>0</v>
      </c>
      <c r="L32" s="311">
        <f t="shared" si="2"/>
        <v>0</v>
      </c>
      <c r="N32" s="117">
        <f>'As-Filed Schedule 2F'!J32</f>
        <v>0</v>
      </c>
      <c r="O32" s="314">
        <f>SUMIFS(Adjustments!$G:$G,Adjustments!$H:$H,"2F",Adjustments!$I:$I,'Schedule 2F Adjustments'!$N$12,Adjustments!$J:$J,'Schedule 2F Adjustments'!$A32)</f>
        <v>0</v>
      </c>
      <c r="P32" s="310">
        <f t="shared" si="3"/>
        <v>0</v>
      </c>
      <c r="Q32" s="68">
        <f>IFERROR(N32*'As-Filed Schedule 1'!$E$103,0)</f>
        <v>0</v>
      </c>
      <c r="R32" s="68">
        <f>IFERROR(P32*'Adjusted Schedule 1'!$E$104,0)</f>
        <v>0</v>
      </c>
      <c r="S32" s="68">
        <f t="shared" si="4"/>
        <v>0</v>
      </c>
      <c r="T32" s="311">
        <f t="shared" si="5"/>
        <v>0</v>
      </c>
      <c r="V32" s="120">
        <f>'As-Filed Schedule 2F'!N32</f>
        <v>0</v>
      </c>
      <c r="W32" s="314">
        <f>SUMIFS(Adjustments!$G:$G,Adjustments!$H:$H,"2F",Adjustments!$I:$I,'Schedule 2F Adjustments'!$V$12,Adjustments!$J:$J,'Schedule 2F Adjustments'!$A32)</f>
        <v>0</v>
      </c>
      <c r="X32" s="310">
        <f t="shared" si="6"/>
        <v>0</v>
      </c>
      <c r="Y32" s="120">
        <f>'As-Filed Schedule 2F'!O32</f>
        <v>0</v>
      </c>
      <c r="Z32" s="314">
        <f>SUMIFS(Adjustments!$G:$G,Adjustments!$H:$H,"2F",Adjustments!$I:$I,'Schedule 2F Adjustments'!$Y$12,Adjustments!$J:$J,'Schedule 2F Adjustments'!$A32)</f>
        <v>0</v>
      </c>
      <c r="AA32" s="310">
        <f t="shared" si="7"/>
        <v>0</v>
      </c>
    </row>
    <row r="33" spans="1:27" x14ac:dyDescent="0.35">
      <c r="A33" s="24">
        <v>19</v>
      </c>
      <c r="B33" s="513" t="str">
        <f>IF('As-Filed Schedule 2F'!B33:D33=0,"",'As-Filed Schedule 2F'!B33:D33)</f>
        <v/>
      </c>
      <c r="C33" s="513"/>
      <c r="D33" s="513"/>
      <c r="F33" s="117">
        <f>'As-Filed Schedule 2F'!F33</f>
        <v>0</v>
      </c>
      <c r="G33" s="314">
        <f>SUMIFS(Adjustments!$G:$G,Adjustments!$H:$H,"2F",Adjustments!$I:$I,'Schedule 2F Adjustments'!$F$12,Adjustments!$J:$J,'Schedule 2F Adjustments'!$A33)</f>
        <v>0</v>
      </c>
      <c r="H33" s="310">
        <f t="shared" si="0"/>
        <v>0</v>
      </c>
      <c r="I33" s="68">
        <f>IFERROR(F33*'As-Filed Schedule 1'!$E$103,0)</f>
        <v>0</v>
      </c>
      <c r="J33" s="311">
        <f>IFERROR(H33*'Adjusted Schedule 1'!$E$104,0)</f>
        <v>0</v>
      </c>
      <c r="K33" s="68">
        <f t="shared" si="1"/>
        <v>0</v>
      </c>
      <c r="L33" s="311">
        <f t="shared" si="2"/>
        <v>0</v>
      </c>
      <c r="N33" s="117">
        <f>'As-Filed Schedule 2F'!J33</f>
        <v>0</v>
      </c>
      <c r="O33" s="314">
        <f>SUMIFS(Adjustments!$G:$G,Adjustments!$H:$H,"2F",Adjustments!$I:$I,'Schedule 2F Adjustments'!$N$12,Adjustments!$J:$J,'Schedule 2F Adjustments'!$A33)</f>
        <v>0</v>
      </c>
      <c r="P33" s="310">
        <f t="shared" si="3"/>
        <v>0</v>
      </c>
      <c r="Q33" s="68">
        <f>IFERROR(N33*'As-Filed Schedule 1'!$E$103,0)</f>
        <v>0</v>
      </c>
      <c r="R33" s="68">
        <f>IFERROR(P33*'Adjusted Schedule 1'!$E$104,0)</f>
        <v>0</v>
      </c>
      <c r="S33" s="68">
        <f t="shared" si="4"/>
        <v>0</v>
      </c>
      <c r="T33" s="311">
        <f t="shared" si="5"/>
        <v>0</v>
      </c>
      <c r="V33" s="120">
        <f>'As-Filed Schedule 2F'!N33</f>
        <v>0</v>
      </c>
      <c r="W33" s="314">
        <f>SUMIFS(Adjustments!$G:$G,Adjustments!$H:$H,"2F",Adjustments!$I:$I,'Schedule 2F Adjustments'!$V$12,Adjustments!$J:$J,'Schedule 2F Adjustments'!$A33)</f>
        <v>0</v>
      </c>
      <c r="X33" s="310">
        <f t="shared" si="6"/>
        <v>0</v>
      </c>
      <c r="Y33" s="120">
        <f>'As-Filed Schedule 2F'!O33</f>
        <v>0</v>
      </c>
      <c r="Z33" s="314">
        <f>SUMIFS(Adjustments!$G:$G,Adjustments!$H:$H,"2F",Adjustments!$I:$I,'Schedule 2F Adjustments'!$Y$12,Adjustments!$J:$J,'Schedule 2F Adjustments'!$A33)</f>
        <v>0</v>
      </c>
      <c r="AA33" s="310">
        <f t="shared" si="7"/>
        <v>0</v>
      </c>
    </row>
    <row r="34" spans="1:27" x14ac:dyDescent="0.35">
      <c r="A34" s="24">
        <v>20</v>
      </c>
      <c r="B34" s="513" t="str">
        <f>IF('As-Filed Schedule 2F'!B34:D34=0,"",'As-Filed Schedule 2F'!B34:D34)</f>
        <v/>
      </c>
      <c r="C34" s="513"/>
      <c r="D34" s="513"/>
      <c r="F34" s="117">
        <f>'As-Filed Schedule 2F'!F34</f>
        <v>0</v>
      </c>
      <c r="G34" s="314">
        <f>SUMIFS(Adjustments!$G:$G,Adjustments!$H:$H,"2F",Adjustments!$I:$I,'Schedule 2F Adjustments'!$F$12,Adjustments!$J:$J,'Schedule 2F Adjustments'!$A34)</f>
        <v>0</v>
      </c>
      <c r="H34" s="310">
        <f t="shared" si="0"/>
        <v>0</v>
      </c>
      <c r="I34" s="68">
        <f>IFERROR(F34*'As-Filed Schedule 1'!$E$103,0)</f>
        <v>0</v>
      </c>
      <c r="J34" s="311">
        <f>IFERROR(H34*'Adjusted Schedule 1'!$E$104,0)</f>
        <v>0</v>
      </c>
      <c r="K34" s="68">
        <f t="shared" si="1"/>
        <v>0</v>
      </c>
      <c r="L34" s="311">
        <f t="shared" si="2"/>
        <v>0</v>
      </c>
      <c r="N34" s="117">
        <f>'As-Filed Schedule 2F'!J34</f>
        <v>0</v>
      </c>
      <c r="O34" s="314">
        <f>SUMIFS(Adjustments!$G:$G,Adjustments!$H:$H,"2F",Adjustments!$I:$I,'Schedule 2F Adjustments'!$N$12,Adjustments!$J:$J,'Schedule 2F Adjustments'!$A34)</f>
        <v>0</v>
      </c>
      <c r="P34" s="310">
        <f t="shared" si="3"/>
        <v>0</v>
      </c>
      <c r="Q34" s="68">
        <f>IFERROR(N34*'As-Filed Schedule 1'!$E$103,0)</f>
        <v>0</v>
      </c>
      <c r="R34" s="68">
        <f>IFERROR(P34*'Adjusted Schedule 1'!$E$104,0)</f>
        <v>0</v>
      </c>
      <c r="S34" s="68">
        <f t="shared" si="4"/>
        <v>0</v>
      </c>
      <c r="T34" s="311">
        <f t="shared" si="5"/>
        <v>0</v>
      </c>
      <c r="V34" s="120">
        <f>'As-Filed Schedule 2F'!N34</f>
        <v>0</v>
      </c>
      <c r="W34" s="314">
        <f>SUMIFS(Adjustments!$G:$G,Adjustments!$H:$H,"2F",Adjustments!$I:$I,'Schedule 2F Adjustments'!$V$12,Adjustments!$J:$J,'Schedule 2F Adjustments'!$A34)</f>
        <v>0</v>
      </c>
      <c r="X34" s="310">
        <f t="shared" si="6"/>
        <v>0</v>
      </c>
      <c r="Y34" s="120">
        <f>'As-Filed Schedule 2F'!O34</f>
        <v>0</v>
      </c>
      <c r="Z34" s="314">
        <f>SUMIFS(Adjustments!$G:$G,Adjustments!$H:$H,"2F",Adjustments!$I:$I,'Schedule 2F Adjustments'!$Y$12,Adjustments!$J:$J,'Schedule 2F Adjustments'!$A34)</f>
        <v>0</v>
      </c>
      <c r="AA34" s="310">
        <f t="shared" si="7"/>
        <v>0</v>
      </c>
    </row>
    <row r="35" spans="1:27" x14ac:dyDescent="0.35">
      <c r="A35" s="24">
        <v>21</v>
      </c>
      <c r="B35" s="513" t="str">
        <f>IF('As-Filed Schedule 2F'!B35:D35=0,"",'As-Filed Schedule 2F'!B35:D35)</f>
        <v/>
      </c>
      <c r="C35" s="513"/>
      <c r="D35" s="513"/>
      <c r="F35" s="117">
        <f>'As-Filed Schedule 2F'!F35</f>
        <v>0</v>
      </c>
      <c r="G35" s="314">
        <f>SUMIFS(Adjustments!$G:$G,Adjustments!$H:$H,"2F",Adjustments!$I:$I,'Schedule 2F Adjustments'!$F$12,Adjustments!$J:$J,'Schedule 2F Adjustments'!$A35)</f>
        <v>0</v>
      </c>
      <c r="H35" s="310">
        <f t="shared" si="0"/>
        <v>0</v>
      </c>
      <c r="I35" s="68">
        <f>IFERROR(F35*'As-Filed Schedule 1'!$E$103,0)</f>
        <v>0</v>
      </c>
      <c r="J35" s="311">
        <f>IFERROR(H35*'Adjusted Schedule 1'!$E$104,0)</f>
        <v>0</v>
      </c>
      <c r="K35" s="68">
        <f t="shared" si="1"/>
        <v>0</v>
      </c>
      <c r="L35" s="311">
        <f t="shared" si="2"/>
        <v>0</v>
      </c>
      <c r="N35" s="117">
        <f>'As-Filed Schedule 2F'!J35</f>
        <v>0</v>
      </c>
      <c r="O35" s="314">
        <f>SUMIFS(Adjustments!$G:$G,Adjustments!$H:$H,"2F",Adjustments!$I:$I,'Schedule 2F Adjustments'!$N$12,Adjustments!$J:$J,'Schedule 2F Adjustments'!$A35)</f>
        <v>0</v>
      </c>
      <c r="P35" s="310">
        <f t="shared" si="3"/>
        <v>0</v>
      </c>
      <c r="Q35" s="68">
        <f>IFERROR(N35*'As-Filed Schedule 1'!$E$103,0)</f>
        <v>0</v>
      </c>
      <c r="R35" s="68">
        <f>IFERROR(P35*'Adjusted Schedule 1'!$E$104,0)</f>
        <v>0</v>
      </c>
      <c r="S35" s="68">
        <f t="shared" si="4"/>
        <v>0</v>
      </c>
      <c r="T35" s="311">
        <f t="shared" si="5"/>
        <v>0</v>
      </c>
      <c r="V35" s="120">
        <f>'As-Filed Schedule 2F'!N35</f>
        <v>0</v>
      </c>
      <c r="W35" s="314">
        <f>SUMIFS(Adjustments!$G:$G,Adjustments!$H:$H,"2F",Adjustments!$I:$I,'Schedule 2F Adjustments'!$V$12,Adjustments!$J:$J,'Schedule 2F Adjustments'!$A35)</f>
        <v>0</v>
      </c>
      <c r="X35" s="310">
        <f t="shared" si="6"/>
        <v>0</v>
      </c>
      <c r="Y35" s="120">
        <f>'As-Filed Schedule 2F'!O35</f>
        <v>0</v>
      </c>
      <c r="Z35" s="314">
        <f>SUMIFS(Adjustments!$G:$G,Adjustments!$H:$H,"2F",Adjustments!$I:$I,'Schedule 2F Adjustments'!$Y$12,Adjustments!$J:$J,'Schedule 2F Adjustments'!$A35)</f>
        <v>0</v>
      </c>
      <c r="AA35" s="310">
        <f t="shared" si="7"/>
        <v>0</v>
      </c>
    </row>
    <row r="36" spans="1:27" x14ac:dyDescent="0.35">
      <c r="A36" s="24">
        <v>22</v>
      </c>
      <c r="B36" s="513" t="str">
        <f>IF('As-Filed Schedule 2F'!B36:D36=0,"",'As-Filed Schedule 2F'!B36:D36)</f>
        <v/>
      </c>
      <c r="C36" s="513"/>
      <c r="D36" s="513"/>
      <c r="F36" s="117">
        <f>'As-Filed Schedule 2F'!F36</f>
        <v>0</v>
      </c>
      <c r="G36" s="314">
        <f>SUMIFS(Adjustments!$G:$G,Adjustments!$H:$H,"2F",Adjustments!$I:$I,'Schedule 2F Adjustments'!$F$12,Adjustments!$J:$J,'Schedule 2F Adjustments'!$A36)</f>
        <v>0</v>
      </c>
      <c r="H36" s="310">
        <f t="shared" si="0"/>
        <v>0</v>
      </c>
      <c r="I36" s="68">
        <f>IFERROR(F36*'As-Filed Schedule 1'!$E$103,0)</f>
        <v>0</v>
      </c>
      <c r="J36" s="311">
        <f>IFERROR(H36*'Adjusted Schedule 1'!$E$104,0)</f>
        <v>0</v>
      </c>
      <c r="K36" s="68">
        <f t="shared" si="1"/>
        <v>0</v>
      </c>
      <c r="L36" s="311">
        <f t="shared" si="2"/>
        <v>0</v>
      </c>
      <c r="N36" s="117">
        <f>'As-Filed Schedule 2F'!J36</f>
        <v>0</v>
      </c>
      <c r="O36" s="314">
        <f>SUMIFS(Adjustments!$G:$G,Adjustments!$H:$H,"2F",Adjustments!$I:$I,'Schedule 2F Adjustments'!$N$12,Adjustments!$J:$J,'Schedule 2F Adjustments'!$A36)</f>
        <v>0</v>
      </c>
      <c r="P36" s="310">
        <f t="shared" si="3"/>
        <v>0</v>
      </c>
      <c r="Q36" s="68">
        <f>IFERROR(N36*'As-Filed Schedule 1'!$E$103,0)</f>
        <v>0</v>
      </c>
      <c r="R36" s="68">
        <f>IFERROR(P36*'Adjusted Schedule 1'!$E$104,0)</f>
        <v>0</v>
      </c>
      <c r="S36" s="68">
        <f t="shared" si="4"/>
        <v>0</v>
      </c>
      <c r="T36" s="311">
        <f t="shared" si="5"/>
        <v>0</v>
      </c>
      <c r="V36" s="120">
        <f>'As-Filed Schedule 2F'!N36</f>
        <v>0</v>
      </c>
      <c r="W36" s="314">
        <f>SUMIFS(Adjustments!$G:$G,Adjustments!$H:$H,"2F",Adjustments!$I:$I,'Schedule 2F Adjustments'!$V$12,Adjustments!$J:$J,'Schedule 2F Adjustments'!$A36)</f>
        <v>0</v>
      </c>
      <c r="X36" s="310">
        <f t="shared" si="6"/>
        <v>0</v>
      </c>
      <c r="Y36" s="120">
        <f>'As-Filed Schedule 2F'!O36</f>
        <v>0</v>
      </c>
      <c r="Z36" s="314">
        <f>SUMIFS(Adjustments!$G:$G,Adjustments!$H:$H,"2F",Adjustments!$I:$I,'Schedule 2F Adjustments'!$Y$12,Adjustments!$J:$J,'Schedule 2F Adjustments'!$A36)</f>
        <v>0</v>
      </c>
      <c r="AA36" s="310">
        <f t="shared" si="7"/>
        <v>0</v>
      </c>
    </row>
    <row r="37" spans="1:27" x14ac:dyDescent="0.35">
      <c r="A37" s="24">
        <v>23</v>
      </c>
      <c r="B37" s="513" t="str">
        <f>IF('As-Filed Schedule 2F'!B37:D37=0,"",'As-Filed Schedule 2F'!B37:D37)</f>
        <v/>
      </c>
      <c r="C37" s="513"/>
      <c r="D37" s="513"/>
      <c r="F37" s="117">
        <f>'As-Filed Schedule 2F'!F37</f>
        <v>0</v>
      </c>
      <c r="G37" s="314">
        <f>SUMIFS(Adjustments!$G:$G,Adjustments!$H:$H,"2F",Adjustments!$I:$I,'Schedule 2F Adjustments'!$F$12,Adjustments!$J:$J,'Schedule 2F Adjustments'!$A37)</f>
        <v>0</v>
      </c>
      <c r="H37" s="310">
        <f t="shared" si="0"/>
        <v>0</v>
      </c>
      <c r="I37" s="68">
        <f>IFERROR(F37*'As-Filed Schedule 1'!$E$103,0)</f>
        <v>0</v>
      </c>
      <c r="J37" s="311">
        <f>IFERROR(H37*'Adjusted Schedule 1'!$E$104,0)</f>
        <v>0</v>
      </c>
      <c r="K37" s="68">
        <f t="shared" si="1"/>
        <v>0</v>
      </c>
      <c r="L37" s="311">
        <f t="shared" si="2"/>
        <v>0</v>
      </c>
      <c r="N37" s="117">
        <f>'As-Filed Schedule 2F'!J37</f>
        <v>0</v>
      </c>
      <c r="O37" s="314">
        <f>SUMIFS(Adjustments!$G:$G,Adjustments!$H:$H,"2F",Adjustments!$I:$I,'Schedule 2F Adjustments'!$N$12,Adjustments!$J:$J,'Schedule 2F Adjustments'!$A37)</f>
        <v>0</v>
      </c>
      <c r="P37" s="310">
        <f t="shared" si="3"/>
        <v>0</v>
      </c>
      <c r="Q37" s="68">
        <f>IFERROR(N37*'As-Filed Schedule 1'!$E$103,0)</f>
        <v>0</v>
      </c>
      <c r="R37" s="68">
        <f>IFERROR(P37*'Adjusted Schedule 1'!$E$104,0)</f>
        <v>0</v>
      </c>
      <c r="S37" s="68">
        <f t="shared" si="4"/>
        <v>0</v>
      </c>
      <c r="T37" s="311">
        <f t="shared" si="5"/>
        <v>0</v>
      </c>
      <c r="V37" s="120">
        <f>'As-Filed Schedule 2F'!N37</f>
        <v>0</v>
      </c>
      <c r="W37" s="314">
        <f>SUMIFS(Adjustments!$G:$G,Adjustments!$H:$H,"2F",Adjustments!$I:$I,'Schedule 2F Adjustments'!$V$12,Adjustments!$J:$J,'Schedule 2F Adjustments'!$A37)</f>
        <v>0</v>
      </c>
      <c r="X37" s="310">
        <f t="shared" si="6"/>
        <v>0</v>
      </c>
      <c r="Y37" s="120">
        <f>'As-Filed Schedule 2F'!O37</f>
        <v>0</v>
      </c>
      <c r="Z37" s="314">
        <f>SUMIFS(Adjustments!$G:$G,Adjustments!$H:$H,"2F",Adjustments!$I:$I,'Schedule 2F Adjustments'!$Y$12,Adjustments!$J:$J,'Schedule 2F Adjustments'!$A37)</f>
        <v>0</v>
      </c>
      <c r="AA37" s="310">
        <f t="shared" si="7"/>
        <v>0</v>
      </c>
    </row>
    <row r="38" spans="1:27" x14ac:dyDescent="0.35">
      <c r="A38" s="24">
        <v>24</v>
      </c>
      <c r="B38" s="513" t="str">
        <f>IF('As-Filed Schedule 2F'!B38:D38=0,"",'As-Filed Schedule 2F'!B38:D38)</f>
        <v/>
      </c>
      <c r="C38" s="513"/>
      <c r="D38" s="513"/>
      <c r="F38" s="117">
        <f>'As-Filed Schedule 2F'!F38</f>
        <v>0</v>
      </c>
      <c r="G38" s="314">
        <f>SUMIFS(Adjustments!$G:$G,Adjustments!$H:$H,"2F",Adjustments!$I:$I,'Schedule 2F Adjustments'!$F$12,Adjustments!$J:$J,'Schedule 2F Adjustments'!$A38)</f>
        <v>0</v>
      </c>
      <c r="H38" s="310">
        <f t="shared" si="0"/>
        <v>0</v>
      </c>
      <c r="I38" s="68">
        <f>IFERROR(F38*'As-Filed Schedule 1'!$E$103,0)</f>
        <v>0</v>
      </c>
      <c r="J38" s="311">
        <f>IFERROR(H38*'Adjusted Schedule 1'!$E$104,0)</f>
        <v>0</v>
      </c>
      <c r="K38" s="68">
        <f t="shared" si="1"/>
        <v>0</v>
      </c>
      <c r="L38" s="311">
        <f t="shared" si="2"/>
        <v>0</v>
      </c>
      <c r="N38" s="117">
        <f>'As-Filed Schedule 2F'!J38</f>
        <v>0</v>
      </c>
      <c r="O38" s="314">
        <f>SUMIFS(Adjustments!$G:$G,Adjustments!$H:$H,"2F",Adjustments!$I:$I,'Schedule 2F Adjustments'!$N$12,Adjustments!$J:$J,'Schedule 2F Adjustments'!$A38)</f>
        <v>0</v>
      </c>
      <c r="P38" s="310">
        <f t="shared" si="3"/>
        <v>0</v>
      </c>
      <c r="Q38" s="68">
        <f>IFERROR(N38*'As-Filed Schedule 1'!$E$103,0)</f>
        <v>0</v>
      </c>
      <c r="R38" s="68">
        <f>IFERROR(P38*'Adjusted Schedule 1'!$E$104,0)</f>
        <v>0</v>
      </c>
      <c r="S38" s="68">
        <f t="shared" si="4"/>
        <v>0</v>
      </c>
      <c r="T38" s="311">
        <f t="shared" si="5"/>
        <v>0</v>
      </c>
      <c r="V38" s="120">
        <f>'As-Filed Schedule 2F'!N38</f>
        <v>0</v>
      </c>
      <c r="W38" s="314">
        <f>SUMIFS(Adjustments!$G:$G,Adjustments!$H:$H,"2F",Adjustments!$I:$I,'Schedule 2F Adjustments'!$V$12,Adjustments!$J:$J,'Schedule 2F Adjustments'!$A38)</f>
        <v>0</v>
      </c>
      <c r="X38" s="310">
        <f t="shared" si="6"/>
        <v>0</v>
      </c>
      <c r="Y38" s="120">
        <f>'As-Filed Schedule 2F'!O38</f>
        <v>0</v>
      </c>
      <c r="Z38" s="314">
        <f>SUMIFS(Adjustments!$G:$G,Adjustments!$H:$H,"2F",Adjustments!$I:$I,'Schedule 2F Adjustments'!$Y$12,Adjustments!$J:$J,'Schedule 2F Adjustments'!$A38)</f>
        <v>0</v>
      </c>
      <c r="AA38" s="310">
        <f t="shared" si="7"/>
        <v>0</v>
      </c>
    </row>
    <row r="39" spans="1:27" x14ac:dyDescent="0.35">
      <c r="A39" s="24">
        <v>25</v>
      </c>
      <c r="B39" s="513" t="str">
        <f>IF('As-Filed Schedule 2F'!B39:D39=0,"",'As-Filed Schedule 2F'!B39:D39)</f>
        <v/>
      </c>
      <c r="C39" s="513"/>
      <c r="D39" s="513"/>
      <c r="F39" s="117">
        <f>'As-Filed Schedule 2F'!F39</f>
        <v>0</v>
      </c>
      <c r="G39" s="314">
        <f>SUMIFS(Adjustments!$G:$G,Adjustments!$H:$H,"2F",Adjustments!$I:$I,'Schedule 2F Adjustments'!$F$12,Adjustments!$J:$J,'Schedule 2F Adjustments'!$A39)</f>
        <v>0</v>
      </c>
      <c r="H39" s="310">
        <f t="shared" si="0"/>
        <v>0</v>
      </c>
      <c r="I39" s="68">
        <f>IFERROR(F39*'As-Filed Schedule 1'!$E$103,0)</f>
        <v>0</v>
      </c>
      <c r="J39" s="311">
        <f>IFERROR(H39*'Adjusted Schedule 1'!$E$104,0)</f>
        <v>0</v>
      </c>
      <c r="K39" s="68">
        <f t="shared" si="1"/>
        <v>0</v>
      </c>
      <c r="L39" s="311">
        <f t="shared" si="2"/>
        <v>0</v>
      </c>
      <c r="N39" s="117">
        <f>'As-Filed Schedule 2F'!J39</f>
        <v>0</v>
      </c>
      <c r="O39" s="314">
        <f>SUMIFS(Adjustments!$G:$G,Adjustments!$H:$H,"2F",Adjustments!$I:$I,'Schedule 2F Adjustments'!$N$12,Adjustments!$J:$J,'Schedule 2F Adjustments'!$A39)</f>
        <v>0</v>
      </c>
      <c r="P39" s="310">
        <f t="shared" si="3"/>
        <v>0</v>
      </c>
      <c r="Q39" s="68">
        <f>IFERROR(N39*'As-Filed Schedule 1'!$E$103,0)</f>
        <v>0</v>
      </c>
      <c r="R39" s="68">
        <f>IFERROR(P39*'Adjusted Schedule 1'!$E$104,0)</f>
        <v>0</v>
      </c>
      <c r="S39" s="68">
        <f t="shared" si="4"/>
        <v>0</v>
      </c>
      <c r="T39" s="311">
        <f t="shared" si="5"/>
        <v>0</v>
      </c>
      <c r="V39" s="120">
        <f>'As-Filed Schedule 2F'!N39</f>
        <v>0</v>
      </c>
      <c r="W39" s="314">
        <f>SUMIFS(Adjustments!$G:$G,Adjustments!$H:$H,"2F",Adjustments!$I:$I,'Schedule 2F Adjustments'!$V$12,Adjustments!$J:$J,'Schedule 2F Adjustments'!$A39)</f>
        <v>0</v>
      </c>
      <c r="X39" s="310">
        <f t="shared" si="6"/>
        <v>0</v>
      </c>
      <c r="Y39" s="120">
        <f>'As-Filed Schedule 2F'!O39</f>
        <v>0</v>
      </c>
      <c r="Z39" s="314">
        <f>SUMIFS(Adjustments!$G:$G,Adjustments!$H:$H,"2F",Adjustments!$I:$I,'Schedule 2F Adjustments'!$Y$12,Adjustments!$J:$J,'Schedule 2F Adjustments'!$A39)</f>
        <v>0</v>
      </c>
      <c r="AA39" s="310">
        <f t="shared" si="7"/>
        <v>0</v>
      </c>
    </row>
    <row r="40" spans="1:27" x14ac:dyDescent="0.35">
      <c r="A40" s="24">
        <v>26</v>
      </c>
      <c r="B40" s="513" t="str">
        <f>IF('As-Filed Schedule 2F'!B40:D40=0,"",'As-Filed Schedule 2F'!B40:D40)</f>
        <v/>
      </c>
      <c r="C40" s="513"/>
      <c r="D40" s="513"/>
      <c r="F40" s="117">
        <f>'As-Filed Schedule 2F'!F40</f>
        <v>0</v>
      </c>
      <c r="G40" s="314">
        <f>SUMIFS(Adjustments!$G:$G,Adjustments!$H:$H,"2F",Adjustments!$I:$I,'Schedule 2F Adjustments'!$F$12,Adjustments!$J:$J,'Schedule 2F Adjustments'!$A40)</f>
        <v>0</v>
      </c>
      <c r="H40" s="310">
        <f t="shared" si="0"/>
        <v>0</v>
      </c>
      <c r="I40" s="68">
        <f>IFERROR(F40*'As-Filed Schedule 1'!$E$103,0)</f>
        <v>0</v>
      </c>
      <c r="J40" s="311">
        <f>IFERROR(H40*'Adjusted Schedule 1'!$E$104,0)</f>
        <v>0</v>
      </c>
      <c r="K40" s="68">
        <f t="shared" si="1"/>
        <v>0</v>
      </c>
      <c r="L40" s="311">
        <f t="shared" si="2"/>
        <v>0</v>
      </c>
      <c r="N40" s="117">
        <f>'As-Filed Schedule 2F'!J40</f>
        <v>0</v>
      </c>
      <c r="O40" s="314">
        <f>SUMIFS(Adjustments!$G:$G,Adjustments!$H:$H,"2F",Adjustments!$I:$I,'Schedule 2F Adjustments'!$N$12,Adjustments!$J:$J,'Schedule 2F Adjustments'!$A40)</f>
        <v>0</v>
      </c>
      <c r="P40" s="310">
        <f t="shared" si="3"/>
        <v>0</v>
      </c>
      <c r="Q40" s="68">
        <f>IFERROR(N40*'As-Filed Schedule 1'!$E$103,0)</f>
        <v>0</v>
      </c>
      <c r="R40" s="68">
        <f>IFERROR(P40*'Adjusted Schedule 1'!$E$104,0)</f>
        <v>0</v>
      </c>
      <c r="S40" s="68">
        <f t="shared" si="4"/>
        <v>0</v>
      </c>
      <c r="T40" s="311">
        <f t="shared" si="5"/>
        <v>0</v>
      </c>
      <c r="V40" s="120">
        <f>'As-Filed Schedule 2F'!N40</f>
        <v>0</v>
      </c>
      <c r="W40" s="314">
        <f>SUMIFS(Adjustments!$G:$G,Adjustments!$H:$H,"2F",Adjustments!$I:$I,'Schedule 2F Adjustments'!$V$12,Adjustments!$J:$J,'Schedule 2F Adjustments'!$A40)</f>
        <v>0</v>
      </c>
      <c r="X40" s="310">
        <f t="shared" si="6"/>
        <v>0</v>
      </c>
      <c r="Y40" s="120">
        <f>'As-Filed Schedule 2F'!O40</f>
        <v>0</v>
      </c>
      <c r="Z40" s="314">
        <f>SUMIFS(Adjustments!$G:$G,Adjustments!$H:$H,"2F",Adjustments!$I:$I,'Schedule 2F Adjustments'!$Y$12,Adjustments!$J:$J,'Schedule 2F Adjustments'!$A40)</f>
        <v>0</v>
      </c>
      <c r="AA40" s="310">
        <f t="shared" si="7"/>
        <v>0</v>
      </c>
    </row>
    <row r="41" spans="1:27" x14ac:dyDescent="0.35">
      <c r="A41" s="24">
        <v>27</v>
      </c>
      <c r="B41" s="513" t="str">
        <f>IF('As-Filed Schedule 2F'!B41:D41=0,"",'As-Filed Schedule 2F'!B41:D41)</f>
        <v/>
      </c>
      <c r="C41" s="513"/>
      <c r="D41" s="513"/>
      <c r="F41" s="117">
        <f>'As-Filed Schedule 2F'!F41</f>
        <v>0</v>
      </c>
      <c r="G41" s="314">
        <f>SUMIFS(Adjustments!$G:$G,Adjustments!$H:$H,"2F",Adjustments!$I:$I,'Schedule 2F Adjustments'!$F$12,Adjustments!$J:$J,'Schedule 2F Adjustments'!$A41)</f>
        <v>0</v>
      </c>
      <c r="H41" s="310">
        <f t="shared" si="0"/>
        <v>0</v>
      </c>
      <c r="I41" s="68">
        <f>IFERROR(F41*'As-Filed Schedule 1'!$E$103,0)</f>
        <v>0</v>
      </c>
      <c r="J41" s="311">
        <f>IFERROR(H41*'Adjusted Schedule 1'!$E$104,0)</f>
        <v>0</v>
      </c>
      <c r="K41" s="68">
        <f t="shared" si="1"/>
        <v>0</v>
      </c>
      <c r="L41" s="311">
        <f t="shared" si="2"/>
        <v>0</v>
      </c>
      <c r="N41" s="117">
        <f>'As-Filed Schedule 2F'!J41</f>
        <v>0</v>
      </c>
      <c r="O41" s="314">
        <f>SUMIFS(Adjustments!$G:$G,Adjustments!$H:$H,"2F",Adjustments!$I:$I,'Schedule 2F Adjustments'!$N$12,Adjustments!$J:$J,'Schedule 2F Adjustments'!$A41)</f>
        <v>0</v>
      </c>
      <c r="P41" s="310">
        <f t="shared" si="3"/>
        <v>0</v>
      </c>
      <c r="Q41" s="68">
        <f>IFERROR(N41*'As-Filed Schedule 1'!$E$103,0)</f>
        <v>0</v>
      </c>
      <c r="R41" s="68">
        <f>IFERROR(P41*'Adjusted Schedule 1'!$E$104,0)</f>
        <v>0</v>
      </c>
      <c r="S41" s="68">
        <f t="shared" si="4"/>
        <v>0</v>
      </c>
      <c r="T41" s="311">
        <f t="shared" si="5"/>
        <v>0</v>
      </c>
      <c r="V41" s="120">
        <f>'As-Filed Schedule 2F'!N41</f>
        <v>0</v>
      </c>
      <c r="W41" s="314">
        <f>SUMIFS(Adjustments!$G:$G,Adjustments!$H:$H,"2F",Adjustments!$I:$I,'Schedule 2F Adjustments'!$V$12,Adjustments!$J:$J,'Schedule 2F Adjustments'!$A41)</f>
        <v>0</v>
      </c>
      <c r="X41" s="310">
        <f t="shared" si="6"/>
        <v>0</v>
      </c>
      <c r="Y41" s="120">
        <f>'As-Filed Schedule 2F'!O41</f>
        <v>0</v>
      </c>
      <c r="Z41" s="314">
        <f>SUMIFS(Adjustments!$G:$G,Adjustments!$H:$H,"2F",Adjustments!$I:$I,'Schedule 2F Adjustments'!$Y$12,Adjustments!$J:$J,'Schedule 2F Adjustments'!$A41)</f>
        <v>0</v>
      </c>
      <c r="AA41" s="310">
        <f t="shared" si="7"/>
        <v>0</v>
      </c>
    </row>
    <row r="42" spans="1:27" x14ac:dyDescent="0.35">
      <c r="A42" s="24">
        <v>28</v>
      </c>
      <c r="B42" s="513" t="str">
        <f>IF('As-Filed Schedule 2F'!B42:D42=0,"",'As-Filed Schedule 2F'!B42:D42)</f>
        <v/>
      </c>
      <c r="C42" s="513"/>
      <c r="D42" s="513"/>
      <c r="F42" s="117">
        <f>'As-Filed Schedule 2F'!F42</f>
        <v>0</v>
      </c>
      <c r="G42" s="314">
        <f>SUMIFS(Adjustments!$G:$G,Adjustments!$H:$H,"2F",Adjustments!$I:$I,'Schedule 2F Adjustments'!$F$12,Adjustments!$J:$J,'Schedule 2F Adjustments'!$A42)</f>
        <v>0</v>
      </c>
      <c r="H42" s="310">
        <f t="shared" si="0"/>
        <v>0</v>
      </c>
      <c r="I42" s="68">
        <f>IFERROR(F42*'As-Filed Schedule 1'!$E$103,0)</f>
        <v>0</v>
      </c>
      <c r="J42" s="311">
        <f>IFERROR(H42*'Adjusted Schedule 1'!$E$104,0)</f>
        <v>0</v>
      </c>
      <c r="K42" s="68">
        <f t="shared" si="1"/>
        <v>0</v>
      </c>
      <c r="L42" s="311">
        <f t="shared" si="2"/>
        <v>0</v>
      </c>
      <c r="N42" s="117">
        <f>'As-Filed Schedule 2F'!J42</f>
        <v>0</v>
      </c>
      <c r="O42" s="314">
        <f>SUMIFS(Adjustments!$G:$G,Adjustments!$H:$H,"2F",Adjustments!$I:$I,'Schedule 2F Adjustments'!$N$12,Adjustments!$J:$J,'Schedule 2F Adjustments'!$A42)</f>
        <v>0</v>
      </c>
      <c r="P42" s="310">
        <f t="shared" si="3"/>
        <v>0</v>
      </c>
      <c r="Q42" s="68">
        <f>IFERROR(N42*'As-Filed Schedule 1'!$E$103,0)</f>
        <v>0</v>
      </c>
      <c r="R42" s="68">
        <f>IFERROR(P42*'Adjusted Schedule 1'!$E$104,0)</f>
        <v>0</v>
      </c>
      <c r="S42" s="68">
        <f t="shared" si="4"/>
        <v>0</v>
      </c>
      <c r="T42" s="311">
        <f t="shared" si="5"/>
        <v>0</v>
      </c>
      <c r="V42" s="120">
        <f>'As-Filed Schedule 2F'!N42</f>
        <v>0</v>
      </c>
      <c r="W42" s="314">
        <f>SUMIFS(Adjustments!$G:$G,Adjustments!$H:$H,"2F",Adjustments!$I:$I,'Schedule 2F Adjustments'!$V$12,Adjustments!$J:$J,'Schedule 2F Adjustments'!$A42)</f>
        <v>0</v>
      </c>
      <c r="X42" s="310">
        <f t="shared" si="6"/>
        <v>0</v>
      </c>
      <c r="Y42" s="120">
        <f>'As-Filed Schedule 2F'!O42</f>
        <v>0</v>
      </c>
      <c r="Z42" s="314">
        <f>SUMIFS(Adjustments!$G:$G,Adjustments!$H:$H,"2F",Adjustments!$I:$I,'Schedule 2F Adjustments'!$Y$12,Adjustments!$J:$J,'Schedule 2F Adjustments'!$A42)</f>
        <v>0</v>
      </c>
      <c r="AA42" s="310">
        <f t="shared" si="7"/>
        <v>0</v>
      </c>
    </row>
    <row r="43" spans="1:27" x14ac:dyDescent="0.35">
      <c r="A43" s="24">
        <v>29</v>
      </c>
      <c r="B43" s="513" t="str">
        <f>IF('As-Filed Schedule 2F'!B43:D43=0,"",'As-Filed Schedule 2F'!B43:D43)</f>
        <v/>
      </c>
      <c r="C43" s="513"/>
      <c r="D43" s="513"/>
      <c r="F43" s="117">
        <f>'As-Filed Schedule 2F'!F43</f>
        <v>0</v>
      </c>
      <c r="G43" s="314">
        <f>SUMIFS(Adjustments!$G:$G,Adjustments!$H:$H,"2F",Adjustments!$I:$I,'Schedule 2F Adjustments'!$F$12,Adjustments!$J:$J,'Schedule 2F Adjustments'!$A43)</f>
        <v>0</v>
      </c>
      <c r="H43" s="310">
        <f t="shared" si="0"/>
        <v>0</v>
      </c>
      <c r="I43" s="68">
        <f>IFERROR(F43*'As-Filed Schedule 1'!$E$103,0)</f>
        <v>0</v>
      </c>
      <c r="J43" s="311">
        <f>IFERROR(H43*'Adjusted Schedule 1'!$E$104,0)</f>
        <v>0</v>
      </c>
      <c r="K43" s="68">
        <f t="shared" si="1"/>
        <v>0</v>
      </c>
      <c r="L43" s="311">
        <f t="shared" si="2"/>
        <v>0</v>
      </c>
      <c r="N43" s="117">
        <f>'As-Filed Schedule 2F'!J43</f>
        <v>0</v>
      </c>
      <c r="O43" s="314">
        <f>SUMIFS(Adjustments!$G:$G,Adjustments!$H:$H,"2F",Adjustments!$I:$I,'Schedule 2F Adjustments'!$N$12,Adjustments!$J:$J,'Schedule 2F Adjustments'!$A43)</f>
        <v>0</v>
      </c>
      <c r="P43" s="310">
        <f t="shared" si="3"/>
        <v>0</v>
      </c>
      <c r="Q43" s="68">
        <f>IFERROR(N43*'As-Filed Schedule 1'!$E$103,0)</f>
        <v>0</v>
      </c>
      <c r="R43" s="68">
        <f>IFERROR(P43*'Adjusted Schedule 1'!$E$104,0)</f>
        <v>0</v>
      </c>
      <c r="S43" s="68">
        <f t="shared" si="4"/>
        <v>0</v>
      </c>
      <c r="T43" s="311">
        <f t="shared" si="5"/>
        <v>0</v>
      </c>
      <c r="V43" s="120">
        <f>'As-Filed Schedule 2F'!N43</f>
        <v>0</v>
      </c>
      <c r="W43" s="314">
        <f>SUMIFS(Adjustments!$G:$G,Adjustments!$H:$H,"2F",Adjustments!$I:$I,'Schedule 2F Adjustments'!$V$12,Adjustments!$J:$J,'Schedule 2F Adjustments'!$A43)</f>
        <v>0</v>
      </c>
      <c r="X43" s="310">
        <f t="shared" si="6"/>
        <v>0</v>
      </c>
      <c r="Y43" s="120">
        <f>'As-Filed Schedule 2F'!O43</f>
        <v>0</v>
      </c>
      <c r="Z43" s="314">
        <f>SUMIFS(Adjustments!$G:$G,Adjustments!$H:$H,"2F",Adjustments!$I:$I,'Schedule 2F Adjustments'!$Y$12,Adjustments!$J:$J,'Schedule 2F Adjustments'!$A43)</f>
        <v>0</v>
      </c>
      <c r="AA43" s="310">
        <f t="shared" si="7"/>
        <v>0</v>
      </c>
    </row>
    <row r="44" spans="1:27" x14ac:dyDescent="0.35">
      <c r="A44" s="24">
        <v>30</v>
      </c>
      <c r="B44" s="513" t="str">
        <f>IF('As-Filed Schedule 2F'!B44:D44=0,"",'As-Filed Schedule 2F'!B44:D44)</f>
        <v/>
      </c>
      <c r="C44" s="513"/>
      <c r="D44" s="513"/>
      <c r="F44" s="117">
        <f>'As-Filed Schedule 2F'!F44</f>
        <v>0</v>
      </c>
      <c r="G44" s="314">
        <f>SUMIFS(Adjustments!$G:$G,Adjustments!$H:$H,"2F",Adjustments!$I:$I,'Schedule 2F Adjustments'!$F$12,Adjustments!$J:$J,'Schedule 2F Adjustments'!$A44)</f>
        <v>0</v>
      </c>
      <c r="H44" s="310">
        <f t="shared" si="0"/>
        <v>0</v>
      </c>
      <c r="I44" s="68">
        <f>IFERROR(F44*'As-Filed Schedule 1'!$E$103,0)</f>
        <v>0</v>
      </c>
      <c r="J44" s="311">
        <f>IFERROR(H44*'Adjusted Schedule 1'!$E$104,0)</f>
        <v>0</v>
      </c>
      <c r="K44" s="68">
        <f t="shared" si="1"/>
        <v>0</v>
      </c>
      <c r="L44" s="311">
        <f t="shared" si="2"/>
        <v>0</v>
      </c>
      <c r="N44" s="117">
        <f>'As-Filed Schedule 2F'!J44</f>
        <v>0</v>
      </c>
      <c r="O44" s="314">
        <f>SUMIFS(Adjustments!$G:$G,Adjustments!$H:$H,"2F",Adjustments!$I:$I,'Schedule 2F Adjustments'!$N$12,Adjustments!$J:$J,'Schedule 2F Adjustments'!$A44)</f>
        <v>0</v>
      </c>
      <c r="P44" s="310">
        <f t="shared" si="3"/>
        <v>0</v>
      </c>
      <c r="Q44" s="68">
        <f>IFERROR(N44*'As-Filed Schedule 1'!$E$103,0)</f>
        <v>0</v>
      </c>
      <c r="R44" s="68">
        <f>IFERROR(P44*'Adjusted Schedule 1'!$E$104,0)</f>
        <v>0</v>
      </c>
      <c r="S44" s="68">
        <f t="shared" si="4"/>
        <v>0</v>
      </c>
      <c r="T44" s="311">
        <f t="shared" si="5"/>
        <v>0</v>
      </c>
      <c r="V44" s="120">
        <f>'As-Filed Schedule 2F'!N44</f>
        <v>0</v>
      </c>
      <c r="W44" s="314">
        <f>SUMIFS(Adjustments!$G:$G,Adjustments!$H:$H,"2F",Adjustments!$I:$I,'Schedule 2F Adjustments'!$V$12,Adjustments!$J:$J,'Schedule 2F Adjustments'!$A44)</f>
        <v>0</v>
      </c>
      <c r="X44" s="310">
        <f t="shared" si="6"/>
        <v>0</v>
      </c>
      <c r="Y44" s="120">
        <f>'As-Filed Schedule 2F'!O44</f>
        <v>0</v>
      </c>
      <c r="Z44" s="314">
        <f>SUMIFS(Adjustments!$G:$G,Adjustments!$H:$H,"2F",Adjustments!$I:$I,'Schedule 2F Adjustments'!$Y$12,Adjustments!$J:$J,'Schedule 2F Adjustments'!$A44)</f>
        <v>0</v>
      </c>
      <c r="AA44" s="310">
        <f t="shared" si="7"/>
        <v>0</v>
      </c>
    </row>
    <row r="45" spans="1:27" x14ac:dyDescent="0.35">
      <c r="A45" s="24">
        <v>31</v>
      </c>
      <c r="B45" s="513" t="str">
        <f>IF('As-Filed Schedule 2F'!B45:D45=0,"",'As-Filed Schedule 2F'!B45:D45)</f>
        <v/>
      </c>
      <c r="C45" s="513"/>
      <c r="D45" s="513"/>
      <c r="F45" s="117">
        <f>'As-Filed Schedule 2F'!F45</f>
        <v>0</v>
      </c>
      <c r="G45" s="314">
        <f>SUMIFS(Adjustments!$G:$G,Adjustments!$H:$H,"2F",Adjustments!$I:$I,'Schedule 2F Adjustments'!$F$12,Adjustments!$J:$J,'Schedule 2F Adjustments'!$A45)</f>
        <v>0</v>
      </c>
      <c r="H45" s="310">
        <f t="shared" si="0"/>
        <v>0</v>
      </c>
      <c r="I45" s="68">
        <f>IFERROR(F45*'As-Filed Schedule 1'!$E$103,0)</f>
        <v>0</v>
      </c>
      <c r="J45" s="311">
        <f>IFERROR(H45*'Adjusted Schedule 1'!$E$104,0)</f>
        <v>0</v>
      </c>
      <c r="K45" s="68">
        <f t="shared" si="1"/>
        <v>0</v>
      </c>
      <c r="L45" s="311">
        <f t="shared" si="2"/>
        <v>0</v>
      </c>
      <c r="N45" s="117">
        <f>'As-Filed Schedule 2F'!J45</f>
        <v>0</v>
      </c>
      <c r="O45" s="314">
        <f>SUMIFS(Adjustments!$G:$G,Adjustments!$H:$H,"2F",Adjustments!$I:$I,'Schedule 2F Adjustments'!$N$12,Adjustments!$J:$J,'Schedule 2F Adjustments'!$A45)</f>
        <v>0</v>
      </c>
      <c r="P45" s="310">
        <f t="shared" si="3"/>
        <v>0</v>
      </c>
      <c r="Q45" s="68">
        <f>IFERROR(N45*'As-Filed Schedule 1'!$E$103,0)</f>
        <v>0</v>
      </c>
      <c r="R45" s="68">
        <f>IFERROR(P45*'Adjusted Schedule 1'!$E$104,0)</f>
        <v>0</v>
      </c>
      <c r="S45" s="68">
        <f t="shared" si="4"/>
        <v>0</v>
      </c>
      <c r="T45" s="311">
        <f t="shared" si="5"/>
        <v>0</v>
      </c>
      <c r="V45" s="120">
        <f>'As-Filed Schedule 2F'!N45</f>
        <v>0</v>
      </c>
      <c r="W45" s="314">
        <f>SUMIFS(Adjustments!$G:$G,Adjustments!$H:$H,"2F",Adjustments!$I:$I,'Schedule 2F Adjustments'!$V$12,Adjustments!$J:$J,'Schedule 2F Adjustments'!$A45)</f>
        <v>0</v>
      </c>
      <c r="X45" s="310">
        <f t="shared" si="6"/>
        <v>0</v>
      </c>
      <c r="Y45" s="120">
        <f>'As-Filed Schedule 2F'!O45</f>
        <v>0</v>
      </c>
      <c r="Z45" s="314">
        <f>SUMIFS(Adjustments!$G:$G,Adjustments!$H:$H,"2F",Adjustments!$I:$I,'Schedule 2F Adjustments'!$Y$12,Adjustments!$J:$J,'Schedule 2F Adjustments'!$A45)</f>
        <v>0</v>
      </c>
      <c r="AA45" s="310">
        <f t="shared" si="7"/>
        <v>0</v>
      </c>
    </row>
    <row r="46" spans="1:27" x14ac:dyDescent="0.35">
      <c r="A46" s="24">
        <v>32</v>
      </c>
      <c r="B46" s="513" t="str">
        <f>IF('As-Filed Schedule 2F'!B46:D46=0,"",'As-Filed Schedule 2F'!B46:D46)</f>
        <v/>
      </c>
      <c r="C46" s="513"/>
      <c r="D46" s="513"/>
      <c r="F46" s="117">
        <f>'As-Filed Schedule 2F'!F46</f>
        <v>0</v>
      </c>
      <c r="G46" s="314">
        <f>SUMIFS(Adjustments!$G:$G,Adjustments!$H:$H,"2F",Adjustments!$I:$I,'Schedule 2F Adjustments'!$F$12,Adjustments!$J:$J,'Schedule 2F Adjustments'!$A46)</f>
        <v>0</v>
      </c>
      <c r="H46" s="310">
        <f t="shared" si="0"/>
        <v>0</v>
      </c>
      <c r="I46" s="68">
        <f>IFERROR(F46*'As-Filed Schedule 1'!$E$103,0)</f>
        <v>0</v>
      </c>
      <c r="J46" s="311">
        <f>IFERROR(H46*'Adjusted Schedule 1'!$E$104,0)</f>
        <v>0</v>
      </c>
      <c r="K46" s="68">
        <f t="shared" si="1"/>
        <v>0</v>
      </c>
      <c r="L46" s="311">
        <f t="shared" si="2"/>
        <v>0</v>
      </c>
      <c r="N46" s="117">
        <f>'As-Filed Schedule 2F'!J46</f>
        <v>0</v>
      </c>
      <c r="O46" s="314">
        <f>SUMIFS(Adjustments!$G:$G,Adjustments!$H:$H,"2F",Adjustments!$I:$I,'Schedule 2F Adjustments'!$N$12,Adjustments!$J:$J,'Schedule 2F Adjustments'!$A46)</f>
        <v>0</v>
      </c>
      <c r="P46" s="310">
        <f t="shared" si="3"/>
        <v>0</v>
      </c>
      <c r="Q46" s="68">
        <f>IFERROR(N46*'As-Filed Schedule 1'!$E$103,0)</f>
        <v>0</v>
      </c>
      <c r="R46" s="68">
        <f>IFERROR(P46*'Adjusted Schedule 1'!$E$104,0)</f>
        <v>0</v>
      </c>
      <c r="S46" s="68">
        <f t="shared" si="4"/>
        <v>0</v>
      </c>
      <c r="T46" s="311">
        <f t="shared" si="5"/>
        <v>0</v>
      </c>
      <c r="V46" s="120">
        <f>'As-Filed Schedule 2F'!N46</f>
        <v>0</v>
      </c>
      <c r="W46" s="314">
        <f>SUMIFS(Adjustments!$G:$G,Adjustments!$H:$H,"2F",Adjustments!$I:$I,'Schedule 2F Adjustments'!$V$12,Adjustments!$J:$J,'Schedule 2F Adjustments'!$A46)</f>
        <v>0</v>
      </c>
      <c r="X46" s="310">
        <f t="shared" si="6"/>
        <v>0</v>
      </c>
      <c r="Y46" s="120">
        <f>'As-Filed Schedule 2F'!O46</f>
        <v>0</v>
      </c>
      <c r="Z46" s="314">
        <f>SUMIFS(Adjustments!$G:$G,Adjustments!$H:$H,"2F",Adjustments!$I:$I,'Schedule 2F Adjustments'!$Y$12,Adjustments!$J:$J,'Schedule 2F Adjustments'!$A46)</f>
        <v>0</v>
      </c>
      <c r="AA46" s="310">
        <f t="shared" si="7"/>
        <v>0</v>
      </c>
    </row>
    <row r="47" spans="1:27" x14ac:dyDescent="0.35">
      <c r="A47" s="24">
        <v>33</v>
      </c>
      <c r="B47" s="513" t="str">
        <f>IF('As-Filed Schedule 2F'!B47:D47=0,"",'As-Filed Schedule 2F'!B47:D47)</f>
        <v/>
      </c>
      <c r="C47" s="513"/>
      <c r="D47" s="513"/>
      <c r="F47" s="117">
        <f>'As-Filed Schedule 2F'!F47</f>
        <v>0</v>
      </c>
      <c r="G47" s="314">
        <f>SUMIFS(Adjustments!$G:$G,Adjustments!$H:$H,"2F",Adjustments!$I:$I,'Schedule 2F Adjustments'!$F$12,Adjustments!$J:$J,'Schedule 2F Adjustments'!$A47)</f>
        <v>0</v>
      </c>
      <c r="H47" s="310">
        <f t="shared" si="0"/>
        <v>0</v>
      </c>
      <c r="I47" s="68">
        <f>IFERROR(F47*'As-Filed Schedule 1'!$E$103,0)</f>
        <v>0</v>
      </c>
      <c r="J47" s="311">
        <f>IFERROR(H47*'Adjusted Schedule 1'!$E$104,0)</f>
        <v>0</v>
      </c>
      <c r="K47" s="68">
        <f t="shared" si="1"/>
        <v>0</v>
      </c>
      <c r="L47" s="311">
        <f t="shared" si="2"/>
        <v>0</v>
      </c>
      <c r="N47" s="117">
        <f>'As-Filed Schedule 2F'!J47</f>
        <v>0</v>
      </c>
      <c r="O47" s="314">
        <f>SUMIFS(Adjustments!$G:$G,Adjustments!$H:$H,"2F",Adjustments!$I:$I,'Schedule 2F Adjustments'!$N$12,Adjustments!$J:$J,'Schedule 2F Adjustments'!$A47)</f>
        <v>0</v>
      </c>
      <c r="P47" s="310">
        <f t="shared" si="3"/>
        <v>0</v>
      </c>
      <c r="Q47" s="68">
        <f>IFERROR(N47*'As-Filed Schedule 1'!$E$103,0)</f>
        <v>0</v>
      </c>
      <c r="R47" s="68">
        <f>IFERROR(P47*'Adjusted Schedule 1'!$E$104,0)</f>
        <v>0</v>
      </c>
      <c r="S47" s="68">
        <f t="shared" si="4"/>
        <v>0</v>
      </c>
      <c r="T47" s="311">
        <f t="shared" si="5"/>
        <v>0</v>
      </c>
      <c r="V47" s="120">
        <f>'As-Filed Schedule 2F'!N47</f>
        <v>0</v>
      </c>
      <c r="W47" s="314">
        <f>SUMIFS(Adjustments!$G:$G,Adjustments!$H:$H,"2F",Adjustments!$I:$I,'Schedule 2F Adjustments'!$V$12,Adjustments!$J:$J,'Schedule 2F Adjustments'!$A47)</f>
        <v>0</v>
      </c>
      <c r="X47" s="310">
        <f t="shared" si="6"/>
        <v>0</v>
      </c>
      <c r="Y47" s="120">
        <f>'As-Filed Schedule 2F'!O47</f>
        <v>0</v>
      </c>
      <c r="Z47" s="314">
        <f>SUMIFS(Adjustments!$G:$G,Adjustments!$H:$H,"2F",Adjustments!$I:$I,'Schedule 2F Adjustments'!$Y$12,Adjustments!$J:$J,'Schedule 2F Adjustments'!$A47)</f>
        <v>0</v>
      </c>
      <c r="AA47" s="310">
        <f t="shared" si="7"/>
        <v>0</v>
      </c>
    </row>
    <row r="48" spans="1:27" x14ac:dyDescent="0.35">
      <c r="A48" s="24">
        <v>34</v>
      </c>
      <c r="B48" s="513" t="str">
        <f>IF('As-Filed Schedule 2F'!B48:D48=0,"",'As-Filed Schedule 2F'!B48:D48)</f>
        <v/>
      </c>
      <c r="C48" s="513"/>
      <c r="D48" s="513"/>
      <c r="F48" s="117">
        <f>'As-Filed Schedule 2F'!F48</f>
        <v>0</v>
      </c>
      <c r="G48" s="314">
        <f>SUMIFS(Adjustments!$G:$G,Adjustments!$H:$H,"2F",Adjustments!$I:$I,'Schedule 2F Adjustments'!$F$12,Adjustments!$J:$J,'Schedule 2F Adjustments'!$A48)</f>
        <v>0</v>
      </c>
      <c r="H48" s="310">
        <f t="shared" si="0"/>
        <v>0</v>
      </c>
      <c r="I48" s="68">
        <f>IFERROR(F48*'As-Filed Schedule 1'!$E$103,0)</f>
        <v>0</v>
      </c>
      <c r="J48" s="311">
        <f>IFERROR(H48*'Adjusted Schedule 1'!$E$104,0)</f>
        <v>0</v>
      </c>
      <c r="K48" s="68">
        <f t="shared" si="1"/>
        <v>0</v>
      </c>
      <c r="L48" s="311">
        <f t="shared" si="2"/>
        <v>0</v>
      </c>
      <c r="N48" s="117">
        <f>'As-Filed Schedule 2F'!J48</f>
        <v>0</v>
      </c>
      <c r="O48" s="314">
        <f>SUMIFS(Adjustments!$G:$G,Adjustments!$H:$H,"2F",Adjustments!$I:$I,'Schedule 2F Adjustments'!$N$12,Adjustments!$J:$J,'Schedule 2F Adjustments'!$A48)</f>
        <v>0</v>
      </c>
      <c r="P48" s="310">
        <f t="shared" si="3"/>
        <v>0</v>
      </c>
      <c r="Q48" s="68">
        <f>IFERROR(N48*'As-Filed Schedule 1'!$E$103,0)</f>
        <v>0</v>
      </c>
      <c r="R48" s="68">
        <f>IFERROR(P48*'Adjusted Schedule 1'!$E$104,0)</f>
        <v>0</v>
      </c>
      <c r="S48" s="68">
        <f t="shared" si="4"/>
        <v>0</v>
      </c>
      <c r="T48" s="311">
        <f t="shared" si="5"/>
        <v>0</v>
      </c>
      <c r="V48" s="120">
        <f>'As-Filed Schedule 2F'!N48</f>
        <v>0</v>
      </c>
      <c r="W48" s="314">
        <f>SUMIFS(Adjustments!$G:$G,Adjustments!$H:$H,"2F",Adjustments!$I:$I,'Schedule 2F Adjustments'!$V$12,Adjustments!$J:$J,'Schedule 2F Adjustments'!$A48)</f>
        <v>0</v>
      </c>
      <c r="X48" s="310">
        <f t="shared" si="6"/>
        <v>0</v>
      </c>
      <c r="Y48" s="120">
        <f>'As-Filed Schedule 2F'!O48</f>
        <v>0</v>
      </c>
      <c r="Z48" s="314">
        <f>SUMIFS(Adjustments!$G:$G,Adjustments!$H:$H,"2F",Adjustments!$I:$I,'Schedule 2F Adjustments'!$Y$12,Adjustments!$J:$J,'Schedule 2F Adjustments'!$A48)</f>
        <v>0</v>
      </c>
      <c r="AA48" s="310">
        <f t="shared" si="7"/>
        <v>0</v>
      </c>
    </row>
    <row r="49" spans="1:27" x14ac:dyDescent="0.35">
      <c r="A49" s="24">
        <v>35</v>
      </c>
      <c r="B49" s="513" t="str">
        <f>IF('As-Filed Schedule 2F'!B49:D49=0,"",'As-Filed Schedule 2F'!B49:D49)</f>
        <v/>
      </c>
      <c r="C49" s="513"/>
      <c r="D49" s="513"/>
      <c r="F49" s="117">
        <f>'As-Filed Schedule 2F'!F49</f>
        <v>0</v>
      </c>
      <c r="G49" s="314">
        <f>SUMIFS(Adjustments!$G:$G,Adjustments!$H:$H,"2F",Adjustments!$I:$I,'Schedule 2F Adjustments'!$F$12,Adjustments!$J:$J,'Schedule 2F Adjustments'!$A49)</f>
        <v>0</v>
      </c>
      <c r="H49" s="310">
        <f t="shared" si="0"/>
        <v>0</v>
      </c>
      <c r="I49" s="68">
        <f>IFERROR(F49*'As-Filed Schedule 1'!$E$103,0)</f>
        <v>0</v>
      </c>
      <c r="J49" s="311">
        <f>IFERROR(H49*'Adjusted Schedule 1'!$E$104,0)</f>
        <v>0</v>
      </c>
      <c r="K49" s="68">
        <f t="shared" si="1"/>
        <v>0</v>
      </c>
      <c r="L49" s="311">
        <f t="shared" si="2"/>
        <v>0</v>
      </c>
      <c r="N49" s="117">
        <f>'As-Filed Schedule 2F'!J49</f>
        <v>0</v>
      </c>
      <c r="O49" s="314">
        <f>SUMIFS(Adjustments!$G:$G,Adjustments!$H:$H,"2F",Adjustments!$I:$I,'Schedule 2F Adjustments'!$N$12,Adjustments!$J:$J,'Schedule 2F Adjustments'!$A49)</f>
        <v>0</v>
      </c>
      <c r="P49" s="310">
        <f t="shared" si="3"/>
        <v>0</v>
      </c>
      <c r="Q49" s="68">
        <f>IFERROR(N49*'As-Filed Schedule 1'!$E$103,0)</f>
        <v>0</v>
      </c>
      <c r="R49" s="68">
        <f>IFERROR(P49*'Adjusted Schedule 1'!$E$104,0)</f>
        <v>0</v>
      </c>
      <c r="S49" s="68">
        <f t="shared" si="4"/>
        <v>0</v>
      </c>
      <c r="T49" s="311">
        <f t="shared" si="5"/>
        <v>0</v>
      </c>
      <c r="V49" s="120">
        <f>'As-Filed Schedule 2F'!N49</f>
        <v>0</v>
      </c>
      <c r="W49" s="314">
        <f>SUMIFS(Adjustments!$G:$G,Adjustments!$H:$H,"2F",Adjustments!$I:$I,'Schedule 2F Adjustments'!$V$12,Adjustments!$J:$J,'Schedule 2F Adjustments'!$A49)</f>
        <v>0</v>
      </c>
      <c r="X49" s="310">
        <f t="shared" si="6"/>
        <v>0</v>
      </c>
      <c r="Y49" s="120">
        <f>'As-Filed Schedule 2F'!O49</f>
        <v>0</v>
      </c>
      <c r="Z49" s="314">
        <f>SUMIFS(Adjustments!$G:$G,Adjustments!$H:$H,"2F",Adjustments!$I:$I,'Schedule 2F Adjustments'!$Y$12,Adjustments!$J:$J,'Schedule 2F Adjustments'!$A49)</f>
        <v>0</v>
      </c>
      <c r="AA49" s="310">
        <f t="shared" si="7"/>
        <v>0</v>
      </c>
    </row>
    <row r="50" spans="1:27" x14ac:dyDescent="0.35">
      <c r="A50" s="24">
        <v>36</v>
      </c>
      <c r="B50" s="513" t="str">
        <f>IF('As-Filed Schedule 2F'!B50:D50=0,"",'As-Filed Schedule 2F'!B50:D50)</f>
        <v/>
      </c>
      <c r="C50" s="513"/>
      <c r="D50" s="513"/>
      <c r="F50" s="117">
        <f>'As-Filed Schedule 2F'!F50</f>
        <v>0</v>
      </c>
      <c r="G50" s="314">
        <f>SUMIFS(Adjustments!$G:$G,Adjustments!$H:$H,"2F",Adjustments!$I:$I,'Schedule 2F Adjustments'!$F$12,Adjustments!$J:$J,'Schedule 2F Adjustments'!$A50)</f>
        <v>0</v>
      </c>
      <c r="H50" s="310">
        <f t="shared" si="0"/>
        <v>0</v>
      </c>
      <c r="I50" s="68">
        <f>IFERROR(F50*'As-Filed Schedule 1'!$E$103,0)</f>
        <v>0</v>
      </c>
      <c r="J50" s="311">
        <f>IFERROR(H50*'Adjusted Schedule 1'!$E$104,0)</f>
        <v>0</v>
      </c>
      <c r="K50" s="68">
        <f t="shared" si="1"/>
        <v>0</v>
      </c>
      <c r="L50" s="311">
        <f t="shared" si="2"/>
        <v>0</v>
      </c>
      <c r="N50" s="117">
        <f>'As-Filed Schedule 2F'!J50</f>
        <v>0</v>
      </c>
      <c r="O50" s="314">
        <f>SUMIFS(Adjustments!$G:$G,Adjustments!$H:$H,"2F",Adjustments!$I:$I,'Schedule 2F Adjustments'!$N$12,Adjustments!$J:$J,'Schedule 2F Adjustments'!$A50)</f>
        <v>0</v>
      </c>
      <c r="P50" s="310">
        <f t="shared" si="3"/>
        <v>0</v>
      </c>
      <c r="Q50" s="68">
        <f>IFERROR(N50*'As-Filed Schedule 1'!$E$103,0)</f>
        <v>0</v>
      </c>
      <c r="R50" s="68">
        <f>IFERROR(P50*'Adjusted Schedule 1'!$E$104,0)</f>
        <v>0</v>
      </c>
      <c r="S50" s="68">
        <f t="shared" si="4"/>
        <v>0</v>
      </c>
      <c r="T50" s="311">
        <f t="shared" si="5"/>
        <v>0</v>
      </c>
      <c r="V50" s="120">
        <f>'As-Filed Schedule 2F'!N50</f>
        <v>0</v>
      </c>
      <c r="W50" s="314">
        <f>SUMIFS(Adjustments!$G:$G,Adjustments!$H:$H,"2F",Adjustments!$I:$I,'Schedule 2F Adjustments'!$V$12,Adjustments!$J:$J,'Schedule 2F Adjustments'!$A50)</f>
        <v>0</v>
      </c>
      <c r="X50" s="310">
        <f t="shared" si="6"/>
        <v>0</v>
      </c>
      <c r="Y50" s="120">
        <f>'As-Filed Schedule 2F'!O50</f>
        <v>0</v>
      </c>
      <c r="Z50" s="314">
        <f>SUMIFS(Adjustments!$G:$G,Adjustments!$H:$H,"2F",Adjustments!$I:$I,'Schedule 2F Adjustments'!$Y$12,Adjustments!$J:$J,'Schedule 2F Adjustments'!$A50)</f>
        <v>0</v>
      </c>
      <c r="AA50" s="310">
        <f t="shared" si="7"/>
        <v>0</v>
      </c>
    </row>
    <row r="51" spans="1:27" x14ac:dyDescent="0.35">
      <c r="A51" s="24">
        <v>37</v>
      </c>
      <c r="B51" s="513" t="str">
        <f>IF('As-Filed Schedule 2F'!B51:D51=0,"",'As-Filed Schedule 2F'!B51:D51)</f>
        <v/>
      </c>
      <c r="C51" s="513"/>
      <c r="D51" s="513"/>
      <c r="F51" s="117">
        <f>'As-Filed Schedule 2F'!F51</f>
        <v>0</v>
      </c>
      <c r="G51" s="314">
        <f>SUMIFS(Adjustments!$G:$G,Adjustments!$H:$H,"2F",Adjustments!$I:$I,'Schedule 2F Adjustments'!$F$12,Adjustments!$J:$J,'Schedule 2F Adjustments'!$A51)</f>
        <v>0</v>
      </c>
      <c r="H51" s="310">
        <f t="shared" si="0"/>
        <v>0</v>
      </c>
      <c r="I51" s="68">
        <f>IFERROR(F51*'As-Filed Schedule 1'!$E$103,0)</f>
        <v>0</v>
      </c>
      <c r="J51" s="311">
        <f>IFERROR(H51*'Adjusted Schedule 1'!$E$104,0)</f>
        <v>0</v>
      </c>
      <c r="K51" s="68">
        <f t="shared" si="1"/>
        <v>0</v>
      </c>
      <c r="L51" s="311">
        <f t="shared" si="2"/>
        <v>0</v>
      </c>
      <c r="N51" s="117">
        <f>'As-Filed Schedule 2F'!J51</f>
        <v>0</v>
      </c>
      <c r="O51" s="314">
        <f>SUMIFS(Adjustments!$G:$G,Adjustments!$H:$H,"2F",Adjustments!$I:$I,'Schedule 2F Adjustments'!$N$12,Adjustments!$J:$J,'Schedule 2F Adjustments'!$A51)</f>
        <v>0</v>
      </c>
      <c r="P51" s="310">
        <f t="shared" si="3"/>
        <v>0</v>
      </c>
      <c r="Q51" s="68">
        <f>IFERROR(N51*'As-Filed Schedule 1'!$E$103,0)</f>
        <v>0</v>
      </c>
      <c r="R51" s="68">
        <f>IFERROR(P51*'Adjusted Schedule 1'!$E$104,0)</f>
        <v>0</v>
      </c>
      <c r="S51" s="68">
        <f t="shared" si="4"/>
        <v>0</v>
      </c>
      <c r="T51" s="311">
        <f t="shared" si="5"/>
        <v>0</v>
      </c>
      <c r="V51" s="120">
        <f>'As-Filed Schedule 2F'!N51</f>
        <v>0</v>
      </c>
      <c r="W51" s="314">
        <f>SUMIFS(Adjustments!$G:$G,Adjustments!$H:$H,"2F",Adjustments!$I:$I,'Schedule 2F Adjustments'!$V$12,Adjustments!$J:$J,'Schedule 2F Adjustments'!$A51)</f>
        <v>0</v>
      </c>
      <c r="X51" s="310">
        <f t="shared" si="6"/>
        <v>0</v>
      </c>
      <c r="Y51" s="120">
        <f>'As-Filed Schedule 2F'!O51</f>
        <v>0</v>
      </c>
      <c r="Z51" s="314">
        <f>SUMIFS(Adjustments!$G:$G,Adjustments!$H:$H,"2F",Adjustments!$I:$I,'Schedule 2F Adjustments'!$Y$12,Adjustments!$J:$J,'Schedule 2F Adjustments'!$A51)</f>
        <v>0</v>
      </c>
      <c r="AA51" s="310">
        <f t="shared" si="7"/>
        <v>0</v>
      </c>
    </row>
    <row r="52" spans="1:27" x14ac:dyDescent="0.35">
      <c r="A52" s="24">
        <v>38</v>
      </c>
      <c r="B52" s="513" t="str">
        <f>IF('As-Filed Schedule 2F'!B52:D52=0,"",'As-Filed Schedule 2F'!B52:D52)</f>
        <v/>
      </c>
      <c r="C52" s="513"/>
      <c r="D52" s="513"/>
      <c r="F52" s="117">
        <f>'As-Filed Schedule 2F'!F52</f>
        <v>0</v>
      </c>
      <c r="G52" s="314">
        <f>SUMIFS(Adjustments!$G:$G,Adjustments!$H:$H,"2F",Adjustments!$I:$I,'Schedule 2F Adjustments'!$F$12,Adjustments!$J:$J,'Schedule 2F Adjustments'!$A52)</f>
        <v>0</v>
      </c>
      <c r="H52" s="310">
        <f t="shared" si="0"/>
        <v>0</v>
      </c>
      <c r="I52" s="68">
        <f>IFERROR(F52*'As-Filed Schedule 1'!$E$103,0)</f>
        <v>0</v>
      </c>
      <c r="J52" s="311">
        <f>IFERROR(H52*'Adjusted Schedule 1'!$E$104,0)</f>
        <v>0</v>
      </c>
      <c r="K52" s="68">
        <f t="shared" si="1"/>
        <v>0</v>
      </c>
      <c r="L52" s="311">
        <f t="shared" si="2"/>
        <v>0</v>
      </c>
      <c r="N52" s="117">
        <f>'As-Filed Schedule 2F'!J52</f>
        <v>0</v>
      </c>
      <c r="O52" s="314">
        <f>SUMIFS(Adjustments!$G:$G,Adjustments!$H:$H,"2F",Adjustments!$I:$I,'Schedule 2F Adjustments'!$N$12,Adjustments!$J:$J,'Schedule 2F Adjustments'!$A52)</f>
        <v>0</v>
      </c>
      <c r="P52" s="310">
        <f t="shared" si="3"/>
        <v>0</v>
      </c>
      <c r="Q52" s="68">
        <f>IFERROR(N52*'As-Filed Schedule 1'!$E$103,0)</f>
        <v>0</v>
      </c>
      <c r="R52" s="68">
        <f>IFERROR(P52*'Adjusted Schedule 1'!$E$104,0)</f>
        <v>0</v>
      </c>
      <c r="S52" s="68">
        <f t="shared" si="4"/>
        <v>0</v>
      </c>
      <c r="T52" s="311">
        <f t="shared" si="5"/>
        <v>0</v>
      </c>
      <c r="V52" s="120">
        <f>'As-Filed Schedule 2F'!N52</f>
        <v>0</v>
      </c>
      <c r="W52" s="314">
        <f>SUMIFS(Adjustments!$G:$G,Adjustments!$H:$H,"2F",Adjustments!$I:$I,'Schedule 2F Adjustments'!$V$12,Adjustments!$J:$J,'Schedule 2F Adjustments'!$A52)</f>
        <v>0</v>
      </c>
      <c r="X52" s="310">
        <f t="shared" si="6"/>
        <v>0</v>
      </c>
      <c r="Y52" s="120">
        <f>'As-Filed Schedule 2F'!O52</f>
        <v>0</v>
      </c>
      <c r="Z52" s="314">
        <f>SUMIFS(Adjustments!$G:$G,Adjustments!$H:$H,"2F",Adjustments!$I:$I,'Schedule 2F Adjustments'!$Y$12,Adjustments!$J:$J,'Schedule 2F Adjustments'!$A52)</f>
        <v>0</v>
      </c>
      <c r="AA52" s="310">
        <f t="shared" si="7"/>
        <v>0</v>
      </c>
    </row>
    <row r="53" spans="1:27" x14ac:dyDescent="0.35">
      <c r="A53" s="24">
        <v>39</v>
      </c>
      <c r="B53" s="513" t="str">
        <f>IF('As-Filed Schedule 2F'!B53:D53=0,"",'As-Filed Schedule 2F'!B53:D53)</f>
        <v/>
      </c>
      <c r="C53" s="513"/>
      <c r="D53" s="513"/>
      <c r="F53" s="117">
        <f>'As-Filed Schedule 2F'!F53</f>
        <v>0</v>
      </c>
      <c r="G53" s="314">
        <f>SUMIFS(Adjustments!$G:$G,Adjustments!$H:$H,"2F",Adjustments!$I:$I,'Schedule 2F Adjustments'!$F$12,Adjustments!$J:$J,'Schedule 2F Adjustments'!$A53)</f>
        <v>0</v>
      </c>
      <c r="H53" s="310">
        <f t="shared" si="0"/>
        <v>0</v>
      </c>
      <c r="I53" s="68">
        <f>IFERROR(F53*'As-Filed Schedule 1'!$E$103,0)</f>
        <v>0</v>
      </c>
      <c r="J53" s="311">
        <f>IFERROR(H53*'Adjusted Schedule 1'!$E$104,0)</f>
        <v>0</v>
      </c>
      <c r="K53" s="68">
        <f t="shared" si="1"/>
        <v>0</v>
      </c>
      <c r="L53" s="311">
        <f t="shared" si="2"/>
        <v>0</v>
      </c>
      <c r="N53" s="117">
        <f>'As-Filed Schedule 2F'!J53</f>
        <v>0</v>
      </c>
      <c r="O53" s="314">
        <f>SUMIFS(Adjustments!$G:$G,Adjustments!$H:$H,"2F",Adjustments!$I:$I,'Schedule 2F Adjustments'!$N$12,Adjustments!$J:$J,'Schedule 2F Adjustments'!$A53)</f>
        <v>0</v>
      </c>
      <c r="P53" s="310">
        <f t="shared" si="3"/>
        <v>0</v>
      </c>
      <c r="Q53" s="68">
        <f>IFERROR(N53*'As-Filed Schedule 1'!$E$103,0)</f>
        <v>0</v>
      </c>
      <c r="R53" s="68">
        <f>IFERROR(P53*'Adjusted Schedule 1'!$E$104,0)</f>
        <v>0</v>
      </c>
      <c r="S53" s="68">
        <f t="shared" si="4"/>
        <v>0</v>
      </c>
      <c r="T53" s="311">
        <f t="shared" si="5"/>
        <v>0</v>
      </c>
      <c r="V53" s="120">
        <f>'As-Filed Schedule 2F'!N53</f>
        <v>0</v>
      </c>
      <c r="W53" s="314">
        <f>SUMIFS(Adjustments!$G:$G,Adjustments!$H:$H,"2F",Adjustments!$I:$I,'Schedule 2F Adjustments'!$V$12,Adjustments!$J:$J,'Schedule 2F Adjustments'!$A53)</f>
        <v>0</v>
      </c>
      <c r="X53" s="310">
        <f t="shared" si="6"/>
        <v>0</v>
      </c>
      <c r="Y53" s="120">
        <f>'As-Filed Schedule 2F'!O53</f>
        <v>0</v>
      </c>
      <c r="Z53" s="314">
        <f>SUMIFS(Adjustments!$G:$G,Adjustments!$H:$H,"2F",Adjustments!$I:$I,'Schedule 2F Adjustments'!$Y$12,Adjustments!$J:$J,'Schedule 2F Adjustments'!$A53)</f>
        <v>0</v>
      </c>
      <c r="AA53" s="310">
        <f t="shared" si="7"/>
        <v>0</v>
      </c>
    </row>
    <row r="54" spans="1:27" x14ac:dyDescent="0.35">
      <c r="A54" s="24">
        <v>40</v>
      </c>
      <c r="B54" s="513" t="str">
        <f>IF('As-Filed Schedule 2F'!B54:D54=0,"",'As-Filed Schedule 2F'!B54:D54)</f>
        <v/>
      </c>
      <c r="C54" s="513"/>
      <c r="D54" s="513"/>
      <c r="F54" s="117">
        <f>'As-Filed Schedule 2F'!F54</f>
        <v>0</v>
      </c>
      <c r="G54" s="314">
        <f>SUMIFS(Adjustments!$G:$G,Adjustments!$H:$H,"2F",Adjustments!$I:$I,'Schedule 2F Adjustments'!$F$12,Adjustments!$J:$J,'Schedule 2F Adjustments'!$A54)</f>
        <v>0</v>
      </c>
      <c r="H54" s="310">
        <f t="shared" si="0"/>
        <v>0</v>
      </c>
      <c r="I54" s="68">
        <f>IFERROR(F54*'As-Filed Schedule 1'!$E$103,0)</f>
        <v>0</v>
      </c>
      <c r="J54" s="311">
        <f>IFERROR(H54*'Adjusted Schedule 1'!$E$104,0)</f>
        <v>0</v>
      </c>
      <c r="K54" s="68">
        <f t="shared" si="1"/>
        <v>0</v>
      </c>
      <c r="L54" s="311">
        <f t="shared" si="2"/>
        <v>0</v>
      </c>
      <c r="N54" s="117">
        <f>'As-Filed Schedule 2F'!J54</f>
        <v>0</v>
      </c>
      <c r="O54" s="314">
        <f>SUMIFS(Adjustments!$G:$G,Adjustments!$H:$H,"2F",Adjustments!$I:$I,'Schedule 2F Adjustments'!$N$12,Adjustments!$J:$J,'Schedule 2F Adjustments'!$A54)</f>
        <v>0</v>
      </c>
      <c r="P54" s="310">
        <f t="shared" si="3"/>
        <v>0</v>
      </c>
      <c r="Q54" s="68">
        <f>IFERROR(N54*'As-Filed Schedule 1'!$E$103,0)</f>
        <v>0</v>
      </c>
      <c r="R54" s="68">
        <f>IFERROR(P54*'Adjusted Schedule 1'!$E$104,0)</f>
        <v>0</v>
      </c>
      <c r="S54" s="68">
        <f t="shared" si="4"/>
        <v>0</v>
      </c>
      <c r="T54" s="311">
        <f t="shared" si="5"/>
        <v>0</v>
      </c>
      <c r="V54" s="120">
        <f>'As-Filed Schedule 2F'!N54</f>
        <v>0</v>
      </c>
      <c r="W54" s="314">
        <f>SUMIFS(Adjustments!$G:$G,Adjustments!$H:$H,"2F",Adjustments!$I:$I,'Schedule 2F Adjustments'!$V$12,Adjustments!$J:$J,'Schedule 2F Adjustments'!$A54)</f>
        <v>0</v>
      </c>
      <c r="X54" s="310">
        <f t="shared" si="6"/>
        <v>0</v>
      </c>
      <c r="Y54" s="120">
        <f>'As-Filed Schedule 2F'!O54</f>
        <v>0</v>
      </c>
      <c r="Z54" s="314">
        <f>SUMIFS(Adjustments!$G:$G,Adjustments!$H:$H,"2F",Adjustments!$I:$I,'Schedule 2F Adjustments'!$Y$12,Adjustments!$J:$J,'Schedule 2F Adjustments'!$A54)</f>
        <v>0</v>
      </c>
      <c r="AA54" s="310">
        <f t="shared" si="7"/>
        <v>0</v>
      </c>
    </row>
    <row r="55" spans="1:27" x14ac:dyDescent="0.35">
      <c r="A55" s="24">
        <v>41</v>
      </c>
      <c r="B55" s="513" t="str">
        <f>IF('As-Filed Schedule 2F'!B55:D55=0,"",'As-Filed Schedule 2F'!B55:D55)</f>
        <v/>
      </c>
      <c r="C55" s="513"/>
      <c r="D55" s="513"/>
      <c r="F55" s="117">
        <f>'As-Filed Schedule 2F'!F55</f>
        <v>0</v>
      </c>
      <c r="G55" s="314">
        <f>SUMIFS(Adjustments!$G:$G,Adjustments!$H:$H,"2F",Adjustments!$I:$I,'Schedule 2F Adjustments'!$F$12,Adjustments!$J:$J,'Schedule 2F Adjustments'!$A55)</f>
        <v>0</v>
      </c>
      <c r="H55" s="310">
        <f t="shared" si="0"/>
        <v>0</v>
      </c>
      <c r="I55" s="68">
        <f>IFERROR(F55*'As-Filed Schedule 1'!$E$103,0)</f>
        <v>0</v>
      </c>
      <c r="J55" s="311">
        <f>IFERROR(H55*'Adjusted Schedule 1'!$E$104,0)</f>
        <v>0</v>
      </c>
      <c r="K55" s="68">
        <f t="shared" si="1"/>
        <v>0</v>
      </c>
      <c r="L55" s="311">
        <f t="shared" si="2"/>
        <v>0</v>
      </c>
      <c r="N55" s="117">
        <f>'As-Filed Schedule 2F'!J55</f>
        <v>0</v>
      </c>
      <c r="O55" s="314">
        <f>SUMIFS(Adjustments!$G:$G,Adjustments!$H:$H,"2F",Adjustments!$I:$I,'Schedule 2F Adjustments'!$N$12,Adjustments!$J:$J,'Schedule 2F Adjustments'!$A55)</f>
        <v>0</v>
      </c>
      <c r="P55" s="310">
        <f t="shared" si="3"/>
        <v>0</v>
      </c>
      <c r="Q55" s="68">
        <f>IFERROR(N55*'As-Filed Schedule 1'!$E$103,0)</f>
        <v>0</v>
      </c>
      <c r="R55" s="68">
        <f>IFERROR(P55*'Adjusted Schedule 1'!$E$104,0)</f>
        <v>0</v>
      </c>
      <c r="S55" s="68">
        <f t="shared" si="4"/>
        <v>0</v>
      </c>
      <c r="T55" s="311">
        <f t="shared" si="5"/>
        <v>0</v>
      </c>
      <c r="V55" s="120">
        <f>'As-Filed Schedule 2F'!N55</f>
        <v>0</v>
      </c>
      <c r="W55" s="314">
        <f>SUMIFS(Adjustments!$G:$G,Adjustments!$H:$H,"2F",Adjustments!$I:$I,'Schedule 2F Adjustments'!$V$12,Adjustments!$J:$J,'Schedule 2F Adjustments'!$A55)</f>
        <v>0</v>
      </c>
      <c r="X55" s="310">
        <f t="shared" si="6"/>
        <v>0</v>
      </c>
      <c r="Y55" s="120">
        <f>'As-Filed Schedule 2F'!O55</f>
        <v>0</v>
      </c>
      <c r="Z55" s="314">
        <f>SUMIFS(Adjustments!$G:$G,Adjustments!$H:$H,"2F",Adjustments!$I:$I,'Schedule 2F Adjustments'!$Y$12,Adjustments!$J:$J,'Schedule 2F Adjustments'!$A55)</f>
        <v>0</v>
      </c>
      <c r="AA55" s="310">
        <f t="shared" si="7"/>
        <v>0</v>
      </c>
    </row>
    <row r="56" spans="1:27" x14ac:dyDescent="0.35">
      <c r="A56" s="24">
        <v>42</v>
      </c>
      <c r="B56" s="513" t="str">
        <f>IF('As-Filed Schedule 2F'!B56:D56=0,"",'As-Filed Schedule 2F'!B56:D56)</f>
        <v/>
      </c>
      <c r="C56" s="513"/>
      <c r="D56" s="513"/>
      <c r="F56" s="117">
        <f>'As-Filed Schedule 2F'!F56</f>
        <v>0</v>
      </c>
      <c r="G56" s="314">
        <f>SUMIFS(Adjustments!$G:$G,Adjustments!$H:$H,"2F",Adjustments!$I:$I,'Schedule 2F Adjustments'!$F$12,Adjustments!$J:$J,'Schedule 2F Adjustments'!$A56)</f>
        <v>0</v>
      </c>
      <c r="H56" s="310">
        <f t="shared" si="0"/>
        <v>0</v>
      </c>
      <c r="I56" s="68">
        <f>IFERROR(F56*'As-Filed Schedule 1'!$E$103,0)</f>
        <v>0</v>
      </c>
      <c r="J56" s="311">
        <f>IFERROR(H56*'Adjusted Schedule 1'!$E$104,0)</f>
        <v>0</v>
      </c>
      <c r="K56" s="68">
        <f t="shared" si="1"/>
        <v>0</v>
      </c>
      <c r="L56" s="311">
        <f t="shared" si="2"/>
        <v>0</v>
      </c>
      <c r="N56" s="117">
        <f>'As-Filed Schedule 2F'!J56</f>
        <v>0</v>
      </c>
      <c r="O56" s="314">
        <f>SUMIFS(Adjustments!$G:$G,Adjustments!$H:$H,"2F",Adjustments!$I:$I,'Schedule 2F Adjustments'!$N$12,Adjustments!$J:$J,'Schedule 2F Adjustments'!$A56)</f>
        <v>0</v>
      </c>
      <c r="P56" s="310">
        <f t="shared" si="3"/>
        <v>0</v>
      </c>
      <c r="Q56" s="68">
        <f>IFERROR(N56*'As-Filed Schedule 1'!$E$103,0)</f>
        <v>0</v>
      </c>
      <c r="R56" s="68">
        <f>IFERROR(P56*'Adjusted Schedule 1'!$E$104,0)</f>
        <v>0</v>
      </c>
      <c r="S56" s="68">
        <f t="shared" si="4"/>
        <v>0</v>
      </c>
      <c r="T56" s="311">
        <f t="shared" si="5"/>
        <v>0</v>
      </c>
      <c r="V56" s="120">
        <f>'As-Filed Schedule 2F'!N56</f>
        <v>0</v>
      </c>
      <c r="W56" s="314">
        <f>SUMIFS(Adjustments!$G:$G,Adjustments!$H:$H,"2F",Adjustments!$I:$I,'Schedule 2F Adjustments'!$V$12,Adjustments!$J:$J,'Schedule 2F Adjustments'!$A56)</f>
        <v>0</v>
      </c>
      <c r="X56" s="310">
        <f t="shared" si="6"/>
        <v>0</v>
      </c>
      <c r="Y56" s="120">
        <f>'As-Filed Schedule 2F'!O56</f>
        <v>0</v>
      </c>
      <c r="Z56" s="314">
        <f>SUMIFS(Adjustments!$G:$G,Adjustments!$H:$H,"2F",Adjustments!$I:$I,'Schedule 2F Adjustments'!$Y$12,Adjustments!$J:$J,'Schedule 2F Adjustments'!$A56)</f>
        <v>0</v>
      </c>
      <c r="AA56" s="310">
        <f t="shared" si="7"/>
        <v>0</v>
      </c>
    </row>
    <row r="57" spans="1:27" x14ac:dyDescent="0.35">
      <c r="A57" s="24">
        <v>43</v>
      </c>
      <c r="B57" s="513" t="str">
        <f>IF('As-Filed Schedule 2F'!B57:D57=0,"",'As-Filed Schedule 2F'!B57:D57)</f>
        <v/>
      </c>
      <c r="C57" s="513"/>
      <c r="D57" s="513"/>
      <c r="F57" s="117">
        <f>'As-Filed Schedule 2F'!F57</f>
        <v>0</v>
      </c>
      <c r="G57" s="314">
        <f>SUMIFS(Adjustments!$G:$G,Adjustments!$H:$H,"2F",Adjustments!$I:$I,'Schedule 2F Adjustments'!$F$12,Adjustments!$J:$J,'Schedule 2F Adjustments'!$A57)</f>
        <v>0</v>
      </c>
      <c r="H57" s="310">
        <f t="shared" si="0"/>
        <v>0</v>
      </c>
      <c r="I57" s="68">
        <f>IFERROR(F57*'As-Filed Schedule 1'!$E$103,0)</f>
        <v>0</v>
      </c>
      <c r="J57" s="311">
        <f>IFERROR(H57*'Adjusted Schedule 1'!$E$104,0)</f>
        <v>0</v>
      </c>
      <c r="K57" s="68">
        <f t="shared" si="1"/>
        <v>0</v>
      </c>
      <c r="L57" s="311">
        <f t="shared" si="2"/>
        <v>0</v>
      </c>
      <c r="N57" s="117">
        <f>'As-Filed Schedule 2F'!J57</f>
        <v>0</v>
      </c>
      <c r="O57" s="314">
        <f>SUMIFS(Adjustments!$G:$G,Adjustments!$H:$H,"2F",Adjustments!$I:$I,'Schedule 2F Adjustments'!$N$12,Adjustments!$J:$J,'Schedule 2F Adjustments'!$A57)</f>
        <v>0</v>
      </c>
      <c r="P57" s="310">
        <f t="shared" si="3"/>
        <v>0</v>
      </c>
      <c r="Q57" s="68">
        <f>IFERROR(N57*'As-Filed Schedule 1'!$E$103,0)</f>
        <v>0</v>
      </c>
      <c r="R57" s="68">
        <f>IFERROR(P57*'Adjusted Schedule 1'!$E$104,0)</f>
        <v>0</v>
      </c>
      <c r="S57" s="68">
        <f t="shared" si="4"/>
        <v>0</v>
      </c>
      <c r="T57" s="311">
        <f t="shared" si="5"/>
        <v>0</v>
      </c>
      <c r="V57" s="120">
        <f>'As-Filed Schedule 2F'!N57</f>
        <v>0</v>
      </c>
      <c r="W57" s="314">
        <f>SUMIFS(Adjustments!$G:$G,Adjustments!$H:$H,"2F",Adjustments!$I:$I,'Schedule 2F Adjustments'!$V$12,Adjustments!$J:$J,'Schedule 2F Adjustments'!$A57)</f>
        <v>0</v>
      </c>
      <c r="X57" s="310">
        <f t="shared" si="6"/>
        <v>0</v>
      </c>
      <c r="Y57" s="120">
        <f>'As-Filed Schedule 2F'!O57</f>
        <v>0</v>
      </c>
      <c r="Z57" s="314">
        <f>SUMIFS(Adjustments!$G:$G,Adjustments!$H:$H,"2F",Adjustments!$I:$I,'Schedule 2F Adjustments'!$Y$12,Adjustments!$J:$J,'Schedule 2F Adjustments'!$A57)</f>
        <v>0</v>
      </c>
      <c r="AA57" s="310">
        <f t="shared" si="7"/>
        <v>0</v>
      </c>
    </row>
    <row r="58" spans="1:27" x14ac:dyDescent="0.35">
      <c r="A58" s="24">
        <v>44</v>
      </c>
      <c r="B58" s="513" t="str">
        <f>IF('As-Filed Schedule 2F'!B58:D58=0,"",'As-Filed Schedule 2F'!B58:D58)</f>
        <v/>
      </c>
      <c r="C58" s="513"/>
      <c r="D58" s="513"/>
      <c r="F58" s="117">
        <f>'As-Filed Schedule 2F'!F58</f>
        <v>0</v>
      </c>
      <c r="G58" s="314">
        <f>SUMIFS(Adjustments!$G:$G,Adjustments!$H:$H,"2F",Adjustments!$I:$I,'Schedule 2F Adjustments'!$F$12,Adjustments!$J:$J,'Schedule 2F Adjustments'!$A58)</f>
        <v>0</v>
      </c>
      <c r="H58" s="310">
        <f t="shared" si="0"/>
        <v>0</v>
      </c>
      <c r="I58" s="68">
        <f>IFERROR(F58*'As-Filed Schedule 1'!$E$103,0)</f>
        <v>0</v>
      </c>
      <c r="J58" s="311">
        <f>IFERROR(H58*'Adjusted Schedule 1'!$E$104,0)</f>
        <v>0</v>
      </c>
      <c r="K58" s="68">
        <f t="shared" si="1"/>
        <v>0</v>
      </c>
      <c r="L58" s="311">
        <f t="shared" si="2"/>
        <v>0</v>
      </c>
      <c r="N58" s="117">
        <f>'As-Filed Schedule 2F'!J58</f>
        <v>0</v>
      </c>
      <c r="O58" s="314">
        <f>SUMIFS(Adjustments!$G:$G,Adjustments!$H:$H,"2F",Adjustments!$I:$I,'Schedule 2F Adjustments'!$N$12,Adjustments!$J:$J,'Schedule 2F Adjustments'!$A58)</f>
        <v>0</v>
      </c>
      <c r="P58" s="310">
        <f t="shared" si="3"/>
        <v>0</v>
      </c>
      <c r="Q58" s="68">
        <f>IFERROR(N58*'As-Filed Schedule 1'!$E$103,0)</f>
        <v>0</v>
      </c>
      <c r="R58" s="68">
        <f>IFERROR(P58*'Adjusted Schedule 1'!$E$104,0)</f>
        <v>0</v>
      </c>
      <c r="S58" s="68">
        <f t="shared" si="4"/>
        <v>0</v>
      </c>
      <c r="T58" s="311">
        <f t="shared" si="5"/>
        <v>0</v>
      </c>
      <c r="V58" s="120">
        <f>'As-Filed Schedule 2F'!N58</f>
        <v>0</v>
      </c>
      <c r="W58" s="314">
        <f>SUMIFS(Adjustments!$G:$G,Adjustments!$H:$H,"2F",Adjustments!$I:$I,'Schedule 2F Adjustments'!$V$12,Adjustments!$J:$J,'Schedule 2F Adjustments'!$A58)</f>
        <v>0</v>
      </c>
      <c r="X58" s="310">
        <f t="shared" si="6"/>
        <v>0</v>
      </c>
      <c r="Y58" s="120">
        <f>'As-Filed Schedule 2F'!O58</f>
        <v>0</v>
      </c>
      <c r="Z58" s="314">
        <f>SUMIFS(Adjustments!$G:$G,Adjustments!$H:$H,"2F",Adjustments!$I:$I,'Schedule 2F Adjustments'!$Y$12,Adjustments!$J:$J,'Schedule 2F Adjustments'!$A58)</f>
        <v>0</v>
      </c>
      <c r="AA58" s="310">
        <f t="shared" si="7"/>
        <v>0</v>
      </c>
    </row>
    <row r="59" spans="1:27" x14ac:dyDescent="0.35">
      <c r="A59" s="24">
        <v>45</v>
      </c>
      <c r="B59" s="513" t="str">
        <f>IF('As-Filed Schedule 2F'!B59:D59=0,"",'As-Filed Schedule 2F'!B59:D59)</f>
        <v/>
      </c>
      <c r="C59" s="513"/>
      <c r="D59" s="513"/>
      <c r="F59" s="117">
        <f>'As-Filed Schedule 2F'!F59</f>
        <v>0</v>
      </c>
      <c r="G59" s="314">
        <f>SUMIFS(Adjustments!$G:$G,Adjustments!$H:$H,"2F",Adjustments!$I:$I,'Schedule 2F Adjustments'!$F$12,Adjustments!$J:$J,'Schedule 2F Adjustments'!$A59)</f>
        <v>0</v>
      </c>
      <c r="H59" s="310">
        <f t="shared" si="0"/>
        <v>0</v>
      </c>
      <c r="I59" s="68">
        <f>IFERROR(F59*'As-Filed Schedule 1'!$E$103,0)</f>
        <v>0</v>
      </c>
      <c r="J59" s="311">
        <f>IFERROR(H59*'Adjusted Schedule 1'!$E$104,0)</f>
        <v>0</v>
      </c>
      <c r="K59" s="68">
        <f t="shared" si="1"/>
        <v>0</v>
      </c>
      <c r="L59" s="311">
        <f t="shared" si="2"/>
        <v>0</v>
      </c>
      <c r="N59" s="117">
        <f>'As-Filed Schedule 2F'!J59</f>
        <v>0</v>
      </c>
      <c r="O59" s="314">
        <f>SUMIFS(Adjustments!$G:$G,Adjustments!$H:$H,"2F",Adjustments!$I:$I,'Schedule 2F Adjustments'!$N$12,Adjustments!$J:$J,'Schedule 2F Adjustments'!$A59)</f>
        <v>0</v>
      </c>
      <c r="P59" s="310">
        <f t="shared" si="3"/>
        <v>0</v>
      </c>
      <c r="Q59" s="68">
        <f>IFERROR(N59*'As-Filed Schedule 1'!$E$103,0)</f>
        <v>0</v>
      </c>
      <c r="R59" s="68">
        <f>IFERROR(P59*'Adjusted Schedule 1'!$E$104,0)</f>
        <v>0</v>
      </c>
      <c r="S59" s="68">
        <f t="shared" si="4"/>
        <v>0</v>
      </c>
      <c r="T59" s="311">
        <f t="shared" si="5"/>
        <v>0</v>
      </c>
      <c r="V59" s="120">
        <f>'As-Filed Schedule 2F'!N59</f>
        <v>0</v>
      </c>
      <c r="W59" s="314">
        <f>SUMIFS(Adjustments!$G:$G,Adjustments!$H:$H,"2F",Adjustments!$I:$I,'Schedule 2F Adjustments'!$V$12,Adjustments!$J:$J,'Schedule 2F Adjustments'!$A59)</f>
        <v>0</v>
      </c>
      <c r="X59" s="310">
        <f t="shared" si="6"/>
        <v>0</v>
      </c>
      <c r="Y59" s="120">
        <f>'As-Filed Schedule 2F'!O59</f>
        <v>0</v>
      </c>
      <c r="Z59" s="314">
        <f>SUMIFS(Adjustments!$G:$G,Adjustments!$H:$H,"2F",Adjustments!$I:$I,'Schedule 2F Adjustments'!$Y$12,Adjustments!$J:$J,'Schedule 2F Adjustments'!$A59)</f>
        <v>0</v>
      </c>
      <c r="AA59" s="310">
        <f t="shared" si="7"/>
        <v>0</v>
      </c>
    </row>
    <row r="60" spans="1:27" x14ac:dyDescent="0.35">
      <c r="A60" s="24">
        <v>46</v>
      </c>
      <c r="B60" s="513" t="str">
        <f>IF('As-Filed Schedule 2F'!B60:D60=0,"",'As-Filed Schedule 2F'!B60:D60)</f>
        <v/>
      </c>
      <c r="C60" s="513"/>
      <c r="D60" s="513"/>
      <c r="F60" s="117">
        <f>'As-Filed Schedule 2F'!F60</f>
        <v>0</v>
      </c>
      <c r="G60" s="314">
        <f>SUMIFS(Adjustments!$G:$G,Adjustments!$H:$H,"2F",Adjustments!$I:$I,'Schedule 2F Adjustments'!$F$12,Adjustments!$J:$J,'Schedule 2F Adjustments'!$A60)</f>
        <v>0</v>
      </c>
      <c r="H60" s="310">
        <f t="shared" si="0"/>
        <v>0</v>
      </c>
      <c r="I60" s="68">
        <f>IFERROR(F60*'As-Filed Schedule 1'!$E$103,0)</f>
        <v>0</v>
      </c>
      <c r="J60" s="311">
        <f>IFERROR(H60*'Adjusted Schedule 1'!$E$104,0)</f>
        <v>0</v>
      </c>
      <c r="K60" s="68">
        <f t="shared" si="1"/>
        <v>0</v>
      </c>
      <c r="L60" s="311">
        <f t="shared" si="2"/>
        <v>0</v>
      </c>
      <c r="N60" s="117">
        <f>'As-Filed Schedule 2F'!J60</f>
        <v>0</v>
      </c>
      <c r="O60" s="314">
        <f>SUMIFS(Adjustments!$G:$G,Adjustments!$H:$H,"2F",Adjustments!$I:$I,'Schedule 2F Adjustments'!$N$12,Adjustments!$J:$J,'Schedule 2F Adjustments'!$A60)</f>
        <v>0</v>
      </c>
      <c r="P60" s="310">
        <f t="shared" si="3"/>
        <v>0</v>
      </c>
      <c r="Q60" s="68">
        <f>IFERROR(N60*'As-Filed Schedule 1'!$E$103,0)</f>
        <v>0</v>
      </c>
      <c r="R60" s="68">
        <f>IFERROR(P60*'Adjusted Schedule 1'!$E$104,0)</f>
        <v>0</v>
      </c>
      <c r="S60" s="68">
        <f t="shared" si="4"/>
        <v>0</v>
      </c>
      <c r="T60" s="311">
        <f t="shared" si="5"/>
        <v>0</v>
      </c>
      <c r="V60" s="120">
        <f>'As-Filed Schedule 2F'!N60</f>
        <v>0</v>
      </c>
      <c r="W60" s="314">
        <f>SUMIFS(Adjustments!$G:$G,Adjustments!$H:$H,"2F",Adjustments!$I:$I,'Schedule 2F Adjustments'!$V$12,Adjustments!$J:$J,'Schedule 2F Adjustments'!$A60)</f>
        <v>0</v>
      </c>
      <c r="X60" s="310">
        <f t="shared" si="6"/>
        <v>0</v>
      </c>
      <c r="Y60" s="120">
        <f>'As-Filed Schedule 2F'!O60</f>
        <v>0</v>
      </c>
      <c r="Z60" s="314">
        <f>SUMIFS(Adjustments!$G:$G,Adjustments!$H:$H,"2F",Adjustments!$I:$I,'Schedule 2F Adjustments'!$Y$12,Adjustments!$J:$J,'Schedule 2F Adjustments'!$A60)</f>
        <v>0</v>
      </c>
      <c r="AA60" s="310">
        <f t="shared" si="7"/>
        <v>0</v>
      </c>
    </row>
    <row r="61" spans="1:27" x14ac:dyDescent="0.35">
      <c r="A61" s="24">
        <v>47</v>
      </c>
      <c r="B61" s="513" t="str">
        <f>IF('As-Filed Schedule 2F'!B61:D61=0,"",'As-Filed Schedule 2F'!B61:D61)</f>
        <v/>
      </c>
      <c r="C61" s="513"/>
      <c r="D61" s="513"/>
      <c r="F61" s="117">
        <f>'As-Filed Schedule 2F'!F61</f>
        <v>0</v>
      </c>
      <c r="G61" s="314">
        <f>SUMIFS(Adjustments!$G:$G,Adjustments!$H:$H,"2F",Adjustments!$I:$I,'Schedule 2F Adjustments'!$F$12,Adjustments!$J:$J,'Schedule 2F Adjustments'!$A61)</f>
        <v>0</v>
      </c>
      <c r="H61" s="310">
        <f t="shared" si="0"/>
        <v>0</v>
      </c>
      <c r="I61" s="68">
        <f>IFERROR(F61*'As-Filed Schedule 1'!$E$103,0)</f>
        <v>0</v>
      </c>
      <c r="J61" s="311">
        <f>IFERROR(H61*'Adjusted Schedule 1'!$E$104,0)</f>
        <v>0</v>
      </c>
      <c r="K61" s="68">
        <f t="shared" si="1"/>
        <v>0</v>
      </c>
      <c r="L61" s="311">
        <f t="shared" si="2"/>
        <v>0</v>
      </c>
      <c r="N61" s="117">
        <f>'As-Filed Schedule 2F'!J61</f>
        <v>0</v>
      </c>
      <c r="O61" s="314">
        <f>SUMIFS(Adjustments!$G:$G,Adjustments!$H:$H,"2F",Adjustments!$I:$I,'Schedule 2F Adjustments'!$N$12,Adjustments!$J:$J,'Schedule 2F Adjustments'!$A61)</f>
        <v>0</v>
      </c>
      <c r="P61" s="310">
        <f t="shared" si="3"/>
        <v>0</v>
      </c>
      <c r="Q61" s="68">
        <f>IFERROR(N61*'As-Filed Schedule 1'!$E$103,0)</f>
        <v>0</v>
      </c>
      <c r="R61" s="68">
        <f>IFERROR(P61*'Adjusted Schedule 1'!$E$104,0)</f>
        <v>0</v>
      </c>
      <c r="S61" s="68">
        <f t="shared" si="4"/>
        <v>0</v>
      </c>
      <c r="T61" s="311">
        <f t="shared" si="5"/>
        <v>0</v>
      </c>
      <c r="V61" s="120">
        <f>'As-Filed Schedule 2F'!N61</f>
        <v>0</v>
      </c>
      <c r="W61" s="314">
        <f>SUMIFS(Adjustments!$G:$G,Adjustments!$H:$H,"2F",Adjustments!$I:$I,'Schedule 2F Adjustments'!$V$12,Adjustments!$J:$J,'Schedule 2F Adjustments'!$A61)</f>
        <v>0</v>
      </c>
      <c r="X61" s="310">
        <f t="shared" si="6"/>
        <v>0</v>
      </c>
      <c r="Y61" s="120">
        <f>'As-Filed Schedule 2F'!O61</f>
        <v>0</v>
      </c>
      <c r="Z61" s="314">
        <f>SUMIFS(Adjustments!$G:$G,Adjustments!$H:$H,"2F",Adjustments!$I:$I,'Schedule 2F Adjustments'!$Y$12,Adjustments!$J:$J,'Schedule 2F Adjustments'!$A61)</f>
        <v>0</v>
      </c>
      <c r="AA61" s="310">
        <f t="shared" si="7"/>
        <v>0</v>
      </c>
    </row>
    <row r="62" spans="1:27" x14ac:dyDescent="0.35">
      <c r="A62" s="24">
        <v>48</v>
      </c>
      <c r="B62" s="513" t="str">
        <f>IF('As-Filed Schedule 2F'!B62:D62=0,"",'As-Filed Schedule 2F'!B62:D62)</f>
        <v/>
      </c>
      <c r="C62" s="513"/>
      <c r="D62" s="513"/>
      <c r="F62" s="117">
        <f>'As-Filed Schedule 2F'!F62</f>
        <v>0</v>
      </c>
      <c r="G62" s="314">
        <f>SUMIFS(Adjustments!$G:$G,Adjustments!$H:$H,"2F",Adjustments!$I:$I,'Schedule 2F Adjustments'!$F$12,Adjustments!$J:$J,'Schedule 2F Adjustments'!$A62)</f>
        <v>0</v>
      </c>
      <c r="H62" s="310">
        <f t="shared" si="0"/>
        <v>0</v>
      </c>
      <c r="I62" s="68">
        <f>IFERROR(F62*'As-Filed Schedule 1'!$E$103,0)</f>
        <v>0</v>
      </c>
      <c r="J62" s="311">
        <f>IFERROR(H62*'Adjusted Schedule 1'!$E$104,0)</f>
        <v>0</v>
      </c>
      <c r="K62" s="68">
        <f t="shared" si="1"/>
        <v>0</v>
      </c>
      <c r="L62" s="311">
        <f t="shared" si="2"/>
        <v>0</v>
      </c>
      <c r="N62" s="117">
        <f>'As-Filed Schedule 2F'!J62</f>
        <v>0</v>
      </c>
      <c r="O62" s="314">
        <f>SUMIFS(Adjustments!$G:$G,Adjustments!$H:$H,"2F",Adjustments!$I:$I,'Schedule 2F Adjustments'!$N$12,Adjustments!$J:$J,'Schedule 2F Adjustments'!$A62)</f>
        <v>0</v>
      </c>
      <c r="P62" s="310">
        <f t="shared" si="3"/>
        <v>0</v>
      </c>
      <c r="Q62" s="68">
        <f>IFERROR(N62*'As-Filed Schedule 1'!$E$103,0)</f>
        <v>0</v>
      </c>
      <c r="R62" s="68">
        <f>IFERROR(P62*'Adjusted Schedule 1'!$E$104,0)</f>
        <v>0</v>
      </c>
      <c r="S62" s="68">
        <f t="shared" si="4"/>
        <v>0</v>
      </c>
      <c r="T62" s="311">
        <f t="shared" si="5"/>
        <v>0</v>
      </c>
      <c r="V62" s="120">
        <f>'As-Filed Schedule 2F'!N62</f>
        <v>0</v>
      </c>
      <c r="W62" s="314">
        <f>SUMIFS(Adjustments!$G:$G,Adjustments!$H:$H,"2F",Adjustments!$I:$I,'Schedule 2F Adjustments'!$V$12,Adjustments!$J:$J,'Schedule 2F Adjustments'!$A62)</f>
        <v>0</v>
      </c>
      <c r="X62" s="310">
        <f t="shared" si="6"/>
        <v>0</v>
      </c>
      <c r="Y62" s="120">
        <f>'As-Filed Schedule 2F'!O62</f>
        <v>0</v>
      </c>
      <c r="Z62" s="314">
        <f>SUMIFS(Adjustments!$G:$G,Adjustments!$H:$H,"2F",Adjustments!$I:$I,'Schedule 2F Adjustments'!$Y$12,Adjustments!$J:$J,'Schedule 2F Adjustments'!$A62)</f>
        <v>0</v>
      </c>
      <c r="AA62" s="310">
        <f t="shared" si="7"/>
        <v>0</v>
      </c>
    </row>
    <row r="63" spans="1:27" x14ac:dyDescent="0.35">
      <c r="A63" s="24">
        <v>49</v>
      </c>
      <c r="B63" s="513" t="str">
        <f>IF('As-Filed Schedule 2F'!B63:D63=0,"",'As-Filed Schedule 2F'!B63:D63)</f>
        <v/>
      </c>
      <c r="C63" s="513"/>
      <c r="D63" s="513"/>
      <c r="F63" s="117">
        <f>'As-Filed Schedule 2F'!F63</f>
        <v>0</v>
      </c>
      <c r="G63" s="314">
        <f>SUMIFS(Adjustments!$G:$G,Adjustments!$H:$H,"2F",Adjustments!$I:$I,'Schedule 2F Adjustments'!$F$12,Adjustments!$J:$J,'Schedule 2F Adjustments'!$A63)</f>
        <v>0</v>
      </c>
      <c r="H63" s="310">
        <f t="shared" si="0"/>
        <v>0</v>
      </c>
      <c r="I63" s="68">
        <f>IFERROR(F63*'As-Filed Schedule 1'!$E$103,0)</f>
        <v>0</v>
      </c>
      <c r="J63" s="311">
        <f>IFERROR(H63*'Adjusted Schedule 1'!$E$104,0)</f>
        <v>0</v>
      </c>
      <c r="K63" s="68">
        <f t="shared" si="1"/>
        <v>0</v>
      </c>
      <c r="L63" s="311">
        <f t="shared" si="2"/>
        <v>0</v>
      </c>
      <c r="N63" s="117">
        <f>'As-Filed Schedule 2F'!J63</f>
        <v>0</v>
      </c>
      <c r="O63" s="314">
        <f>SUMIFS(Adjustments!$G:$G,Adjustments!$H:$H,"2F",Adjustments!$I:$I,'Schedule 2F Adjustments'!$N$12,Adjustments!$J:$J,'Schedule 2F Adjustments'!$A63)</f>
        <v>0</v>
      </c>
      <c r="P63" s="310">
        <f t="shared" si="3"/>
        <v>0</v>
      </c>
      <c r="Q63" s="68">
        <f>IFERROR(N63*'As-Filed Schedule 1'!$E$103,0)</f>
        <v>0</v>
      </c>
      <c r="R63" s="68">
        <f>IFERROR(P63*'Adjusted Schedule 1'!$E$104,0)</f>
        <v>0</v>
      </c>
      <c r="S63" s="68">
        <f t="shared" si="4"/>
        <v>0</v>
      </c>
      <c r="T63" s="311">
        <f t="shared" si="5"/>
        <v>0</v>
      </c>
      <c r="V63" s="120">
        <f>'As-Filed Schedule 2F'!N63</f>
        <v>0</v>
      </c>
      <c r="W63" s="314">
        <f>SUMIFS(Adjustments!$G:$G,Adjustments!$H:$H,"2F",Adjustments!$I:$I,'Schedule 2F Adjustments'!$V$12,Adjustments!$J:$J,'Schedule 2F Adjustments'!$A63)</f>
        <v>0</v>
      </c>
      <c r="X63" s="310">
        <f t="shared" si="6"/>
        <v>0</v>
      </c>
      <c r="Y63" s="120">
        <f>'As-Filed Schedule 2F'!O63</f>
        <v>0</v>
      </c>
      <c r="Z63" s="314">
        <f>SUMIFS(Adjustments!$G:$G,Adjustments!$H:$H,"2F",Adjustments!$I:$I,'Schedule 2F Adjustments'!$Y$12,Adjustments!$J:$J,'Schedule 2F Adjustments'!$A63)</f>
        <v>0</v>
      </c>
      <c r="AA63" s="310">
        <f t="shared" si="7"/>
        <v>0</v>
      </c>
    </row>
    <row r="64" spans="1:27" x14ac:dyDescent="0.35">
      <c r="A64" s="24">
        <v>50</v>
      </c>
      <c r="B64" s="513" t="str">
        <f>IF('As-Filed Schedule 2F'!B64:D64=0,"",'As-Filed Schedule 2F'!B64:D64)</f>
        <v/>
      </c>
      <c r="C64" s="513"/>
      <c r="D64" s="513"/>
      <c r="F64" s="117">
        <f>'As-Filed Schedule 2F'!F64</f>
        <v>0</v>
      </c>
      <c r="G64" s="314">
        <f>SUMIFS(Adjustments!$G:$G,Adjustments!$H:$H,"2F",Adjustments!$I:$I,'Schedule 2F Adjustments'!$F$12,Adjustments!$J:$J,'Schedule 2F Adjustments'!$A64)</f>
        <v>0</v>
      </c>
      <c r="H64" s="310">
        <f t="shared" si="0"/>
        <v>0</v>
      </c>
      <c r="I64" s="68">
        <f>IFERROR(F64*'As-Filed Schedule 1'!$E$103,0)</f>
        <v>0</v>
      </c>
      <c r="J64" s="311">
        <f>IFERROR(H64*'Adjusted Schedule 1'!$E$104,0)</f>
        <v>0</v>
      </c>
      <c r="K64" s="68">
        <f t="shared" si="1"/>
        <v>0</v>
      </c>
      <c r="L64" s="311">
        <f t="shared" si="2"/>
        <v>0</v>
      </c>
      <c r="N64" s="117">
        <f>'As-Filed Schedule 2F'!J64</f>
        <v>0</v>
      </c>
      <c r="O64" s="314">
        <f>SUMIFS(Adjustments!$G:$G,Adjustments!$H:$H,"2F",Adjustments!$I:$I,'Schedule 2F Adjustments'!$N$12,Adjustments!$J:$J,'Schedule 2F Adjustments'!$A64)</f>
        <v>0</v>
      </c>
      <c r="P64" s="310">
        <f t="shared" si="3"/>
        <v>0</v>
      </c>
      <c r="Q64" s="68">
        <f>IFERROR(N64*'As-Filed Schedule 1'!$E$103,0)</f>
        <v>0</v>
      </c>
      <c r="R64" s="68">
        <f>IFERROR(P64*'Adjusted Schedule 1'!$E$104,0)</f>
        <v>0</v>
      </c>
      <c r="S64" s="68">
        <f t="shared" si="4"/>
        <v>0</v>
      </c>
      <c r="T64" s="311">
        <f t="shared" si="5"/>
        <v>0</v>
      </c>
      <c r="V64" s="120">
        <f>'As-Filed Schedule 2F'!N64</f>
        <v>0</v>
      </c>
      <c r="W64" s="314">
        <f>SUMIFS(Adjustments!$G:$G,Adjustments!$H:$H,"2F",Adjustments!$I:$I,'Schedule 2F Adjustments'!$V$12,Adjustments!$J:$J,'Schedule 2F Adjustments'!$A64)</f>
        <v>0</v>
      </c>
      <c r="X64" s="310">
        <f t="shared" si="6"/>
        <v>0</v>
      </c>
      <c r="Y64" s="120">
        <f>'As-Filed Schedule 2F'!O64</f>
        <v>0</v>
      </c>
      <c r="Z64" s="314">
        <f>SUMIFS(Adjustments!$G:$G,Adjustments!$H:$H,"2F",Adjustments!$I:$I,'Schedule 2F Adjustments'!$Y$12,Adjustments!$J:$J,'Schedule 2F Adjustments'!$A64)</f>
        <v>0</v>
      </c>
      <c r="AA64" s="310">
        <f t="shared" si="7"/>
        <v>0</v>
      </c>
    </row>
    <row r="65" spans="1:27" x14ac:dyDescent="0.35">
      <c r="A65" s="24">
        <v>51</v>
      </c>
      <c r="B65" s="513" t="str">
        <f>IF('As-Filed Schedule 2F'!B65:D65=0,"",'As-Filed Schedule 2F'!B65:D65)</f>
        <v/>
      </c>
      <c r="C65" s="513"/>
      <c r="D65" s="513"/>
      <c r="F65" s="117">
        <f>'As-Filed Schedule 2F'!F65</f>
        <v>0</v>
      </c>
      <c r="G65" s="314">
        <f>SUMIFS(Adjustments!$G:$G,Adjustments!$H:$H,"2F",Adjustments!$I:$I,'Schedule 2F Adjustments'!$F$12,Adjustments!$J:$J,'Schedule 2F Adjustments'!$A65)</f>
        <v>0</v>
      </c>
      <c r="H65" s="310">
        <f t="shared" si="0"/>
        <v>0</v>
      </c>
      <c r="I65" s="68">
        <f>IFERROR(F65*'As-Filed Schedule 1'!$E$103,0)</f>
        <v>0</v>
      </c>
      <c r="J65" s="311">
        <f>IFERROR(H65*'Adjusted Schedule 1'!$E$104,0)</f>
        <v>0</v>
      </c>
      <c r="K65" s="68">
        <f t="shared" si="1"/>
        <v>0</v>
      </c>
      <c r="L65" s="311">
        <f t="shared" si="2"/>
        <v>0</v>
      </c>
      <c r="N65" s="117">
        <f>'As-Filed Schedule 2F'!J65</f>
        <v>0</v>
      </c>
      <c r="O65" s="314">
        <f>SUMIFS(Adjustments!$G:$G,Adjustments!$H:$H,"2F",Adjustments!$I:$I,'Schedule 2F Adjustments'!$N$12,Adjustments!$J:$J,'Schedule 2F Adjustments'!$A65)</f>
        <v>0</v>
      </c>
      <c r="P65" s="310">
        <f t="shared" si="3"/>
        <v>0</v>
      </c>
      <c r="Q65" s="68">
        <f>IFERROR(N65*'As-Filed Schedule 1'!$E$103,0)</f>
        <v>0</v>
      </c>
      <c r="R65" s="68">
        <f>IFERROR(P65*'Adjusted Schedule 1'!$E$104,0)</f>
        <v>0</v>
      </c>
      <c r="S65" s="68">
        <f t="shared" si="4"/>
        <v>0</v>
      </c>
      <c r="T65" s="311">
        <f t="shared" si="5"/>
        <v>0</v>
      </c>
      <c r="V65" s="120">
        <f>'As-Filed Schedule 2F'!N65</f>
        <v>0</v>
      </c>
      <c r="W65" s="314">
        <f>SUMIFS(Adjustments!$G:$G,Adjustments!$H:$H,"2F",Adjustments!$I:$I,'Schedule 2F Adjustments'!$V$12,Adjustments!$J:$J,'Schedule 2F Adjustments'!$A65)</f>
        <v>0</v>
      </c>
      <c r="X65" s="310">
        <f t="shared" si="6"/>
        <v>0</v>
      </c>
      <c r="Y65" s="120">
        <f>'As-Filed Schedule 2F'!O65</f>
        <v>0</v>
      </c>
      <c r="Z65" s="314">
        <f>SUMIFS(Adjustments!$G:$G,Adjustments!$H:$H,"2F",Adjustments!$I:$I,'Schedule 2F Adjustments'!$Y$12,Adjustments!$J:$J,'Schedule 2F Adjustments'!$A65)</f>
        <v>0</v>
      </c>
      <c r="AA65" s="310">
        <f t="shared" si="7"/>
        <v>0</v>
      </c>
    </row>
    <row r="66" spans="1:27" x14ac:dyDescent="0.35">
      <c r="A66" s="24">
        <v>52</v>
      </c>
      <c r="B66" s="513" t="str">
        <f>IF('As-Filed Schedule 2F'!B66:D66=0,"",'As-Filed Schedule 2F'!B66:D66)</f>
        <v/>
      </c>
      <c r="C66" s="513"/>
      <c r="D66" s="513"/>
      <c r="F66" s="117">
        <f>'As-Filed Schedule 2F'!F66</f>
        <v>0</v>
      </c>
      <c r="G66" s="314">
        <f>SUMIFS(Adjustments!$G:$G,Adjustments!$H:$H,"2F",Adjustments!$I:$I,'Schedule 2F Adjustments'!$F$12,Adjustments!$J:$J,'Schedule 2F Adjustments'!$A66)</f>
        <v>0</v>
      </c>
      <c r="H66" s="310">
        <f t="shared" si="0"/>
        <v>0</v>
      </c>
      <c r="I66" s="68">
        <f>IFERROR(F66*'As-Filed Schedule 1'!$E$103,0)</f>
        <v>0</v>
      </c>
      <c r="J66" s="311">
        <f>IFERROR(H66*'Adjusted Schedule 1'!$E$104,0)</f>
        <v>0</v>
      </c>
      <c r="K66" s="68">
        <f t="shared" si="1"/>
        <v>0</v>
      </c>
      <c r="L66" s="311">
        <f t="shared" si="2"/>
        <v>0</v>
      </c>
      <c r="N66" s="117">
        <f>'As-Filed Schedule 2F'!J66</f>
        <v>0</v>
      </c>
      <c r="O66" s="314">
        <f>SUMIFS(Adjustments!$G:$G,Adjustments!$H:$H,"2F",Adjustments!$I:$I,'Schedule 2F Adjustments'!$N$12,Adjustments!$J:$J,'Schedule 2F Adjustments'!$A66)</f>
        <v>0</v>
      </c>
      <c r="P66" s="310">
        <f t="shared" si="3"/>
        <v>0</v>
      </c>
      <c r="Q66" s="68">
        <f>IFERROR(N66*'As-Filed Schedule 1'!$E$103,0)</f>
        <v>0</v>
      </c>
      <c r="R66" s="68">
        <f>IFERROR(P66*'Adjusted Schedule 1'!$E$104,0)</f>
        <v>0</v>
      </c>
      <c r="S66" s="68">
        <f t="shared" si="4"/>
        <v>0</v>
      </c>
      <c r="T66" s="311">
        <f t="shared" si="5"/>
        <v>0</v>
      </c>
      <c r="V66" s="120">
        <f>'As-Filed Schedule 2F'!N66</f>
        <v>0</v>
      </c>
      <c r="W66" s="314">
        <f>SUMIFS(Adjustments!$G:$G,Adjustments!$H:$H,"2F",Adjustments!$I:$I,'Schedule 2F Adjustments'!$V$12,Adjustments!$J:$J,'Schedule 2F Adjustments'!$A66)</f>
        <v>0</v>
      </c>
      <c r="X66" s="310">
        <f t="shared" si="6"/>
        <v>0</v>
      </c>
      <c r="Y66" s="120">
        <f>'As-Filed Schedule 2F'!O66</f>
        <v>0</v>
      </c>
      <c r="Z66" s="314">
        <f>SUMIFS(Adjustments!$G:$G,Adjustments!$H:$H,"2F",Adjustments!$I:$I,'Schedule 2F Adjustments'!$Y$12,Adjustments!$J:$J,'Schedule 2F Adjustments'!$A66)</f>
        <v>0</v>
      </c>
      <c r="AA66" s="310">
        <f t="shared" si="7"/>
        <v>0</v>
      </c>
    </row>
    <row r="67" spans="1:27" x14ac:dyDescent="0.35">
      <c r="A67" s="24">
        <v>53</v>
      </c>
      <c r="B67" s="513" t="str">
        <f>IF('As-Filed Schedule 2F'!B67:D67=0,"",'As-Filed Schedule 2F'!B67:D67)</f>
        <v/>
      </c>
      <c r="C67" s="513"/>
      <c r="D67" s="513"/>
      <c r="F67" s="117">
        <f>'As-Filed Schedule 2F'!F67</f>
        <v>0</v>
      </c>
      <c r="G67" s="314">
        <f>SUMIFS(Adjustments!$G:$G,Adjustments!$H:$H,"2F",Adjustments!$I:$I,'Schedule 2F Adjustments'!$F$12,Adjustments!$J:$J,'Schedule 2F Adjustments'!$A67)</f>
        <v>0</v>
      </c>
      <c r="H67" s="310">
        <f t="shared" si="0"/>
        <v>0</v>
      </c>
      <c r="I67" s="68">
        <f>IFERROR(F67*'As-Filed Schedule 1'!$E$103,0)</f>
        <v>0</v>
      </c>
      <c r="J67" s="311">
        <f>IFERROR(H67*'Adjusted Schedule 1'!$E$104,0)</f>
        <v>0</v>
      </c>
      <c r="K67" s="68">
        <f t="shared" si="1"/>
        <v>0</v>
      </c>
      <c r="L67" s="311">
        <f t="shared" si="2"/>
        <v>0</v>
      </c>
      <c r="N67" s="117">
        <f>'As-Filed Schedule 2F'!J67</f>
        <v>0</v>
      </c>
      <c r="O67" s="314">
        <f>SUMIFS(Adjustments!$G:$G,Adjustments!$H:$H,"2F",Adjustments!$I:$I,'Schedule 2F Adjustments'!$N$12,Adjustments!$J:$J,'Schedule 2F Adjustments'!$A67)</f>
        <v>0</v>
      </c>
      <c r="P67" s="310">
        <f t="shared" si="3"/>
        <v>0</v>
      </c>
      <c r="Q67" s="68">
        <f>IFERROR(N67*'As-Filed Schedule 1'!$E$103,0)</f>
        <v>0</v>
      </c>
      <c r="R67" s="68">
        <f>IFERROR(P67*'Adjusted Schedule 1'!$E$104,0)</f>
        <v>0</v>
      </c>
      <c r="S67" s="68">
        <f t="shared" si="4"/>
        <v>0</v>
      </c>
      <c r="T67" s="311">
        <f t="shared" si="5"/>
        <v>0</v>
      </c>
      <c r="V67" s="120">
        <f>'As-Filed Schedule 2F'!N67</f>
        <v>0</v>
      </c>
      <c r="W67" s="314">
        <f>SUMIFS(Adjustments!$G:$G,Adjustments!$H:$H,"2F",Adjustments!$I:$I,'Schedule 2F Adjustments'!$V$12,Adjustments!$J:$J,'Schedule 2F Adjustments'!$A67)</f>
        <v>0</v>
      </c>
      <c r="X67" s="310">
        <f t="shared" si="6"/>
        <v>0</v>
      </c>
      <c r="Y67" s="120">
        <f>'As-Filed Schedule 2F'!O67</f>
        <v>0</v>
      </c>
      <c r="Z67" s="314">
        <f>SUMIFS(Adjustments!$G:$G,Adjustments!$H:$H,"2F",Adjustments!$I:$I,'Schedule 2F Adjustments'!$Y$12,Adjustments!$J:$J,'Schedule 2F Adjustments'!$A67)</f>
        <v>0</v>
      </c>
      <c r="AA67" s="310">
        <f t="shared" si="7"/>
        <v>0</v>
      </c>
    </row>
    <row r="68" spans="1:27" x14ac:dyDescent="0.35">
      <c r="A68" s="24">
        <v>54</v>
      </c>
      <c r="B68" s="513" t="str">
        <f>IF('As-Filed Schedule 2F'!B68:D68=0,"",'As-Filed Schedule 2F'!B68:D68)</f>
        <v/>
      </c>
      <c r="C68" s="513"/>
      <c r="D68" s="513"/>
      <c r="F68" s="117">
        <f>'As-Filed Schedule 2F'!F68</f>
        <v>0</v>
      </c>
      <c r="G68" s="314">
        <f>SUMIFS(Adjustments!$G:$G,Adjustments!$H:$H,"2F",Adjustments!$I:$I,'Schedule 2F Adjustments'!$F$12,Adjustments!$J:$J,'Schedule 2F Adjustments'!$A68)</f>
        <v>0</v>
      </c>
      <c r="H68" s="310">
        <f t="shared" si="0"/>
        <v>0</v>
      </c>
      <c r="I68" s="68">
        <f>IFERROR(F68*'As-Filed Schedule 1'!$E$103,0)</f>
        <v>0</v>
      </c>
      <c r="J68" s="311">
        <f>IFERROR(H68*'Adjusted Schedule 1'!$E$104,0)</f>
        <v>0</v>
      </c>
      <c r="K68" s="68">
        <f t="shared" si="1"/>
        <v>0</v>
      </c>
      <c r="L68" s="311">
        <f t="shared" si="2"/>
        <v>0</v>
      </c>
      <c r="N68" s="117">
        <f>'As-Filed Schedule 2F'!J68</f>
        <v>0</v>
      </c>
      <c r="O68" s="314">
        <f>SUMIFS(Adjustments!$G:$G,Adjustments!$H:$H,"2F",Adjustments!$I:$I,'Schedule 2F Adjustments'!$N$12,Adjustments!$J:$J,'Schedule 2F Adjustments'!$A68)</f>
        <v>0</v>
      </c>
      <c r="P68" s="310">
        <f t="shared" si="3"/>
        <v>0</v>
      </c>
      <c r="Q68" s="68">
        <f>IFERROR(N68*'As-Filed Schedule 1'!$E$103,0)</f>
        <v>0</v>
      </c>
      <c r="R68" s="68">
        <f>IFERROR(P68*'Adjusted Schedule 1'!$E$104,0)</f>
        <v>0</v>
      </c>
      <c r="S68" s="68">
        <f t="shared" si="4"/>
        <v>0</v>
      </c>
      <c r="T68" s="311">
        <f t="shared" si="5"/>
        <v>0</v>
      </c>
      <c r="V68" s="120">
        <f>'As-Filed Schedule 2F'!N68</f>
        <v>0</v>
      </c>
      <c r="W68" s="314">
        <f>SUMIFS(Adjustments!$G:$G,Adjustments!$H:$H,"2F",Adjustments!$I:$I,'Schedule 2F Adjustments'!$V$12,Adjustments!$J:$J,'Schedule 2F Adjustments'!$A68)</f>
        <v>0</v>
      </c>
      <c r="X68" s="310">
        <f t="shared" si="6"/>
        <v>0</v>
      </c>
      <c r="Y68" s="120">
        <f>'As-Filed Schedule 2F'!O68</f>
        <v>0</v>
      </c>
      <c r="Z68" s="314">
        <f>SUMIFS(Adjustments!$G:$G,Adjustments!$H:$H,"2F",Adjustments!$I:$I,'Schedule 2F Adjustments'!$Y$12,Adjustments!$J:$J,'Schedule 2F Adjustments'!$A68)</f>
        <v>0</v>
      </c>
      <c r="AA68" s="310">
        <f t="shared" si="7"/>
        <v>0</v>
      </c>
    </row>
    <row r="69" spans="1:27" x14ac:dyDescent="0.35">
      <c r="A69" s="24">
        <v>55</v>
      </c>
      <c r="B69" s="513" t="str">
        <f>IF('As-Filed Schedule 2F'!B69:D69=0,"",'As-Filed Schedule 2F'!B69:D69)</f>
        <v/>
      </c>
      <c r="C69" s="513"/>
      <c r="D69" s="513"/>
      <c r="F69" s="117">
        <f>'As-Filed Schedule 2F'!F69</f>
        <v>0</v>
      </c>
      <c r="G69" s="314">
        <f>SUMIFS(Adjustments!$G:$G,Adjustments!$H:$H,"2F",Adjustments!$I:$I,'Schedule 2F Adjustments'!$F$12,Adjustments!$J:$J,'Schedule 2F Adjustments'!$A69)</f>
        <v>0</v>
      </c>
      <c r="H69" s="310">
        <f t="shared" si="0"/>
        <v>0</v>
      </c>
      <c r="I69" s="68">
        <f>IFERROR(F69*'As-Filed Schedule 1'!$E$103,0)</f>
        <v>0</v>
      </c>
      <c r="J69" s="311">
        <f>IFERROR(H69*'Adjusted Schedule 1'!$E$104,0)</f>
        <v>0</v>
      </c>
      <c r="K69" s="68">
        <f t="shared" si="1"/>
        <v>0</v>
      </c>
      <c r="L69" s="311">
        <f t="shared" si="2"/>
        <v>0</v>
      </c>
      <c r="N69" s="117">
        <f>'As-Filed Schedule 2F'!J69</f>
        <v>0</v>
      </c>
      <c r="O69" s="314">
        <f>SUMIFS(Adjustments!$G:$G,Adjustments!$H:$H,"2F",Adjustments!$I:$I,'Schedule 2F Adjustments'!$N$12,Adjustments!$J:$J,'Schedule 2F Adjustments'!$A69)</f>
        <v>0</v>
      </c>
      <c r="P69" s="310">
        <f t="shared" si="3"/>
        <v>0</v>
      </c>
      <c r="Q69" s="68">
        <f>IFERROR(N69*'As-Filed Schedule 1'!$E$103,0)</f>
        <v>0</v>
      </c>
      <c r="R69" s="68">
        <f>IFERROR(P69*'Adjusted Schedule 1'!$E$104,0)</f>
        <v>0</v>
      </c>
      <c r="S69" s="68">
        <f t="shared" si="4"/>
        <v>0</v>
      </c>
      <c r="T69" s="311">
        <f t="shared" si="5"/>
        <v>0</v>
      </c>
      <c r="V69" s="120">
        <f>'As-Filed Schedule 2F'!N69</f>
        <v>0</v>
      </c>
      <c r="W69" s="314">
        <f>SUMIFS(Adjustments!$G:$G,Adjustments!$H:$H,"2F",Adjustments!$I:$I,'Schedule 2F Adjustments'!$V$12,Adjustments!$J:$J,'Schedule 2F Adjustments'!$A69)</f>
        <v>0</v>
      </c>
      <c r="X69" s="310">
        <f t="shared" si="6"/>
        <v>0</v>
      </c>
      <c r="Y69" s="120">
        <f>'As-Filed Schedule 2F'!O69</f>
        <v>0</v>
      </c>
      <c r="Z69" s="314">
        <f>SUMIFS(Adjustments!$G:$G,Adjustments!$H:$H,"2F",Adjustments!$I:$I,'Schedule 2F Adjustments'!$Y$12,Adjustments!$J:$J,'Schedule 2F Adjustments'!$A69)</f>
        <v>0</v>
      </c>
      <c r="AA69" s="310">
        <f t="shared" si="7"/>
        <v>0</v>
      </c>
    </row>
    <row r="70" spans="1:27" x14ac:dyDescent="0.35">
      <c r="A70" s="24">
        <v>56</v>
      </c>
      <c r="B70" s="513" t="str">
        <f>IF('As-Filed Schedule 2F'!B70:D70=0,"",'As-Filed Schedule 2F'!B70:D70)</f>
        <v/>
      </c>
      <c r="C70" s="513"/>
      <c r="D70" s="513"/>
      <c r="F70" s="117">
        <f>'As-Filed Schedule 2F'!F70</f>
        <v>0</v>
      </c>
      <c r="G70" s="314">
        <f>SUMIFS(Adjustments!$G:$G,Adjustments!$H:$H,"2F",Adjustments!$I:$I,'Schedule 2F Adjustments'!$F$12,Adjustments!$J:$J,'Schedule 2F Adjustments'!$A70)</f>
        <v>0</v>
      </c>
      <c r="H70" s="310">
        <f t="shared" si="0"/>
        <v>0</v>
      </c>
      <c r="I70" s="68">
        <f>IFERROR(F70*'As-Filed Schedule 1'!$E$103,0)</f>
        <v>0</v>
      </c>
      <c r="J70" s="311">
        <f>IFERROR(H70*'Adjusted Schedule 1'!$E$104,0)</f>
        <v>0</v>
      </c>
      <c r="K70" s="68">
        <f t="shared" si="1"/>
        <v>0</v>
      </c>
      <c r="L70" s="311">
        <f t="shared" si="2"/>
        <v>0</v>
      </c>
      <c r="N70" s="117">
        <f>'As-Filed Schedule 2F'!J70</f>
        <v>0</v>
      </c>
      <c r="O70" s="314">
        <f>SUMIFS(Adjustments!$G:$G,Adjustments!$H:$H,"2F",Adjustments!$I:$I,'Schedule 2F Adjustments'!$N$12,Adjustments!$J:$J,'Schedule 2F Adjustments'!$A70)</f>
        <v>0</v>
      </c>
      <c r="P70" s="310">
        <f t="shared" si="3"/>
        <v>0</v>
      </c>
      <c r="Q70" s="68">
        <f>IFERROR(N70*'As-Filed Schedule 1'!$E$103,0)</f>
        <v>0</v>
      </c>
      <c r="R70" s="68">
        <f>IFERROR(P70*'Adjusted Schedule 1'!$E$104,0)</f>
        <v>0</v>
      </c>
      <c r="S70" s="68">
        <f t="shared" si="4"/>
        <v>0</v>
      </c>
      <c r="T70" s="311">
        <f t="shared" si="5"/>
        <v>0</v>
      </c>
      <c r="V70" s="120">
        <f>'As-Filed Schedule 2F'!N70</f>
        <v>0</v>
      </c>
      <c r="W70" s="314">
        <f>SUMIFS(Adjustments!$G:$G,Adjustments!$H:$H,"2F",Adjustments!$I:$I,'Schedule 2F Adjustments'!$V$12,Adjustments!$J:$J,'Schedule 2F Adjustments'!$A70)</f>
        <v>0</v>
      </c>
      <c r="X70" s="310">
        <f t="shared" si="6"/>
        <v>0</v>
      </c>
      <c r="Y70" s="120">
        <f>'As-Filed Schedule 2F'!O70</f>
        <v>0</v>
      </c>
      <c r="Z70" s="314">
        <f>SUMIFS(Adjustments!$G:$G,Adjustments!$H:$H,"2F",Adjustments!$I:$I,'Schedule 2F Adjustments'!$Y$12,Adjustments!$J:$J,'Schedule 2F Adjustments'!$A70)</f>
        <v>0</v>
      </c>
      <c r="AA70" s="310">
        <f t="shared" si="7"/>
        <v>0</v>
      </c>
    </row>
    <row r="71" spans="1:27" x14ac:dyDescent="0.35">
      <c r="A71" s="24">
        <v>57</v>
      </c>
      <c r="B71" s="513" t="str">
        <f>IF('As-Filed Schedule 2F'!B71:D71=0,"",'As-Filed Schedule 2F'!B71:D71)</f>
        <v/>
      </c>
      <c r="C71" s="513"/>
      <c r="D71" s="513"/>
      <c r="F71" s="117">
        <f>'As-Filed Schedule 2F'!F71</f>
        <v>0</v>
      </c>
      <c r="G71" s="314">
        <f>SUMIFS(Adjustments!$G:$G,Adjustments!$H:$H,"2F",Adjustments!$I:$I,'Schedule 2F Adjustments'!$F$12,Adjustments!$J:$J,'Schedule 2F Adjustments'!$A71)</f>
        <v>0</v>
      </c>
      <c r="H71" s="310">
        <f t="shared" si="0"/>
        <v>0</v>
      </c>
      <c r="I71" s="68">
        <f>IFERROR(F71*'As-Filed Schedule 1'!$E$103,0)</f>
        <v>0</v>
      </c>
      <c r="J71" s="311">
        <f>IFERROR(H71*'Adjusted Schedule 1'!$E$104,0)</f>
        <v>0</v>
      </c>
      <c r="K71" s="68">
        <f t="shared" si="1"/>
        <v>0</v>
      </c>
      <c r="L71" s="311">
        <f t="shared" si="2"/>
        <v>0</v>
      </c>
      <c r="N71" s="117">
        <f>'As-Filed Schedule 2F'!J71</f>
        <v>0</v>
      </c>
      <c r="O71" s="314">
        <f>SUMIFS(Adjustments!$G:$G,Adjustments!$H:$H,"2F",Adjustments!$I:$I,'Schedule 2F Adjustments'!$N$12,Adjustments!$J:$J,'Schedule 2F Adjustments'!$A71)</f>
        <v>0</v>
      </c>
      <c r="P71" s="310">
        <f t="shared" si="3"/>
        <v>0</v>
      </c>
      <c r="Q71" s="68">
        <f>IFERROR(N71*'As-Filed Schedule 1'!$E$103,0)</f>
        <v>0</v>
      </c>
      <c r="R71" s="68">
        <f>IFERROR(P71*'Adjusted Schedule 1'!$E$104,0)</f>
        <v>0</v>
      </c>
      <c r="S71" s="68">
        <f t="shared" si="4"/>
        <v>0</v>
      </c>
      <c r="T71" s="311">
        <f t="shared" si="5"/>
        <v>0</v>
      </c>
      <c r="V71" s="120">
        <f>'As-Filed Schedule 2F'!N71</f>
        <v>0</v>
      </c>
      <c r="W71" s="314">
        <f>SUMIFS(Adjustments!$G:$G,Adjustments!$H:$H,"2F",Adjustments!$I:$I,'Schedule 2F Adjustments'!$V$12,Adjustments!$J:$J,'Schedule 2F Adjustments'!$A71)</f>
        <v>0</v>
      </c>
      <c r="X71" s="310">
        <f t="shared" si="6"/>
        <v>0</v>
      </c>
      <c r="Y71" s="120">
        <f>'As-Filed Schedule 2F'!O71</f>
        <v>0</v>
      </c>
      <c r="Z71" s="314">
        <f>SUMIFS(Adjustments!$G:$G,Adjustments!$H:$H,"2F",Adjustments!$I:$I,'Schedule 2F Adjustments'!$Y$12,Adjustments!$J:$J,'Schedule 2F Adjustments'!$A71)</f>
        <v>0</v>
      </c>
      <c r="AA71" s="310">
        <f t="shared" si="7"/>
        <v>0</v>
      </c>
    </row>
    <row r="72" spans="1:27" x14ac:dyDescent="0.35">
      <c r="A72" s="24">
        <v>58</v>
      </c>
      <c r="B72" s="513" t="str">
        <f>IF('As-Filed Schedule 2F'!B72:D72=0,"",'As-Filed Schedule 2F'!B72:D72)</f>
        <v/>
      </c>
      <c r="C72" s="513"/>
      <c r="D72" s="513"/>
      <c r="F72" s="117">
        <f>'As-Filed Schedule 2F'!F72</f>
        <v>0</v>
      </c>
      <c r="G72" s="314">
        <f>SUMIFS(Adjustments!$G:$G,Adjustments!$H:$H,"2F",Adjustments!$I:$I,'Schedule 2F Adjustments'!$F$12,Adjustments!$J:$J,'Schedule 2F Adjustments'!$A72)</f>
        <v>0</v>
      </c>
      <c r="H72" s="310">
        <f t="shared" si="0"/>
        <v>0</v>
      </c>
      <c r="I72" s="68">
        <f>IFERROR(F72*'As-Filed Schedule 1'!$E$103,0)</f>
        <v>0</v>
      </c>
      <c r="J72" s="311">
        <f>IFERROR(H72*'Adjusted Schedule 1'!$E$104,0)</f>
        <v>0</v>
      </c>
      <c r="K72" s="68">
        <f t="shared" si="1"/>
        <v>0</v>
      </c>
      <c r="L72" s="311">
        <f t="shared" si="2"/>
        <v>0</v>
      </c>
      <c r="N72" s="117">
        <f>'As-Filed Schedule 2F'!J72</f>
        <v>0</v>
      </c>
      <c r="O72" s="314">
        <f>SUMIFS(Adjustments!$G:$G,Adjustments!$H:$H,"2F",Adjustments!$I:$I,'Schedule 2F Adjustments'!$N$12,Adjustments!$J:$J,'Schedule 2F Adjustments'!$A72)</f>
        <v>0</v>
      </c>
      <c r="P72" s="310">
        <f t="shared" si="3"/>
        <v>0</v>
      </c>
      <c r="Q72" s="68">
        <f>IFERROR(N72*'As-Filed Schedule 1'!$E$103,0)</f>
        <v>0</v>
      </c>
      <c r="R72" s="68">
        <f>IFERROR(P72*'Adjusted Schedule 1'!$E$104,0)</f>
        <v>0</v>
      </c>
      <c r="S72" s="68">
        <f t="shared" si="4"/>
        <v>0</v>
      </c>
      <c r="T72" s="311">
        <f t="shared" si="5"/>
        <v>0</v>
      </c>
      <c r="V72" s="120">
        <f>'As-Filed Schedule 2F'!N72</f>
        <v>0</v>
      </c>
      <c r="W72" s="314">
        <f>SUMIFS(Adjustments!$G:$G,Adjustments!$H:$H,"2F",Adjustments!$I:$I,'Schedule 2F Adjustments'!$V$12,Adjustments!$J:$J,'Schedule 2F Adjustments'!$A72)</f>
        <v>0</v>
      </c>
      <c r="X72" s="310">
        <f t="shared" si="6"/>
        <v>0</v>
      </c>
      <c r="Y72" s="120">
        <f>'As-Filed Schedule 2F'!O72</f>
        <v>0</v>
      </c>
      <c r="Z72" s="314">
        <f>SUMIFS(Adjustments!$G:$G,Adjustments!$H:$H,"2F",Adjustments!$I:$I,'Schedule 2F Adjustments'!$Y$12,Adjustments!$J:$J,'Schedule 2F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V13:V14"/>
    <mergeCell ref="W13:W14"/>
    <mergeCell ref="X13:X14"/>
    <mergeCell ref="Y13:Y14"/>
    <mergeCell ref="Z13:Z14"/>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B40:D40"/>
    <mergeCell ref="B41:D41"/>
    <mergeCell ref="B42:D42"/>
    <mergeCell ref="B43:D43"/>
    <mergeCell ref="B44:D44"/>
    <mergeCell ref="B38:D38"/>
    <mergeCell ref="B27:D27"/>
    <mergeCell ref="B28:D28"/>
    <mergeCell ref="B29:D29"/>
    <mergeCell ref="B30:D30"/>
    <mergeCell ref="B31:D31"/>
    <mergeCell ref="B32:D32"/>
    <mergeCell ref="B33:D33"/>
    <mergeCell ref="B34:D34"/>
    <mergeCell ref="B35:D35"/>
    <mergeCell ref="B36:D36"/>
    <mergeCell ref="B37:D37"/>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7"/>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494" t="s">
        <v>841</v>
      </c>
      <c r="B3" s="494"/>
      <c r="C3" s="494"/>
      <c r="D3" s="494"/>
      <c r="E3" s="494"/>
      <c r="F3" s="494"/>
      <c r="G3" s="494"/>
      <c r="H3" s="494"/>
      <c r="I3" s="494"/>
      <c r="J3" s="494"/>
      <c r="K3" s="494"/>
      <c r="L3" s="322"/>
    </row>
    <row r="5" spans="1:27" x14ac:dyDescent="0.35">
      <c r="A5" s="1" t="s">
        <v>773</v>
      </c>
      <c r="C5" s="421" t="str">
        <f>Results!$C$6</f>
        <v>Health Solutions</v>
      </c>
    </row>
    <row r="6" spans="1:27" x14ac:dyDescent="0.35">
      <c r="A6" s="1" t="s">
        <v>0</v>
      </c>
      <c r="C6" s="35">
        <f>Results!$C$7</f>
        <v>45473</v>
      </c>
      <c r="F6" s="35"/>
      <c r="G6" s="320"/>
      <c r="H6" s="60"/>
    </row>
    <row r="8" spans="1:27" x14ac:dyDescent="0.35">
      <c r="A8" s="1" t="s">
        <v>253</v>
      </c>
      <c r="B8" s="1" t="s">
        <v>816</v>
      </c>
      <c r="C8" s="1"/>
      <c r="F8" s="119" t="str">
        <f>'As-Filed Schedule 2G'!F8</f>
        <v>Yes/No</v>
      </c>
      <c r="G8" s="41" t="s">
        <v>259</v>
      </c>
    </row>
    <row r="10" spans="1:27" x14ac:dyDescent="0.35">
      <c r="A10" s="1" t="s">
        <v>254</v>
      </c>
      <c r="B10" s="1" t="s">
        <v>256</v>
      </c>
      <c r="C10" s="1"/>
    </row>
    <row r="12" spans="1:27" x14ac:dyDescent="0.35">
      <c r="B12" s="508">
        <v>1</v>
      </c>
      <c r="C12" s="508"/>
      <c r="D12" s="508"/>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09" t="s">
        <v>255</v>
      </c>
      <c r="C13" s="509"/>
      <c r="D13" s="509"/>
      <c r="F13" s="511" t="s">
        <v>261</v>
      </c>
      <c r="G13" s="516"/>
      <c r="H13" s="516"/>
      <c r="I13" s="516"/>
      <c r="J13" s="516"/>
      <c r="K13" s="516"/>
      <c r="L13" s="512"/>
      <c r="N13" s="511" t="s">
        <v>262</v>
      </c>
      <c r="O13" s="516"/>
      <c r="P13" s="516"/>
      <c r="Q13" s="516"/>
      <c r="R13" s="516"/>
      <c r="S13" s="516"/>
      <c r="T13" s="512"/>
      <c r="V13" s="510" t="s">
        <v>250</v>
      </c>
      <c r="W13" s="568" t="s">
        <v>620</v>
      </c>
      <c r="X13" s="569" t="s">
        <v>621</v>
      </c>
      <c r="Y13" s="510" t="s">
        <v>312</v>
      </c>
      <c r="Z13" s="568" t="s">
        <v>630</v>
      </c>
      <c r="AA13" s="569" t="s">
        <v>631</v>
      </c>
    </row>
    <row r="14" spans="1:27" ht="55.5" customHeight="1" x14ac:dyDescent="0.35">
      <c r="B14" s="509"/>
      <c r="C14" s="509"/>
      <c r="D14" s="509"/>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0"/>
      <c r="W14" s="568"/>
      <c r="X14" s="569"/>
      <c r="Y14" s="510"/>
      <c r="Z14" s="568"/>
      <c r="AA14" s="569"/>
    </row>
    <row r="15" spans="1:27" x14ac:dyDescent="0.35">
      <c r="A15" s="24">
        <v>1</v>
      </c>
      <c r="B15" s="513" t="str">
        <f>IF('As-Filed Schedule 2G'!B15:D15=0,"",'As-Filed Schedule 2G'!B15:D15)</f>
        <v/>
      </c>
      <c r="C15" s="513"/>
      <c r="D15" s="513"/>
      <c r="F15" s="117">
        <f>'As-Filed Schedule 2G'!F15</f>
        <v>0</v>
      </c>
      <c r="G15" s="314">
        <f>SUMIFS(Adjustments!$G:$G,Adjustments!$H:$H,"2G",Adjustments!$I:$I,'Schedule 2G Adjustments'!$F$12,Adjustments!$J:$J,'Schedule 2G Adjustments'!$A15)</f>
        <v>0</v>
      </c>
      <c r="H15" s="310">
        <f>SUM(F15:G15)</f>
        <v>0</v>
      </c>
      <c r="I15" s="68">
        <f>IFERROR(F15*'As-Filed Schedule 1'!$E$103,0)</f>
        <v>0</v>
      </c>
      <c r="J15" s="311">
        <f>IFERROR(H15*'Adjusted Schedule 1'!$E$104,0)</f>
        <v>0</v>
      </c>
      <c r="K15" s="68">
        <f>SUM(F15,I15)</f>
        <v>0</v>
      </c>
      <c r="L15" s="311">
        <f>SUM(H15,J15)</f>
        <v>0</v>
      </c>
      <c r="N15" s="117">
        <f>'As-Filed Schedule 2G'!J15</f>
        <v>0</v>
      </c>
      <c r="O15" s="314">
        <f>SUMIFS(Adjustments!$G:$G,Adjustments!$H:$H,"2G",Adjustments!$I:$I,'Schedule 2G Adjustments'!$N$12,Adjustments!$J:$J,'Schedule 2G Adjustments'!$A15)</f>
        <v>0</v>
      </c>
      <c r="P15" s="310">
        <f>SUM(N15:O15)</f>
        <v>0</v>
      </c>
      <c r="Q15" s="68">
        <f>IFERROR(N15*'As-Filed Schedule 1'!$E$103,0)</f>
        <v>0</v>
      </c>
      <c r="R15" s="68">
        <f>IFERROR(P15*'Adjusted Schedule 1'!$E$104,0)</f>
        <v>0</v>
      </c>
      <c r="S15" s="68">
        <f>SUM(N15,Q15)</f>
        <v>0</v>
      </c>
      <c r="T15" s="311">
        <f>SUM(P15,R15)</f>
        <v>0</v>
      </c>
      <c r="V15" s="120">
        <f>'As-Filed Schedule 2G'!N15</f>
        <v>0</v>
      </c>
      <c r="W15" s="314">
        <f>SUMIFS(Adjustments!$G:$G,Adjustments!$H:$H,"2G",Adjustments!$I:$I,'Schedule 2G Adjustments'!$V$12,Adjustments!$J:$J,'Schedule 2G Adjustments'!$A15)</f>
        <v>0</v>
      </c>
      <c r="X15" s="310">
        <f>SUM(V15:W15)</f>
        <v>0</v>
      </c>
      <c r="Y15" s="120">
        <f>'As-Filed Schedule 2G'!O15</f>
        <v>0</v>
      </c>
      <c r="Z15" s="314">
        <f>SUMIFS(Adjustments!$G:$G,Adjustments!$H:$H,"2G",Adjustments!$I:$I,'Schedule 2G Adjustments'!$Y$12,Adjustments!$J:$J,'Schedule 2G Adjustments'!$A15)</f>
        <v>0</v>
      </c>
      <c r="AA15" s="310">
        <f>SUM(Y15:Z15)</f>
        <v>0</v>
      </c>
    </row>
    <row r="16" spans="1:27" x14ac:dyDescent="0.35">
      <c r="A16" s="24">
        <v>2</v>
      </c>
      <c r="B16" s="513" t="str">
        <f>IF('As-Filed Schedule 2G'!B16:D16=0,"",'As-Filed Schedule 2G'!B16:D16)</f>
        <v/>
      </c>
      <c r="C16" s="513"/>
      <c r="D16" s="513"/>
      <c r="F16" s="117">
        <f>'As-Filed Schedule 2G'!F16</f>
        <v>0</v>
      </c>
      <c r="G16" s="314">
        <f>SUMIFS(Adjustments!$G:$G,Adjustments!$H:$H,"2G",Adjustments!$I:$I,'Schedule 2G Adjustments'!$F$12,Adjustments!$J:$J,'Schedule 2G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2G'!J16</f>
        <v>0</v>
      </c>
      <c r="O16" s="314">
        <f>SUMIFS(Adjustments!$G:$G,Adjustments!$H:$H,"2G",Adjustments!$I:$I,'Schedule 2G Adjustments'!$N$12,Adjustments!$J:$J,'Schedule 2G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2G'!N16</f>
        <v>0</v>
      </c>
      <c r="W16" s="314">
        <f>SUMIFS(Adjustments!$G:$G,Adjustments!$H:$H,"2G",Adjustments!$I:$I,'Schedule 2G Adjustments'!$V$12,Adjustments!$J:$J,'Schedule 2G Adjustments'!$A16)</f>
        <v>0</v>
      </c>
      <c r="X16" s="310">
        <f t="shared" ref="X16:X72" si="6">SUM(V16:W16)</f>
        <v>0</v>
      </c>
      <c r="Y16" s="120">
        <f>'As-Filed Schedule 2G'!O16</f>
        <v>0</v>
      </c>
      <c r="Z16" s="314">
        <f>SUMIFS(Adjustments!$G:$G,Adjustments!$H:$H,"2G",Adjustments!$I:$I,'Schedule 2G Adjustments'!$Y$12,Adjustments!$J:$J,'Schedule 2G Adjustments'!$A16)</f>
        <v>0</v>
      </c>
      <c r="AA16" s="310">
        <f t="shared" ref="AA16:AA72" si="7">SUM(Y16:Z16)</f>
        <v>0</v>
      </c>
    </row>
    <row r="17" spans="1:27" x14ac:dyDescent="0.35">
      <c r="A17" s="24">
        <v>3</v>
      </c>
      <c r="B17" s="513" t="str">
        <f>IF('As-Filed Schedule 2G'!B17:D17=0,"",'As-Filed Schedule 2G'!B17:D17)</f>
        <v/>
      </c>
      <c r="C17" s="513"/>
      <c r="D17" s="513"/>
      <c r="F17" s="117">
        <f>'As-Filed Schedule 2G'!F17</f>
        <v>0</v>
      </c>
      <c r="G17" s="314">
        <f>SUMIFS(Adjustments!$G:$G,Adjustments!$H:$H,"2G",Adjustments!$I:$I,'Schedule 2G Adjustments'!$F$12,Adjustments!$J:$J,'Schedule 2G Adjustments'!$A17)</f>
        <v>0</v>
      </c>
      <c r="H17" s="310">
        <f t="shared" si="0"/>
        <v>0</v>
      </c>
      <c r="I17" s="68">
        <f>IFERROR(F17*'As-Filed Schedule 1'!$E$103,0)</f>
        <v>0</v>
      </c>
      <c r="J17" s="311">
        <f>IFERROR(H17*'Adjusted Schedule 1'!$E$104,0)</f>
        <v>0</v>
      </c>
      <c r="K17" s="68">
        <f t="shared" si="1"/>
        <v>0</v>
      </c>
      <c r="L17" s="311">
        <f t="shared" si="2"/>
        <v>0</v>
      </c>
      <c r="N17" s="117">
        <f>'As-Filed Schedule 2G'!J17</f>
        <v>0</v>
      </c>
      <c r="O17" s="314">
        <f>SUMIFS(Adjustments!$G:$G,Adjustments!$H:$H,"2G",Adjustments!$I:$I,'Schedule 2G Adjustments'!$N$12,Adjustments!$J:$J,'Schedule 2G Adjustments'!$A17)</f>
        <v>0</v>
      </c>
      <c r="P17" s="310">
        <f t="shared" si="3"/>
        <v>0</v>
      </c>
      <c r="Q17" s="68">
        <f>IFERROR(N17*'As-Filed Schedule 1'!$E$103,0)</f>
        <v>0</v>
      </c>
      <c r="R17" s="68">
        <f>IFERROR(P17*'Adjusted Schedule 1'!$E$104,0)</f>
        <v>0</v>
      </c>
      <c r="S17" s="68">
        <f t="shared" si="4"/>
        <v>0</v>
      </c>
      <c r="T17" s="311">
        <f t="shared" si="5"/>
        <v>0</v>
      </c>
      <c r="V17" s="120">
        <f>'As-Filed Schedule 2G'!N17</f>
        <v>0</v>
      </c>
      <c r="W17" s="314">
        <f>SUMIFS(Adjustments!$G:$G,Adjustments!$H:$H,"2G",Adjustments!$I:$I,'Schedule 2G Adjustments'!$V$12,Adjustments!$J:$J,'Schedule 2G Adjustments'!$A17)</f>
        <v>0</v>
      </c>
      <c r="X17" s="310">
        <f t="shared" si="6"/>
        <v>0</v>
      </c>
      <c r="Y17" s="120">
        <f>'As-Filed Schedule 2G'!O17</f>
        <v>0</v>
      </c>
      <c r="Z17" s="314">
        <f>SUMIFS(Adjustments!$G:$G,Adjustments!$H:$H,"2G",Adjustments!$I:$I,'Schedule 2G Adjustments'!$Y$12,Adjustments!$J:$J,'Schedule 2G Adjustments'!$A17)</f>
        <v>0</v>
      </c>
      <c r="AA17" s="310">
        <f t="shared" si="7"/>
        <v>0</v>
      </c>
    </row>
    <row r="18" spans="1:27" x14ac:dyDescent="0.35">
      <c r="A18" s="24">
        <v>4</v>
      </c>
      <c r="B18" s="513" t="str">
        <f>IF('As-Filed Schedule 2G'!B18:D18=0,"",'As-Filed Schedule 2G'!B18:D18)</f>
        <v/>
      </c>
      <c r="C18" s="513"/>
      <c r="D18" s="513"/>
      <c r="F18" s="117">
        <f>'As-Filed Schedule 2G'!F18</f>
        <v>0</v>
      </c>
      <c r="G18" s="314">
        <f>SUMIFS(Adjustments!$G:$G,Adjustments!$H:$H,"2G",Adjustments!$I:$I,'Schedule 2G Adjustments'!$F$12,Adjustments!$J:$J,'Schedule 2G Adjustments'!$A18)</f>
        <v>0</v>
      </c>
      <c r="H18" s="310">
        <f t="shared" si="0"/>
        <v>0</v>
      </c>
      <c r="I18" s="68">
        <f>IFERROR(F18*'As-Filed Schedule 1'!$E$103,0)</f>
        <v>0</v>
      </c>
      <c r="J18" s="311">
        <f>IFERROR(H18*'Adjusted Schedule 1'!$E$104,0)</f>
        <v>0</v>
      </c>
      <c r="K18" s="68">
        <f>SUM(F18,I18)</f>
        <v>0</v>
      </c>
      <c r="L18" s="311">
        <f>SUM(H18,J18)</f>
        <v>0</v>
      </c>
      <c r="N18" s="117">
        <f>'As-Filed Schedule 2G'!J18</f>
        <v>0</v>
      </c>
      <c r="O18" s="314">
        <f>SUMIFS(Adjustments!$G:$G,Adjustments!$H:$H,"2G",Adjustments!$I:$I,'Schedule 2G Adjustments'!$N$12,Adjustments!$J:$J,'Schedule 2G Adjustments'!$A18)</f>
        <v>0</v>
      </c>
      <c r="P18" s="310">
        <f t="shared" si="3"/>
        <v>0</v>
      </c>
      <c r="Q18" s="68">
        <f>IFERROR(N18*'As-Filed Schedule 1'!$E$103,0)</f>
        <v>0</v>
      </c>
      <c r="R18" s="68">
        <f>IFERROR(P18*'Adjusted Schedule 1'!$E$104,0)</f>
        <v>0</v>
      </c>
      <c r="S18" s="68">
        <f t="shared" si="4"/>
        <v>0</v>
      </c>
      <c r="T18" s="311">
        <f t="shared" si="5"/>
        <v>0</v>
      </c>
      <c r="V18" s="120">
        <f>'As-Filed Schedule 2G'!N18</f>
        <v>0</v>
      </c>
      <c r="W18" s="314">
        <f>SUMIFS(Adjustments!$G:$G,Adjustments!$H:$H,"2G",Adjustments!$I:$I,'Schedule 2G Adjustments'!$V$12,Adjustments!$J:$J,'Schedule 2G Adjustments'!$A18)</f>
        <v>0</v>
      </c>
      <c r="X18" s="310">
        <f t="shared" si="6"/>
        <v>0</v>
      </c>
      <c r="Y18" s="120">
        <f>'As-Filed Schedule 2G'!O18</f>
        <v>0</v>
      </c>
      <c r="Z18" s="314">
        <f>SUMIFS(Adjustments!$G:$G,Adjustments!$H:$H,"2G",Adjustments!$I:$I,'Schedule 2G Adjustments'!$Y$12,Adjustments!$J:$J,'Schedule 2G Adjustments'!$A18)</f>
        <v>0</v>
      </c>
      <c r="AA18" s="310">
        <f t="shared" si="7"/>
        <v>0</v>
      </c>
    </row>
    <row r="19" spans="1:27" x14ac:dyDescent="0.35">
      <c r="A19" s="24">
        <v>5</v>
      </c>
      <c r="B19" s="513" t="str">
        <f>IF('As-Filed Schedule 2G'!B19:D19=0,"",'As-Filed Schedule 2G'!B19:D19)</f>
        <v/>
      </c>
      <c r="C19" s="513"/>
      <c r="D19" s="513"/>
      <c r="F19" s="117">
        <f>'As-Filed Schedule 2G'!F19</f>
        <v>0</v>
      </c>
      <c r="G19" s="314">
        <f>SUMIFS(Adjustments!$G:$G,Adjustments!$H:$H,"2G",Adjustments!$I:$I,'Schedule 2G Adjustments'!$F$12,Adjustments!$J:$J,'Schedule 2G Adjustments'!$A19)</f>
        <v>0</v>
      </c>
      <c r="H19" s="310">
        <f t="shared" si="0"/>
        <v>0</v>
      </c>
      <c r="I19" s="68">
        <f>IFERROR(F19*'As-Filed Schedule 1'!$E$103,0)</f>
        <v>0</v>
      </c>
      <c r="J19" s="311">
        <f>IFERROR(H19*'Adjusted Schedule 1'!$E$104,0)</f>
        <v>0</v>
      </c>
      <c r="K19" s="68">
        <f t="shared" si="1"/>
        <v>0</v>
      </c>
      <c r="L19" s="311">
        <f>SUM(H19,J19)</f>
        <v>0</v>
      </c>
      <c r="N19" s="117">
        <f>'As-Filed Schedule 2G'!J19</f>
        <v>0</v>
      </c>
      <c r="O19" s="314">
        <f>SUMIFS(Adjustments!$G:$G,Adjustments!$H:$H,"2G",Adjustments!$I:$I,'Schedule 2G Adjustments'!$N$12,Adjustments!$J:$J,'Schedule 2G Adjustments'!$A19)</f>
        <v>0</v>
      </c>
      <c r="P19" s="310">
        <f t="shared" si="3"/>
        <v>0</v>
      </c>
      <c r="Q19" s="68">
        <f>IFERROR(N19*'As-Filed Schedule 1'!$E$103,0)</f>
        <v>0</v>
      </c>
      <c r="R19" s="68">
        <f>IFERROR(P19*'Adjusted Schedule 1'!$E$104,0)</f>
        <v>0</v>
      </c>
      <c r="S19" s="68">
        <f t="shared" si="4"/>
        <v>0</v>
      </c>
      <c r="T19" s="311">
        <f t="shared" si="5"/>
        <v>0</v>
      </c>
      <c r="V19" s="120">
        <f>'As-Filed Schedule 2G'!N19</f>
        <v>0</v>
      </c>
      <c r="W19" s="314">
        <f>SUMIFS(Adjustments!$G:$G,Adjustments!$H:$H,"2G",Adjustments!$I:$I,'Schedule 2G Adjustments'!$V$12,Adjustments!$J:$J,'Schedule 2G Adjustments'!$A19)</f>
        <v>0</v>
      </c>
      <c r="X19" s="310">
        <f t="shared" si="6"/>
        <v>0</v>
      </c>
      <c r="Y19" s="120">
        <f>'As-Filed Schedule 2G'!O19</f>
        <v>0</v>
      </c>
      <c r="Z19" s="314">
        <f>SUMIFS(Adjustments!$G:$G,Adjustments!$H:$H,"2G",Adjustments!$I:$I,'Schedule 2G Adjustments'!$Y$12,Adjustments!$J:$J,'Schedule 2G Adjustments'!$A19)</f>
        <v>0</v>
      </c>
      <c r="AA19" s="310">
        <f t="shared" si="7"/>
        <v>0</v>
      </c>
    </row>
    <row r="20" spans="1:27" x14ac:dyDescent="0.35">
      <c r="A20" s="24">
        <v>6</v>
      </c>
      <c r="B20" s="513" t="str">
        <f>IF('As-Filed Schedule 2G'!B20:D20=0,"",'As-Filed Schedule 2G'!B20:D20)</f>
        <v/>
      </c>
      <c r="C20" s="513"/>
      <c r="D20" s="513"/>
      <c r="F20" s="117">
        <f>'As-Filed Schedule 2G'!F20</f>
        <v>0</v>
      </c>
      <c r="G20" s="314">
        <f>SUMIFS(Adjustments!$G:$G,Adjustments!$H:$H,"2G",Adjustments!$I:$I,'Schedule 2G Adjustments'!$F$12,Adjustments!$J:$J,'Schedule 2G Adjustments'!$A20)</f>
        <v>0</v>
      </c>
      <c r="H20" s="310">
        <f t="shared" si="0"/>
        <v>0</v>
      </c>
      <c r="I20" s="68">
        <f>IFERROR(F20*'As-Filed Schedule 1'!$E$103,0)</f>
        <v>0</v>
      </c>
      <c r="J20" s="311">
        <f>IFERROR(H20*'Adjusted Schedule 1'!$E$104,0)</f>
        <v>0</v>
      </c>
      <c r="K20" s="68">
        <f>SUM(F20,I20)</f>
        <v>0</v>
      </c>
      <c r="L20" s="311">
        <f t="shared" si="2"/>
        <v>0</v>
      </c>
      <c r="N20" s="117">
        <f>'As-Filed Schedule 2G'!J20</f>
        <v>0</v>
      </c>
      <c r="O20" s="314">
        <f>SUMIFS(Adjustments!$G:$G,Adjustments!$H:$H,"2G",Adjustments!$I:$I,'Schedule 2G Adjustments'!$N$12,Adjustments!$J:$J,'Schedule 2G Adjustments'!$A20)</f>
        <v>0</v>
      </c>
      <c r="P20" s="310">
        <f t="shared" si="3"/>
        <v>0</v>
      </c>
      <c r="Q20" s="68">
        <f>IFERROR(N20*'As-Filed Schedule 1'!$E$103,0)</f>
        <v>0</v>
      </c>
      <c r="R20" s="68">
        <f>IFERROR(P20*'Adjusted Schedule 1'!$E$104,0)</f>
        <v>0</v>
      </c>
      <c r="S20" s="68">
        <f t="shared" si="4"/>
        <v>0</v>
      </c>
      <c r="T20" s="311">
        <f t="shared" si="5"/>
        <v>0</v>
      </c>
      <c r="V20" s="120">
        <f>'As-Filed Schedule 2G'!N20</f>
        <v>0</v>
      </c>
      <c r="W20" s="314">
        <f>SUMIFS(Adjustments!$G:$G,Adjustments!$H:$H,"2G",Adjustments!$I:$I,'Schedule 2G Adjustments'!$V$12,Adjustments!$J:$J,'Schedule 2G Adjustments'!$A20)</f>
        <v>0</v>
      </c>
      <c r="X20" s="310">
        <f t="shared" si="6"/>
        <v>0</v>
      </c>
      <c r="Y20" s="120">
        <f>'As-Filed Schedule 2G'!O20</f>
        <v>0</v>
      </c>
      <c r="Z20" s="314">
        <f>SUMIFS(Adjustments!$G:$G,Adjustments!$H:$H,"2G",Adjustments!$I:$I,'Schedule 2G Adjustments'!$Y$12,Adjustments!$J:$J,'Schedule 2G Adjustments'!$A20)</f>
        <v>0</v>
      </c>
      <c r="AA20" s="310">
        <f t="shared" si="7"/>
        <v>0</v>
      </c>
    </row>
    <row r="21" spans="1:27" x14ac:dyDescent="0.35">
      <c r="A21" s="24">
        <v>7</v>
      </c>
      <c r="B21" s="513" t="str">
        <f>IF('As-Filed Schedule 2G'!B21:D21=0,"",'As-Filed Schedule 2G'!B21:D21)</f>
        <v/>
      </c>
      <c r="C21" s="513"/>
      <c r="D21" s="513"/>
      <c r="F21" s="117">
        <f>'As-Filed Schedule 2G'!F21</f>
        <v>0</v>
      </c>
      <c r="G21" s="314">
        <f>SUMIFS(Adjustments!$G:$G,Adjustments!$H:$H,"2G",Adjustments!$I:$I,'Schedule 2G Adjustments'!$F$12,Adjustments!$J:$J,'Schedule 2G Adjustments'!$A21)</f>
        <v>0</v>
      </c>
      <c r="H21" s="310">
        <f t="shared" si="0"/>
        <v>0</v>
      </c>
      <c r="I21" s="68">
        <f>IFERROR(F21*'As-Filed Schedule 1'!$E$103,0)</f>
        <v>0</v>
      </c>
      <c r="J21" s="311">
        <f>IFERROR(H21*'Adjusted Schedule 1'!$E$104,0)</f>
        <v>0</v>
      </c>
      <c r="K21" s="68">
        <f t="shared" si="1"/>
        <v>0</v>
      </c>
      <c r="L21" s="311">
        <f t="shared" si="2"/>
        <v>0</v>
      </c>
      <c r="N21" s="117">
        <f>'As-Filed Schedule 2G'!J21</f>
        <v>0</v>
      </c>
      <c r="O21" s="314">
        <f>SUMIFS(Adjustments!$G:$G,Adjustments!$H:$H,"2G",Adjustments!$I:$I,'Schedule 2G Adjustments'!$N$12,Adjustments!$J:$J,'Schedule 2G Adjustments'!$A21)</f>
        <v>0</v>
      </c>
      <c r="P21" s="310">
        <f t="shared" si="3"/>
        <v>0</v>
      </c>
      <c r="Q21" s="68">
        <f>IFERROR(N21*'As-Filed Schedule 1'!$E$103,0)</f>
        <v>0</v>
      </c>
      <c r="R21" s="68">
        <f>IFERROR(P21*'Adjusted Schedule 1'!$E$104,0)</f>
        <v>0</v>
      </c>
      <c r="S21" s="68">
        <f>SUM(N21,Q21)</f>
        <v>0</v>
      </c>
      <c r="T21" s="311">
        <f>SUM(P21,R21)</f>
        <v>0</v>
      </c>
      <c r="V21" s="120">
        <f>'As-Filed Schedule 2G'!N21</f>
        <v>0</v>
      </c>
      <c r="W21" s="314">
        <f>SUMIFS(Adjustments!$G:$G,Adjustments!$H:$H,"2G",Adjustments!$I:$I,'Schedule 2G Adjustments'!$V$12,Adjustments!$J:$J,'Schedule 2G Adjustments'!$A21)</f>
        <v>0</v>
      </c>
      <c r="X21" s="310">
        <f t="shared" si="6"/>
        <v>0</v>
      </c>
      <c r="Y21" s="120">
        <f>'As-Filed Schedule 2G'!O21</f>
        <v>0</v>
      </c>
      <c r="Z21" s="314">
        <f>SUMIFS(Adjustments!$G:$G,Adjustments!$H:$H,"2G",Adjustments!$I:$I,'Schedule 2G Adjustments'!$Y$12,Adjustments!$J:$J,'Schedule 2G Adjustments'!$A21)</f>
        <v>0</v>
      </c>
      <c r="AA21" s="310">
        <f t="shared" si="7"/>
        <v>0</v>
      </c>
    </row>
    <row r="22" spans="1:27" x14ac:dyDescent="0.35">
      <c r="A22" s="24">
        <v>8</v>
      </c>
      <c r="B22" s="513" t="str">
        <f>IF('As-Filed Schedule 2G'!B22:D22=0,"",'As-Filed Schedule 2G'!B22:D22)</f>
        <v/>
      </c>
      <c r="C22" s="513"/>
      <c r="D22" s="513"/>
      <c r="F22" s="117">
        <f>'As-Filed Schedule 2G'!F22</f>
        <v>0</v>
      </c>
      <c r="G22" s="314">
        <f>SUMIFS(Adjustments!$G:$G,Adjustments!$H:$H,"2G",Adjustments!$I:$I,'Schedule 2G Adjustments'!$F$12,Adjustments!$J:$J,'Schedule 2G Adjustments'!$A22)</f>
        <v>0</v>
      </c>
      <c r="H22" s="310">
        <f t="shared" si="0"/>
        <v>0</v>
      </c>
      <c r="I22" s="68">
        <f>IFERROR(F22*'As-Filed Schedule 1'!$E$103,0)</f>
        <v>0</v>
      </c>
      <c r="J22" s="311">
        <f>IFERROR(H22*'Adjusted Schedule 1'!$E$104,0)</f>
        <v>0</v>
      </c>
      <c r="K22" s="68">
        <f t="shared" si="1"/>
        <v>0</v>
      </c>
      <c r="L22" s="311">
        <f t="shared" si="2"/>
        <v>0</v>
      </c>
      <c r="N22" s="117">
        <f>'As-Filed Schedule 2G'!J22</f>
        <v>0</v>
      </c>
      <c r="O22" s="314">
        <f>SUMIFS(Adjustments!$G:$G,Adjustments!$H:$H,"2G",Adjustments!$I:$I,'Schedule 2G Adjustments'!$N$12,Adjustments!$J:$J,'Schedule 2G Adjustments'!$A22)</f>
        <v>0</v>
      </c>
      <c r="P22" s="310">
        <f t="shared" si="3"/>
        <v>0</v>
      </c>
      <c r="Q22" s="68">
        <f>IFERROR(N22*'As-Filed Schedule 1'!$E$103,0)</f>
        <v>0</v>
      </c>
      <c r="R22" s="68">
        <f>IFERROR(P22*'Adjusted Schedule 1'!$E$104,0)</f>
        <v>0</v>
      </c>
      <c r="S22" s="68">
        <f t="shared" si="4"/>
        <v>0</v>
      </c>
      <c r="T22" s="311">
        <f t="shared" si="5"/>
        <v>0</v>
      </c>
      <c r="V22" s="120">
        <f>'As-Filed Schedule 2G'!N22</f>
        <v>0</v>
      </c>
      <c r="W22" s="314">
        <f>SUMIFS(Adjustments!$G:$G,Adjustments!$H:$H,"2G",Adjustments!$I:$I,'Schedule 2G Adjustments'!$V$12,Adjustments!$J:$J,'Schedule 2G Adjustments'!$A22)</f>
        <v>0</v>
      </c>
      <c r="X22" s="310">
        <f t="shared" si="6"/>
        <v>0</v>
      </c>
      <c r="Y22" s="120">
        <f>'As-Filed Schedule 2G'!O22</f>
        <v>0</v>
      </c>
      <c r="Z22" s="314">
        <f>SUMIFS(Adjustments!$G:$G,Adjustments!$H:$H,"2G",Adjustments!$I:$I,'Schedule 2G Adjustments'!$Y$12,Adjustments!$J:$J,'Schedule 2G Adjustments'!$A22)</f>
        <v>0</v>
      </c>
      <c r="AA22" s="310">
        <f t="shared" si="7"/>
        <v>0</v>
      </c>
    </row>
    <row r="23" spans="1:27" x14ac:dyDescent="0.35">
      <c r="A23" s="24">
        <v>9</v>
      </c>
      <c r="B23" s="513" t="str">
        <f>IF('As-Filed Schedule 2G'!B23:D23=0,"",'As-Filed Schedule 2G'!B23:D23)</f>
        <v/>
      </c>
      <c r="C23" s="513"/>
      <c r="D23" s="513"/>
      <c r="F23" s="117">
        <f>'As-Filed Schedule 2G'!F23</f>
        <v>0</v>
      </c>
      <c r="G23" s="314">
        <f>SUMIFS(Adjustments!$G:$G,Adjustments!$H:$H,"2G",Adjustments!$I:$I,'Schedule 2G Adjustments'!$F$12,Adjustments!$J:$J,'Schedule 2G Adjustments'!$A23)</f>
        <v>0</v>
      </c>
      <c r="H23" s="310">
        <f t="shared" si="0"/>
        <v>0</v>
      </c>
      <c r="I23" s="68">
        <f>IFERROR(F23*'As-Filed Schedule 1'!$E$103,0)</f>
        <v>0</v>
      </c>
      <c r="J23" s="311">
        <f>IFERROR(H23*'Adjusted Schedule 1'!$E$104,0)</f>
        <v>0</v>
      </c>
      <c r="K23" s="68">
        <f t="shared" si="1"/>
        <v>0</v>
      </c>
      <c r="L23" s="311">
        <f t="shared" si="2"/>
        <v>0</v>
      </c>
      <c r="N23" s="117">
        <f>'As-Filed Schedule 2G'!J23</f>
        <v>0</v>
      </c>
      <c r="O23" s="314">
        <f>SUMIFS(Adjustments!$G:$G,Adjustments!$H:$H,"2G",Adjustments!$I:$I,'Schedule 2G Adjustments'!$N$12,Adjustments!$J:$J,'Schedule 2G Adjustments'!$A23)</f>
        <v>0</v>
      </c>
      <c r="P23" s="310">
        <f t="shared" si="3"/>
        <v>0</v>
      </c>
      <c r="Q23" s="68">
        <f>IFERROR(N23*'As-Filed Schedule 1'!$E$103,0)</f>
        <v>0</v>
      </c>
      <c r="R23" s="68">
        <f>IFERROR(P23*'Adjusted Schedule 1'!$E$104,0)</f>
        <v>0</v>
      </c>
      <c r="S23" s="68">
        <f t="shared" si="4"/>
        <v>0</v>
      </c>
      <c r="T23" s="311">
        <f t="shared" si="5"/>
        <v>0</v>
      </c>
      <c r="V23" s="120">
        <f>'As-Filed Schedule 2G'!N23</f>
        <v>0</v>
      </c>
      <c r="W23" s="314">
        <f>SUMIFS(Adjustments!$G:$G,Adjustments!$H:$H,"2G",Adjustments!$I:$I,'Schedule 2G Adjustments'!$V$12,Adjustments!$J:$J,'Schedule 2G Adjustments'!$A23)</f>
        <v>0</v>
      </c>
      <c r="X23" s="310">
        <f t="shared" si="6"/>
        <v>0</v>
      </c>
      <c r="Y23" s="120">
        <f>'As-Filed Schedule 2G'!O23</f>
        <v>0</v>
      </c>
      <c r="Z23" s="314">
        <f>SUMIFS(Adjustments!$G:$G,Adjustments!$H:$H,"2G",Adjustments!$I:$I,'Schedule 2G Adjustments'!$Y$12,Adjustments!$J:$J,'Schedule 2G Adjustments'!$A23)</f>
        <v>0</v>
      </c>
      <c r="AA23" s="310">
        <f t="shared" si="7"/>
        <v>0</v>
      </c>
    </row>
    <row r="24" spans="1:27" x14ac:dyDescent="0.35">
      <c r="A24" s="24">
        <v>10</v>
      </c>
      <c r="B24" s="513" t="str">
        <f>IF('As-Filed Schedule 2G'!B24:D24=0,"",'As-Filed Schedule 2G'!B24:D24)</f>
        <v/>
      </c>
      <c r="C24" s="513"/>
      <c r="D24" s="513"/>
      <c r="F24" s="117">
        <f>'As-Filed Schedule 2G'!F24</f>
        <v>0</v>
      </c>
      <c r="G24" s="314">
        <f>SUMIFS(Adjustments!$G:$G,Adjustments!$H:$H,"2G",Adjustments!$I:$I,'Schedule 2G Adjustments'!$F$12,Adjustments!$J:$J,'Schedule 2G Adjustments'!$A24)</f>
        <v>0</v>
      </c>
      <c r="H24" s="310">
        <f t="shared" si="0"/>
        <v>0</v>
      </c>
      <c r="I24" s="68">
        <f>IFERROR(F24*'As-Filed Schedule 1'!$E$103,0)</f>
        <v>0</v>
      </c>
      <c r="J24" s="311">
        <f>IFERROR(H24*'Adjusted Schedule 1'!$E$104,0)</f>
        <v>0</v>
      </c>
      <c r="K24" s="68">
        <f t="shared" si="1"/>
        <v>0</v>
      </c>
      <c r="L24" s="311">
        <f t="shared" si="2"/>
        <v>0</v>
      </c>
      <c r="N24" s="117">
        <f>'As-Filed Schedule 2G'!J24</f>
        <v>0</v>
      </c>
      <c r="O24" s="314">
        <f>SUMIFS(Adjustments!$G:$G,Adjustments!$H:$H,"2G",Adjustments!$I:$I,'Schedule 2G Adjustments'!$N$12,Adjustments!$J:$J,'Schedule 2G Adjustments'!$A24)</f>
        <v>0</v>
      </c>
      <c r="P24" s="310">
        <f t="shared" si="3"/>
        <v>0</v>
      </c>
      <c r="Q24" s="68">
        <f>IFERROR(N24*'As-Filed Schedule 1'!$E$103,0)</f>
        <v>0</v>
      </c>
      <c r="R24" s="68">
        <f>IFERROR(P24*'Adjusted Schedule 1'!$E$104,0)</f>
        <v>0</v>
      </c>
      <c r="S24" s="68">
        <f t="shared" si="4"/>
        <v>0</v>
      </c>
      <c r="T24" s="311">
        <f t="shared" si="5"/>
        <v>0</v>
      </c>
      <c r="V24" s="120">
        <f>'As-Filed Schedule 2G'!N24</f>
        <v>0</v>
      </c>
      <c r="W24" s="314">
        <f>SUMIFS(Adjustments!$G:$G,Adjustments!$H:$H,"2G",Adjustments!$I:$I,'Schedule 2G Adjustments'!$V$12,Adjustments!$J:$J,'Schedule 2G Adjustments'!$A24)</f>
        <v>0</v>
      </c>
      <c r="X24" s="310">
        <f t="shared" si="6"/>
        <v>0</v>
      </c>
      <c r="Y24" s="120">
        <f>'As-Filed Schedule 2G'!O24</f>
        <v>0</v>
      </c>
      <c r="Z24" s="314">
        <f>SUMIFS(Adjustments!$G:$G,Adjustments!$H:$H,"2G",Adjustments!$I:$I,'Schedule 2G Adjustments'!$Y$12,Adjustments!$J:$J,'Schedule 2G Adjustments'!$A24)</f>
        <v>0</v>
      </c>
      <c r="AA24" s="310">
        <f t="shared" si="7"/>
        <v>0</v>
      </c>
    </row>
    <row r="25" spans="1:27" x14ac:dyDescent="0.35">
      <c r="A25" s="24">
        <v>11</v>
      </c>
      <c r="B25" s="513" t="str">
        <f>IF('As-Filed Schedule 2G'!B25:D25=0,"",'As-Filed Schedule 2G'!B25:D25)</f>
        <v/>
      </c>
      <c r="C25" s="513"/>
      <c r="D25" s="513"/>
      <c r="F25" s="117">
        <f>'As-Filed Schedule 2G'!F25</f>
        <v>0</v>
      </c>
      <c r="G25" s="314">
        <f>SUMIFS(Adjustments!$G:$G,Adjustments!$H:$H,"2G",Adjustments!$I:$I,'Schedule 2G Adjustments'!$F$12,Adjustments!$J:$J,'Schedule 2G Adjustments'!$A25)</f>
        <v>0</v>
      </c>
      <c r="H25" s="310">
        <f t="shared" si="0"/>
        <v>0</v>
      </c>
      <c r="I25" s="68">
        <f>IFERROR(F25*'As-Filed Schedule 1'!$E$103,0)</f>
        <v>0</v>
      </c>
      <c r="J25" s="311">
        <f>IFERROR(H25*'Adjusted Schedule 1'!$E$104,0)</f>
        <v>0</v>
      </c>
      <c r="K25" s="68">
        <f t="shared" si="1"/>
        <v>0</v>
      </c>
      <c r="L25" s="311">
        <f t="shared" si="2"/>
        <v>0</v>
      </c>
      <c r="N25" s="117">
        <f>'As-Filed Schedule 2G'!J25</f>
        <v>0</v>
      </c>
      <c r="O25" s="314">
        <f>SUMIFS(Adjustments!$G:$G,Adjustments!$H:$H,"2G",Adjustments!$I:$I,'Schedule 2G Adjustments'!$N$12,Adjustments!$J:$J,'Schedule 2G Adjustments'!$A25)</f>
        <v>0</v>
      </c>
      <c r="P25" s="310">
        <f t="shared" si="3"/>
        <v>0</v>
      </c>
      <c r="Q25" s="68">
        <f>IFERROR(N25*'As-Filed Schedule 1'!$E$103,0)</f>
        <v>0</v>
      </c>
      <c r="R25" s="68">
        <f>IFERROR(P25*'Adjusted Schedule 1'!$E$104,0)</f>
        <v>0</v>
      </c>
      <c r="S25" s="68">
        <f t="shared" si="4"/>
        <v>0</v>
      </c>
      <c r="T25" s="311">
        <f t="shared" si="5"/>
        <v>0</v>
      </c>
      <c r="V25" s="120">
        <f>'As-Filed Schedule 2G'!N25</f>
        <v>0</v>
      </c>
      <c r="W25" s="314">
        <f>SUMIFS(Adjustments!$G:$G,Adjustments!$H:$H,"2G",Adjustments!$I:$I,'Schedule 2G Adjustments'!$V$12,Adjustments!$J:$J,'Schedule 2G Adjustments'!$A25)</f>
        <v>0</v>
      </c>
      <c r="X25" s="310">
        <f t="shared" si="6"/>
        <v>0</v>
      </c>
      <c r="Y25" s="120">
        <f>'As-Filed Schedule 2G'!O25</f>
        <v>0</v>
      </c>
      <c r="Z25" s="314">
        <f>SUMIFS(Adjustments!$G:$G,Adjustments!$H:$H,"2G",Adjustments!$I:$I,'Schedule 2G Adjustments'!$Y$12,Adjustments!$J:$J,'Schedule 2G Adjustments'!$A25)</f>
        <v>0</v>
      </c>
      <c r="AA25" s="310">
        <f t="shared" si="7"/>
        <v>0</v>
      </c>
    </row>
    <row r="26" spans="1:27" x14ac:dyDescent="0.35">
      <c r="A26" s="24">
        <v>12</v>
      </c>
      <c r="B26" s="513" t="str">
        <f>IF('As-Filed Schedule 2G'!B26:D26=0,"",'As-Filed Schedule 2G'!B26:D26)</f>
        <v/>
      </c>
      <c r="C26" s="513"/>
      <c r="D26" s="513"/>
      <c r="F26" s="117">
        <f>'As-Filed Schedule 2G'!F26</f>
        <v>0</v>
      </c>
      <c r="G26" s="314">
        <f>SUMIFS(Adjustments!$G:$G,Adjustments!$H:$H,"2G",Adjustments!$I:$I,'Schedule 2G Adjustments'!$F$12,Adjustments!$J:$J,'Schedule 2G Adjustments'!$A26)</f>
        <v>0</v>
      </c>
      <c r="H26" s="310">
        <f t="shared" si="0"/>
        <v>0</v>
      </c>
      <c r="I26" s="68">
        <f>IFERROR(F26*'As-Filed Schedule 1'!$E$103,0)</f>
        <v>0</v>
      </c>
      <c r="J26" s="311">
        <f>IFERROR(H26*'Adjusted Schedule 1'!$E$104,0)</f>
        <v>0</v>
      </c>
      <c r="K26" s="68">
        <f t="shared" si="1"/>
        <v>0</v>
      </c>
      <c r="L26" s="311">
        <f t="shared" si="2"/>
        <v>0</v>
      </c>
      <c r="N26" s="117">
        <f>'As-Filed Schedule 2G'!J26</f>
        <v>0</v>
      </c>
      <c r="O26" s="314">
        <f>SUMIFS(Adjustments!$G:$G,Adjustments!$H:$H,"2G",Adjustments!$I:$I,'Schedule 2G Adjustments'!$N$12,Adjustments!$J:$J,'Schedule 2G Adjustments'!$A26)</f>
        <v>0</v>
      </c>
      <c r="P26" s="310">
        <f t="shared" si="3"/>
        <v>0</v>
      </c>
      <c r="Q26" s="68">
        <f>IFERROR(N26*'As-Filed Schedule 1'!$E$103,0)</f>
        <v>0</v>
      </c>
      <c r="R26" s="68">
        <f>IFERROR(P26*'Adjusted Schedule 1'!$E$104,0)</f>
        <v>0</v>
      </c>
      <c r="S26" s="68">
        <f t="shared" si="4"/>
        <v>0</v>
      </c>
      <c r="T26" s="311">
        <f t="shared" si="5"/>
        <v>0</v>
      </c>
      <c r="V26" s="120">
        <f>'As-Filed Schedule 2G'!N26</f>
        <v>0</v>
      </c>
      <c r="W26" s="314">
        <f>SUMIFS(Adjustments!$G:$G,Adjustments!$H:$H,"2G",Adjustments!$I:$I,'Schedule 2G Adjustments'!$V$12,Adjustments!$J:$J,'Schedule 2G Adjustments'!$A26)</f>
        <v>0</v>
      </c>
      <c r="X26" s="310">
        <f t="shared" si="6"/>
        <v>0</v>
      </c>
      <c r="Y26" s="120">
        <f>'As-Filed Schedule 2G'!O26</f>
        <v>0</v>
      </c>
      <c r="Z26" s="314">
        <f>SUMIFS(Adjustments!$G:$G,Adjustments!$H:$H,"2G",Adjustments!$I:$I,'Schedule 2G Adjustments'!$Y$12,Adjustments!$J:$J,'Schedule 2G Adjustments'!$A26)</f>
        <v>0</v>
      </c>
      <c r="AA26" s="310">
        <f t="shared" si="7"/>
        <v>0</v>
      </c>
    </row>
    <row r="27" spans="1:27" x14ac:dyDescent="0.35">
      <c r="A27" s="24">
        <v>13</v>
      </c>
      <c r="B27" s="513" t="str">
        <f>IF('As-Filed Schedule 2G'!B27:D27=0,"",'As-Filed Schedule 2G'!B27:D27)</f>
        <v/>
      </c>
      <c r="C27" s="513"/>
      <c r="D27" s="513"/>
      <c r="F27" s="117">
        <f>'As-Filed Schedule 2G'!F27</f>
        <v>0</v>
      </c>
      <c r="G27" s="314">
        <f>SUMIFS(Adjustments!$G:$G,Adjustments!$H:$H,"2G",Adjustments!$I:$I,'Schedule 2G Adjustments'!$F$12,Adjustments!$J:$J,'Schedule 2G Adjustments'!$A27)</f>
        <v>0</v>
      </c>
      <c r="H27" s="310">
        <f t="shared" si="0"/>
        <v>0</v>
      </c>
      <c r="I27" s="68">
        <f>IFERROR(F27*'As-Filed Schedule 1'!$E$103,0)</f>
        <v>0</v>
      </c>
      <c r="J27" s="311">
        <f>IFERROR(H27*'Adjusted Schedule 1'!$E$104,0)</f>
        <v>0</v>
      </c>
      <c r="K27" s="68">
        <f t="shared" si="1"/>
        <v>0</v>
      </c>
      <c r="L27" s="311">
        <f t="shared" si="2"/>
        <v>0</v>
      </c>
      <c r="N27" s="117">
        <f>'As-Filed Schedule 2G'!J27</f>
        <v>0</v>
      </c>
      <c r="O27" s="314">
        <f>SUMIFS(Adjustments!$G:$G,Adjustments!$H:$H,"2G",Adjustments!$I:$I,'Schedule 2G Adjustments'!$N$12,Adjustments!$J:$J,'Schedule 2G Adjustments'!$A27)</f>
        <v>0</v>
      </c>
      <c r="P27" s="310">
        <f t="shared" si="3"/>
        <v>0</v>
      </c>
      <c r="Q27" s="68">
        <f>IFERROR(N27*'As-Filed Schedule 1'!$E$103,0)</f>
        <v>0</v>
      </c>
      <c r="R27" s="68">
        <f>IFERROR(P27*'Adjusted Schedule 1'!$E$104,0)</f>
        <v>0</v>
      </c>
      <c r="S27" s="68">
        <f t="shared" si="4"/>
        <v>0</v>
      </c>
      <c r="T27" s="311">
        <f t="shared" si="5"/>
        <v>0</v>
      </c>
      <c r="V27" s="120">
        <f>'As-Filed Schedule 2G'!N27</f>
        <v>0</v>
      </c>
      <c r="W27" s="314">
        <f>SUMIFS(Adjustments!$G:$G,Adjustments!$H:$H,"2G",Adjustments!$I:$I,'Schedule 2G Adjustments'!$V$12,Adjustments!$J:$J,'Schedule 2G Adjustments'!$A27)</f>
        <v>0</v>
      </c>
      <c r="X27" s="310">
        <f t="shared" si="6"/>
        <v>0</v>
      </c>
      <c r="Y27" s="120">
        <f>'As-Filed Schedule 2G'!O27</f>
        <v>0</v>
      </c>
      <c r="Z27" s="314">
        <f>SUMIFS(Adjustments!$G:$G,Adjustments!$H:$H,"2G",Adjustments!$I:$I,'Schedule 2G Adjustments'!$Y$12,Adjustments!$J:$J,'Schedule 2G Adjustments'!$A27)</f>
        <v>0</v>
      </c>
      <c r="AA27" s="310">
        <f t="shared" si="7"/>
        <v>0</v>
      </c>
    </row>
    <row r="28" spans="1:27" x14ac:dyDescent="0.35">
      <c r="A28" s="24">
        <v>14</v>
      </c>
      <c r="B28" s="513" t="str">
        <f>IF('As-Filed Schedule 2G'!B28:D28=0,"",'As-Filed Schedule 2G'!B28:D28)</f>
        <v/>
      </c>
      <c r="C28" s="513"/>
      <c r="D28" s="513"/>
      <c r="F28" s="117">
        <f>'As-Filed Schedule 2G'!F28</f>
        <v>0</v>
      </c>
      <c r="G28" s="314">
        <f>SUMIFS(Adjustments!$G:$G,Adjustments!$H:$H,"2G",Adjustments!$I:$I,'Schedule 2G Adjustments'!$F$12,Adjustments!$J:$J,'Schedule 2G Adjustments'!$A28)</f>
        <v>0</v>
      </c>
      <c r="H28" s="310">
        <f t="shared" si="0"/>
        <v>0</v>
      </c>
      <c r="I28" s="68">
        <f>IFERROR(F28*'As-Filed Schedule 1'!$E$103,0)</f>
        <v>0</v>
      </c>
      <c r="J28" s="311">
        <f>IFERROR(H28*'Adjusted Schedule 1'!$E$104,0)</f>
        <v>0</v>
      </c>
      <c r="K28" s="68">
        <f t="shared" si="1"/>
        <v>0</v>
      </c>
      <c r="L28" s="311">
        <f t="shared" si="2"/>
        <v>0</v>
      </c>
      <c r="N28" s="117">
        <f>'As-Filed Schedule 2G'!J28</f>
        <v>0</v>
      </c>
      <c r="O28" s="314">
        <f>SUMIFS(Adjustments!$G:$G,Adjustments!$H:$H,"2G",Adjustments!$I:$I,'Schedule 2G Adjustments'!$N$12,Adjustments!$J:$J,'Schedule 2G Adjustments'!$A28)</f>
        <v>0</v>
      </c>
      <c r="P28" s="310">
        <f t="shared" si="3"/>
        <v>0</v>
      </c>
      <c r="Q28" s="68">
        <f>IFERROR(N28*'As-Filed Schedule 1'!$E$103,0)</f>
        <v>0</v>
      </c>
      <c r="R28" s="68">
        <f>IFERROR(P28*'Adjusted Schedule 1'!$E$104,0)</f>
        <v>0</v>
      </c>
      <c r="S28" s="68">
        <f t="shared" si="4"/>
        <v>0</v>
      </c>
      <c r="T28" s="311">
        <f t="shared" si="5"/>
        <v>0</v>
      </c>
      <c r="V28" s="120">
        <f>'As-Filed Schedule 2G'!N28</f>
        <v>0</v>
      </c>
      <c r="W28" s="314">
        <f>SUMIFS(Adjustments!$G:$G,Adjustments!$H:$H,"2G",Adjustments!$I:$I,'Schedule 2G Adjustments'!$V$12,Adjustments!$J:$J,'Schedule 2G Adjustments'!$A28)</f>
        <v>0</v>
      </c>
      <c r="X28" s="310">
        <f t="shared" si="6"/>
        <v>0</v>
      </c>
      <c r="Y28" s="120">
        <f>'As-Filed Schedule 2G'!O28</f>
        <v>0</v>
      </c>
      <c r="Z28" s="314">
        <f>SUMIFS(Adjustments!$G:$G,Adjustments!$H:$H,"2G",Adjustments!$I:$I,'Schedule 2G Adjustments'!$Y$12,Adjustments!$J:$J,'Schedule 2G Adjustments'!$A28)</f>
        <v>0</v>
      </c>
      <c r="AA28" s="310">
        <f t="shared" si="7"/>
        <v>0</v>
      </c>
    </row>
    <row r="29" spans="1:27" x14ac:dyDescent="0.35">
      <c r="A29" s="24">
        <v>15</v>
      </c>
      <c r="B29" s="513" t="str">
        <f>IF('As-Filed Schedule 2G'!B29:D29=0,"",'As-Filed Schedule 2G'!B29:D29)</f>
        <v/>
      </c>
      <c r="C29" s="513"/>
      <c r="D29" s="513"/>
      <c r="F29" s="117">
        <f>'As-Filed Schedule 2G'!F29</f>
        <v>0</v>
      </c>
      <c r="G29" s="314">
        <f>SUMIFS(Adjustments!$G:$G,Adjustments!$H:$H,"2G",Adjustments!$I:$I,'Schedule 2G Adjustments'!$F$12,Adjustments!$J:$J,'Schedule 2G Adjustments'!$A29)</f>
        <v>0</v>
      </c>
      <c r="H29" s="310">
        <f t="shared" si="0"/>
        <v>0</v>
      </c>
      <c r="I29" s="68">
        <f>IFERROR(F29*'As-Filed Schedule 1'!$E$103,0)</f>
        <v>0</v>
      </c>
      <c r="J29" s="311">
        <f>IFERROR(H29*'Adjusted Schedule 1'!$E$104,0)</f>
        <v>0</v>
      </c>
      <c r="K29" s="68">
        <f t="shared" si="1"/>
        <v>0</v>
      </c>
      <c r="L29" s="311">
        <f t="shared" si="2"/>
        <v>0</v>
      </c>
      <c r="N29" s="117">
        <f>'As-Filed Schedule 2G'!J29</f>
        <v>0</v>
      </c>
      <c r="O29" s="314">
        <f>SUMIFS(Adjustments!$G:$G,Adjustments!$H:$H,"2G",Adjustments!$I:$I,'Schedule 2G Adjustments'!$N$12,Adjustments!$J:$J,'Schedule 2G Adjustments'!$A29)</f>
        <v>0</v>
      </c>
      <c r="P29" s="310">
        <f t="shared" si="3"/>
        <v>0</v>
      </c>
      <c r="Q29" s="68">
        <f>IFERROR(N29*'As-Filed Schedule 1'!$E$103,0)</f>
        <v>0</v>
      </c>
      <c r="R29" s="68">
        <f>IFERROR(P29*'Adjusted Schedule 1'!$E$104,0)</f>
        <v>0</v>
      </c>
      <c r="S29" s="68">
        <f t="shared" si="4"/>
        <v>0</v>
      </c>
      <c r="T29" s="311">
        <f t="shared" si="5"/>
        <v>0</v>
      </c>
      <c r="V29" s="120">
        <f>'As-Filed Schedule 2G'!N29</f>
        <v>0</v>
      </c>
      <c r="W29" s="314">
        <f>SUMIFS(Adjustments!$G:$G,Adjustments!$H:$H,"2G",Adjustments!$I:$I,'Schedule 2G Adjustments'!$V$12,Adjustments!$J:$J,'Schedule 2G Adjustments'!$A29)</f>
        <v>0</v>
      </c>
      <c r="X29" s="310">
        <f t="shared" si="6"/>
        <v>0</v>
      </c>
      <c r="Y29" s="120">
        <f>'As-Filed Schedule 2G'!O29</f>
        <v>0</v>
      </c>
      <c r="Z29" s="314">
        <f>SUMIFS(Adjustments!$G:$G,Adjustments!$H:$H,"2G",Adjustments!$I:$I,'Schedule 2G Adjustments'!$Y$12,Adjustments!$J:$J,'Schedule 2G Adjustments'!$A29)</f>
        <v>0</v>
      </c>
      <c r="AA29" s="310">
        <f t="shared" si="7"/>
        <v>0</v>
      </c>
    </row>
    <row r="30" spans="1:27" x14ac:dyDescent="0.35">
      <c r="A30" s="24">
        <v>16</v>
      </c>
      <c r="B30" s="513" t="str">
        <f>IF('As-Filed Schedule 2G'!B30:D30=0,"",'As-Filed Schedule 2G'!B30:D30)</f>
        <v/>
      </c>
      <c r="C30" s="513"/>
      <c r="D30" s="513"/>
      <c r="F30" s="117">
        <f>'As-Filed Schedule 2G'!F30</f>
        <v>0</v>
      </c>
      <c r="G30" s="314">
        <f>SUMIFS(Adjustments!$G:$G,Adjustments!$H:$H,"2G",Adjustments!$I:$I,'Schedule 2G Adjustments'!$F$12,Adjustments!$J:$J,'Schedule 2G Adjustments'!$A30)</f>
        <v>0</v>
      </c>
      <c r="H30" s="310">
        <f t="shared" si="0"/>
        <v>0</v>
      </c>
      <c r="I30" s="68">
        <f>IFERROR(F30*'As-Filed Schedule 1'!$E$103,0)</f>
        <v>0</v>
      </c>
      <c r="J30" s="311">
        <f>IFERROR(H30*'Adjusted Schedule 1'!$E$104,0)</f>
        <v>0</v>
      </c>
      <c r="K30" s="68">
        <f t="shared" si="1"/>
        <v>0</v>
      </c>
      <c r="L30" s="311">
        <f t="shared" si="2"/>
        <v>0</v>
      </c>
      <c r="N30" s="117">
        <f>'As-Filed Schedule 2G'!J30</f>
        <v>0</v>
      </c>
      <c r="O30" s="314">
        <f>SUMIFS(Adjustments!$G:$G,Adjustments!$H:$H,"2G",Adjustments!$I:$I,'Schedule 2G Adjustments'!$N$12,Adjustments!$J:$J,'Schedule 2G Adjustments'!$A30)</f>
        <v>0</v>
      </c>
      <c r="P30" s="310">
        <f t="shared" si="3"/>
        <v>0</v>
      </c>
      <c r="Q30" s="68">
        <f>IFERROR(N30*'As-Filed Schedule 1'!$E$103,0)</f>
        <v>0</v>
      </c>
      <c r="R30" s="68">
        <f>IFERROR(P30*'Adjusted Schedule 1'!$E$104,0)</f>
        <v>0</v>
      </c>
      <c r="S30" s="68">
        <f t="shared" si="4"/>
        <v>0</v>
      </c>
      <c r="T30" s="311">
        <f t="shared" si="5"/>
        <v>0</v>
      </c>
      <c r="V30" s="120">
        <f>'As-Filed Schedule 2G'!N30</f>
        <v>0</v>
      </c>
      <c r="W30" s="314">
        <f>SUMIFS(Adjustments!$G:$G,Adjustments!$H:$H,"2G",Adjustments!$I:$I,'Schedule 2G Adjustments'!$V$12,Adjustments!$J:$J,'Schedule 2G Adjustments'!$A30)</f>
        <v>0</v>
      </c>
      <c r="X30" s="310">
        <f t="shared" si="6"/>
        <v>0</v>
      </c>
      <c r="Y30" s="120">
        <f>'As-Filed Schedule 2G'!O30</f>
        <v>0</v>
      </c>
      <c r="Z30" s="314">
        <f>SUMIFS(Adjustments!$G:$G,Adjustments!$H:$H,"2G",Adjustments!$I:$I,'Schedule 2G Adjustments'!$Y$12,Adjustments!$J:$J,'Schedule 2G Adjustments'!$A30)</f>
        <v>0</v>
      </c>
      <c r="AA30" s="310">
        <f t="shared" si="7"/>
        <v>0</v>
      </c>
    </row>
    <row r="31" spans="1:27" x14ac:dyDescent="0.35">
      <c r="A31" s="24">
        <v>17</v>
      </c>
      <c r="B31" s="513" t="str">
        <f>IF('As-Filed Schedule 2G'!B31:D31=0,"",'As-Filed Schedule 2G'!B31:D31)</f>
        <v/>
      </c>
      <c r="C31" s="513"/>
      <c r="D31" s="513"/>
      <c r="F31" s="117">
        <f>'As-Filed Schedule 2G'!F31</f>
        <v>0</v>
      </c>
      <c r="G31" s="314">
        <f>SUMIFS(Adjustments!$G:$G,Adjustments!$H:$H,"2G",Adjustments!$I:$I,'Schedule 2G Adjustments'!$F$12,Adjustments!$J:$J,'Schedule 2G Adjustments'!$A31)</f>
        <v>0</v>
      </c>
      <c r="H31" s="310">
        <f t="shared" si="0"/>
        <v>0</v>
      </c>
      <c r="I31" s="68">
        <f>IFERROR(F31*'As-Filed Schedule 1'!$E$103,0)</f>
        <v>0</v>
      </c>
      <c r="J31" s="311">
        <f>IFERROR(H31*'Adjusted Schedule 1'!$E$104,0)</f>
        <v>0</v>
      </c>
      <c r="K31" s="68">
        <f t="shared" si="1"/>
        <v>0</v>
      </c>
      <c r="L31" s="311">
        <f t="shared" si="2"/>
        <v>0</v>
      </c>
      <c r="N31" s="117">
        <f>'As-Filed Schedule 2G'!J31</f>
        <v>0</v>
      </c>
      <c r="O31" s="314">
        <f>SUMIFS(Adjustments!$G:$G,Adjustments!$H:$H,"2G",Adjustments!$I:$I,'Schedule 2G Adjustments'!$N$12,Adjustments!$J:$J,'Schedule 2G Adjustments'!$A31)</f>
        <v>0</v>
      </c>
      <c r="P31" s="310">
        <f t="shared" si="3"/>
        <v>0</v>
      </c>
      <c r="Q31" s="68">
        <f>IFERROR(N31*'As-Filed Schedule 1'!$E$103,0)</f>
        <v>0</v>
      </c>
      <c r="R31" s="68">
        <f>IFERROR(P31*'Adjusted Schedule 1'!$E$104,0)</f>
        <v>0</v>
      </c>
      <c r="S31" s="68">
        <f t="shared" si="4"/>
        <v>0</v>
      </c>
      <c r="T31" s="311">
        <f t="shared" si="5"/>
        <v>0</v>
      </c>
      <c r="V31" s="120">
        <f>'As-Filed Schedule 2G'!N31</f>
        <v>0</v>
      </c>
      <c r="W31" s="314">
        <f>SUMIFS(Adjustments!$G:$G,Adjustments!$H:$H,"2G",Adjustments!$I:$I,'Schedule 2G Adjustments'!$V$12,Adjustments!$J:$J,'Schedule 2G Adjustments'!$A31)</f>
        <v>0</v>
      </c>
      <c r="X31" s="310">
        <f t="shared" si="6"/>
        <v>0</v>
      </c>
      <c r="Y31" s="120">
        <f>'As-Filed Schedule 2G'!O31</f>
        <v>0</v>
      </c>
      <c r="Z31" s="314">
        <f>SUMIFS(Adjustments!$G:$G,Adjustments!$H:$H,"2G",Adjustments!$I:$I,'Schedule 2G Adjustments'!$Y$12,Adjustments!$J:$J,'Schedule 2G Adjustments'!$A31)</f>
        <v>0</v>
      </c>
      <c r="AA31" s="310">
        <f t="shared" si="7"/>
        <v>0</v>
      </c>
    </row>
    <row r="32" spans="1:27" x14ac:dyDescent="0.35">
      <c r="A32" s="24">
        <v>18</v>
      </c>
      <c r="B32" s="513" t="str">
        <f>IF('As-Filed Schedule 2G'!B32:D32=0,"",'As-Filed Schedule 2G'!B32:D32)</f>
        <v/>
      </c>
      <c r="C32" s="513"/>
      <c r="D32" s="513"/>
      <c r="F32" s="117">
        <f>'As-Filed Schedule 2G'!F32</f>
        <v>0</v>
      </c>
      <c r="G32" s="314">
        <f>SUMIFS(Adjustments!$G:$G,Adjustments!$H:$H,"2G",Adjustments!$I:$I,'Schedule 2G Adjustments'!$F$12,Adjustments!$J:$J,'Schedule 2G Adjustments'!$A32)</f>
        <v>0</v>
      </c>
      <c r="H32" s="310">
        <f t="shared" si="0"/>
        <v>0</v>
      </c>
      <c r="I32" s="68">
        <f>IFERROR(F32*'As-Filed Schedule 1'!$E$103,0)</f>
        <v>0</v>
      </c>
      <c r="J32" s="311">
        <f>IFERROR(H32*'Adjusted Schedule 1'!$E$104,0)</f>
        <v>0</v>
      </c>
      <c r="K32" s="68">
        <f t="shared" si="1"/>
        <v>0</v>
      </c>
      <c r="L32" s="311">
        <f t="shared" si="2"/>
        <v>0</v>
      </c>
      <c r="N32" s="117">
        <f>'As-Filed Schedule 2G'!J32</f>
        <v>0</v>
      </c>
      <c r="O32" s="314">
        <f>SUMIFS(Adjustments!$G:$G,Adjustments!$H:$H,"2G",Adjustments!$I:$I,'Schedule 2G Adjustments'!$N$12,Adjustments!$J:$J,'Schedule 2G Adjustments'!$A32)</f>
        <v>0</v>
      </c>
      <c r="P32" s="310">
        <f t="shared" si="3"/>
        <v>0</v>
      </c>
      <c r="Q32" s="68">
        <f>IFERROR(N32*'As-Filed Schedule 1'!$E$103,0)</f>
        <v>0</v>
      </c>
      <c r="R32" s="68">
        <f>IFERROR(P32*'Adjusted Schedule 1'!$E$104,0)</f>
        <v>0</v>
      </c>
      <c r="S32" s="68">
        <f t="shared" si="4"/>
        <v>0</v>
      </c>
      <c r="T32" s="311">
        <f t="shared" si="5"/>
        <v>0</v>
      </c>
      <c r="V32" s="120">
        <f>'As-Filed Schedule 2G'!N32</f>
        <v>0</v>
      </c>
      <c r="W32" s="314">
        <f>SUMIFS(Adjustments!$G:$G,Adjustments!$H:$H,"2G",Adjustments!$I:$I,'Schedule 2G Adjustments'!$V$12,Adjustments!$J:$J,'Schedule 2G Adjustments'!$A32)</f>
        <v>0</v>
      </c>
      <c r="X32" s="310">
        <f t="shared" si="6"/>
        <v>0</v>
      </c>
      <c r="Y32" s="120">
        <f>'As-Filed Schedule 2G'!O32</f>
        <v>0</v>
      </c>
      <c r="Z32" s="314">
        <f>SUMIFS(Adjustments!$G:$G,Adjustments!$H:$H,"2G",Adjustments!$I:$I,'Schedule 2G Adjustments'!$Y$12,Adjustments!$J:$J,'Schedule 2G Adjustments'!$A32)</f>
        <v>0</v>
      </c>
      <c r="AA32" s="310">
        <f t="shared" si="7"/>
        <v>0</v>
      </c>
    </row>
    <row r="33" spans="1:27" x14ac:dyDescent="0.35">
      <c r="A33" s="24">
        <v>19</v>
      </c>
      <c r="B33" s="513" t="str">
        <f>IF('As-Filed Schedule 2G'!B33:D33=0,"",'As-Filed Schedule 2G'!B33:D33)</f>
        <v/>
      </c>
      <c r="C33" s="513"/>
      <c r="D33" s="513"/>
      <c r="F33" s="117">
        <f>'As-Filed Schedule 2G'!F33</f>
        <v>0</v>
      </c>
      <c r="G33" s="314">
        <f>SUMIFS(Adjustments!$G:$G,Adjustments!$H:$H,"2G",Adjustments!$I:$I,'Schedule 2G Adjustments'!$F$12,Adjustments!$J:$J,'Schedule 2G Adjustments'!$A33)</f>
        <v>0</v>
      </c>
      <c r="H33" s="310">
        <f t="shared" si="0"/>
        <v>0</v>
      </c>
      <c r="I33" s="68">
        <f>IFERROR(F33*'As-Filed Schedule 1'!$E$103,0)</f>
        <v>0</v>
      </c>
      <c r="J33" s="311">
        <f>IFERROR(H33*'Adjusted Schedule 1'!$E$104,0)</f>
        <v>0</v>
      </c>
      <c r="K33" s="68">
        <f t="shared" si="1"/>
        <v>0</v>
      </c>
      <c r="L33" s="311">
        <f t="shared" si="2"/>
        <v>0</v>
      </c>
      <c r="N33" s="117">
        <f>'As-Filed Schedule 2G'!J33</f>
        <v>0</v>
      </c>
      <c r="O33" s="314">
        <f>SUMIFS(Adjustments!$G:$G,Adjustments!$H:$H,"2G",Adjustments!$I:$I,'Schedule 2G Adjustments'!$N$12,Adjustments!$J:$J,'Schedule 2G Adjustments'!$A33)</f>
        <v>0</v>
      </c>
      <c r="P33" s="310">
        <f t="shared" si="3"/>
        <v>0</v>
      </c>
      <c r="Q33" s="68">
        <f>IFERROR(N33*'As-Filed Schedule 1'!$E$103,0)</f>
        <v>0</v>
      </c>
      <c r="R33" s="68">
        <f>IFERROR(P33*'Adjusted Schedule 1'!$E$104,0)</f>
        <v>0</v>
      </c>
      <c r="S33" s="68">
        <f t="shared" si="4"/>
        <v>0</v>
      </c>
      <c r="T33" s="311">
        <f t="shared" si="5"/>
        <v>0</v>
      </c>
      <c r="V33" s="120">
        <f>'As-Filed Schedule 2G'!N33</f>
        <v>0</v>
      </c>
      <c r="W33" s="314">
        <f>SUMIFS(Adjustments!$G:$G,Adjustments!$H:$H,"2G",Adjustments!$I:$I,'Schedule 2G Adjustments'!$V$12,Adjustments!$J:$J,'Schedule 2G Adjustments'!$A33)</f>
        <v>0</v>
      </c>
      <c r="X33" s="310">
        <f t="shared" si="6"/>
        <v>0</v>
      </c>
      <c r="Y33" s="120">
        <f>'As-Filed Schedule 2G'!O33</f>
        <v>0</v>
      </c>
      <c r="Z33" s="314">
        <f>SUMIFS(Adjustments!$G:$G,Adjustments!$H:$H,"2G",Adjustments!$I:$I,'Schedule 2G Adjustments'!$Y$12,Adjustments!$J:$J,'Schedule 2G Adjustments'!$A33)</f>
        <v>0</v>
      </c>
      <c r="AA33" s="310">
        <f t="shared" si="7"/>
        <v>0</v>
      </c>
    </row>
    <row r="34" spans="1:27" x14ac:dyDescent="0.35">
      <c r="A34" s="24">
        <v>20</v>
      </c>
      <c r="B34" s="513" t="str">
        <f>IF('As-Filed Schedule 2G'!B34:D34=0,"",'As-Filed Schedule 2G'!B34:D34)</f>
        <v/>
      </c>
      <c r="C34" s="513"/>
      <c r="D34" s="513"/>
      <c r="F34" s="117">
        <f>'As-Filed Schedule 2G'!F34</f>
        <v>0</v>
      </c>
      <c r="G34" s="314">
        <f>SUMIFS(Adjustments!$G:$G,Adjustments!$H:$H,"2G",Adjustments!$I:$I,'Schedule 2G Adjustments'!$F$12,Adjustments!$J:$J,'Schedule 2G Adjustments'!$A34)</f>
        <v>0</v>
      </c>
      <c r="H34" s="310">
        <f t="shared" si="0"/>
        <v>0</v>
      </c>
      <c r="I34" s="68">
        <f>IFERROR(F34*'As-Filed Schedule 1'!$E$103,0)</f>
        <v>0</v>
      </c>
      <c r="J34" s="311">
        <f>IFERROR(H34*'Adjusted Schedule 1'!$E$104,0)</f>
        <v>0</v>
      </c>
      <c r="K34" s="68">
        <f t="shared" si="1"/>
        <v>0</v>
      </c>
      <c r="L34" s="311">
        <f t="shared" si="2"/>
        <v>0</v>
      </c>
      <c r="N34" s="117">
        <f>'As-Filed Schedule 2G'!J34</f>
        <v>0</v>
      </c>
      <c r="O34" s="314">
        <f>SUMIFS(Adjustments!$G:$G,Adjustments!$H:$H,"2G",Adjustments!$I:$I,'Schedule 2G Adjustments'!$N$12,Adjustments!$J:$J,'Schedule 2G Adjustments'!$A34)</f>
        <v>0</v>
      </c>
      <c r="P34" s="310">
        <f t="shared" si="3"/>
        <v>0</v>
      </c>
      <c r="Q34" s="68">
        <f>IFERROR(N34*'As-Filed Schedule 1'!$E$103,0)</f>
        <v>0</v>
      </c>
      <c r="R34" s="68">
        <f>IFERROR(P34*'Adjusted Schedule 1'!$E$104,0)</f>
        <v>0</v>
      </c>
      <c r="S34" s="68">
        <f t="shared" si="4"/>
        <v>0</v>
      </c>
      <c r="T34" s="311">
        <f t="shared" si="5"/>
        <v>0</v>
      </c>
      <c r="V34" s="120">
        <f>'As-Filed Schedule 2G'!N34</f>
        <v>0</v>
      </c>
      <c r="W34" s="314">
        <f>SUMIFS(Adjustments!$G:$G,Adjustments!$H:$H,"2G",Adjustments!$I:$I,'Schedule 2G Adjustments'!$V$12,Adjustments!$J:$J,'Schedule 2G Adjustments'!$A34)</f>
        <v>0</v>
      </c>
      <c r="X34" s="310">
        <f t="shared" si="6"/>
        <v>0</v>
      </c>
      <c r="Y34" s="120">
        <f>'As-Filed Schedule 2G'!O34</f>
        <v>0</v>
      </c>
      <c r="Z34" s="314">
        <f>SUMIFS(Adjustments!$G:$G,Adjustments!$H:$H,"2G",Adjustments!$I:$I,'Schedule 2G Adjustments'!$Y$12,Adjustments!$J:$J,'Schedule 2G Adjustments'!$A34)</f>
        <v>0</v>
      </c>
      <c r="AA34" s="310">
        <f t="shared" si="7"/>
        <v>0</v>
      </c>
    </row>
    <row r="35" spans="1:27" x14ac:dyDescent="0.35">
      <c r="A35" s="24">
        <v>21</v>
      </c>
      <c r="B35" s="513" t="str">
        <f>IF('As-Filed Schedule 2G'!B35:D35=0,"",'As-Filed Schedule 2G'!B35:D35)</f>
        <v/>
      </c>
      <c r="C35" s="513"/>
      <c r="D35" s="513"/>
      <c r="F35" s="117">
        <f>'As-Filed Schedule 2G'!F35</f>
        <v>0</v>
      </c>
      <c r="G35" s="314">
        <f>SUMIFS(Adjustments!$G:$G,Adjustments!$H:$H,"2G",Adjustments!$I:$I,'Schedule 2G Adjustments'!$F$12,Adjustments!$J:$J,'Schedule 2G Adjustments'!$A35)</f>
        <v>0</v>
      </c>
      <c r="H35" s="310">
        <f t="shared" si="0"/>
        <v>0</v>
      </c>
      <c r="I35" s="68">
        <f>IFERROR(F35*'As-Filed Schedule 1'!$E$103,0)</f>
        <v>0</v>
      </c>
      <c r="J35" s="311">
        <f>IFERROR(H35*'Adjusted Schedule 1'!$E$104,0)</f>
        <v>0</v>
      </c>
      <c r="K35" s="68">
        <f t="shared" si="1"/>
        <v>0</v>
      </c>
      <c r="L35" s="311">
        <f t="shared" si="2"/>
        <v>0</v>
      </c>
      <c r="N35" s="117">
        <f>'As-Filed Schedule 2G'!J35</f>
        <v>0</v>
      </c>
      <c r="O35" s="314">
        <f>SUMIFS(Adjustments!$G:$G,Adjustments!$H:$H,"2G",Adjustments!$I:$I,'Schedule 2G Adjustments'!$N$12,Adjustments!$J:$J,'Schedule 2G Adjustments'!$A35)</f>
        <v>0</v>
      </c>
      <c r="P35" s="310">
        <f t="shared" si="3"/>
        <v>0</v>
      </c>
      <c r="Q35" s="68">
        <f>IFERROR(N35*'As-Filed Schedule 1'!$E$103,0)</f>
        <v>0</v>
      </c>
      <c r="R35" s="68">
        <f>IFERROR(P35*'Adjusted Schedule 1'!$E$104,0)</f>
        <v>0</v>
      </c>
      <c r="S35" s="68">
        <f t="shared" si="4"/>
        <v>0</v>
      </c>
      <c r="T35" s="311">
        <f t="shared" si="5"/>
        <v>0</v>
      </c>
      <c r="V35" s="120">
        <f>'As-Filed Schedule 2G'!N35</f>
        <v>0</v>
      </c>
      <c r="W35" s="314">
        <f>SUMIFS(Adjustments!$G:$G,Adjustments!$H:$H,"2G",Adjustments!$I:$I,'Schedule 2G Adjustments'!$V$12,Adjustments!$J:$J,'Schedule 2G Adjustments'!$A35)</f>
        <v>0</v>
      </c>
      <c r="X35" s="310">
        <f t="shared" si="6"/>
        <v>0</v>
      </c>
      <c r="Y35" s="120">
        <f>'As-Filed Schedule 2G'!O35</f>
        <v>0</v>
      </c>
      <c r="Z35" s="314">
        <f>SUMIFS(Adjustments!$G:$G,Adjustments!$H:$H,"2G",Adjustments!$I:$I,'Schedule 2G Adjustments'!$Y$12,Adjustments!$J:$J,'Schedule 2G Adjustments'!$A35)</f>
        <v>0</v>
      </c>
      <c r="AA35" s="310">
        <f t="shared" si="7"/>
        <v>0</v>
      </c>
    </row>
    <row r="36" spans="1:27" x14ac:dyDescent="0.35">
      <c r="A36" s="24">
        <v>22</v>
      </c>
      <c r="B36" s="513" t="str">
        <f>IF('As-Filed Schedule 2G'!B36:D36=0,"",'As-Filed Schedule 2G'!B36:D36)</f>
        <v/>
      </c>
      <c r="C36" s="513"/>
      <c r="D36" s="513"/>
      <c r="F36" s="117">
        <f>'As-Filed Schedule 2G'!F36</f>
        <v>0</v>
      </c>
      <c r="G36" s="314">
        <f>SUMIFS(Adjustments!$G:$G,Adjustments!$H:$H,"2G",Adjustments!$I:$I,'Schedule 2G Adjustments'!$F$12,Adjustments!$J:$J,'Schedule 2G Adjustments'!$A36)</f>
        <v>0</v>
      </c>
      <c r="H36" s="310">
        <f t="shared" si="0"/>
        <v>0</v>
      </c>
      <c r="I36" s="68">
        <f>IFERROR(F36*'As-Filed Schedule 1'!$E$103,0)</f>
        <v>0</v>
      </c>
      <c r="J36" s="311">
        <f>IFERROR(H36*'Adjusted Schedule 1'!$E$104,0)</f>
        <v>0</v>
      </c>
      <c r="K36" s="68">
        <f t="shared" si="1"/>
        <v>0</v>
      </c>
      <c r="L36" s="311">
        <f t="shared" si="2"/>
        <v>0</v>
      </c>
      <c r="N36" s="117">
        <f>'As-Filed Schedule 2G'!J36</f>
        <v>0</v>
      </c>
      <c r="O36" s="314">
        <f>SUMIFS(Adjustments!$G:$G,Adjustments!$H:$H,"2G",Adjustments!$I:$I,'Schedule 2G Adjustments'!$N$12,Adjustments!$J:$J,'Schedule 2G Adjustments'!$A36)</f>
        <v>0</v>
      </c>
      <c r="P36" s="310">
        <f t="shared" si="3"/>
        <v>0</v>
      </c>
      <c r="Q36" s="68">
        <f>IFERROR(N36*'As-Filed Schedule 1'!$E$103,0)</f>
        <v>0</v>
      </c>
      <c r="R36" s="68">
        <f>IFERROR(P36*'Adjusted Schedule 1'!$E$104,0)</f>
        <v>0</v>
      </c>
      <c r="S36" s="68">
        <f t="shared" si="4"/>
        <v>0</v>
      </c>
      <c r="T36" s="311">
        <f t="shared" si="5"/>
        <v>0</v>
      </c>
      <c r="V36" s="120">
        <f>'As-Filed Schedule 2G'!N36</f>
        <v>0</v>
      </c>
      <c r="W36" s="314">
        <f>SUMIFS(Adjustments!$G:$G,Adjustments!$H:$H,"2G",Adjustments!$I:$I,'Schedule 2G Adjustments'!$V$12,Adjustments!$J:$J,'Schedule 2G Adjustments'!$A36)</f>
        <v>0</v>
      </c>
      <c r="X36" s="310">
        <f t="shared" si="6"/>
        <v>0</v>
      </c>
      <c r="Y36" s="120">
        <f>'As-Filed Schedule 2G'!O36</f>
        <v>0</v>
      </c>
      <c r="Z36" s="314">
        <f>SUMIFS(Adjustments!$G:$G,Adjustments!$H:$H,"2G",Adjustments!$I:$I,'Schedule 2G Adjustments'!$Y$12,Adjustments!$J:$J,'Schedule 2G Adjustments'!$A36)</f>
        <v>0</v>
      </c>
      <c r="AA36" s="310">
        <f t="shared" si="7"/>
        <v>0</v>
      </c>
    </row>
    <row r="37" spans="1:27" x14ac:dyDescent="0.35">
      <c r="A37" s="24">
        <v>23</v>
      </c>
      <c r="B37" s="513" t="str">
        <f>IF('As-Filed Schedule 2G'!B37:D37=0,"",'As-Filed Schedule 2G'!B37:D37)</f>
        <v/>
      </c>
      <c r="C37" s="513"/>
      <c r="D37" s="513"/>
      <c r="F37" s="117">
        <f>'As-Filed Schedule 2G'!F37</f>
        <v>0</v>
      </c>
      <c r="G37" s="314">
        <f>SUMIFS(Adjustments!$G:$G,Adjustments!$H:$H,"2G",Adjustments!$I:$I,'Schedule 2G Adjustments'!$F$12,Adjustments!$J:$J,'Schedule 2G Adjustments'!$A37)</f>
        <v>0</v>
      </c>
      <c r="H37" s="310">
        <f t="shared" si="0"/>
        <v>0</v>
      </c>
      <c r="I37" s="68">
        <f>IFERROR(F37*'As-Filed Schedule 1'!$E$103,0)</f>
        <v>0</v>
      </c>
      <c r="J37" s="311">
        <f>IFERROR(H37*'Adjusted Schedule 1'!$E$104,0)</f>
        <v>0</v>
      </c>
      <c r="K37" s="68">
        <f t="shared" si="1"/>
        <v>0</v>
      </c>
      <c r="L37" s="311">
        <f t="shared" si="2"/>
        <v>0</v>
      </c>
      <c r="N37" s="117">
        <f>'As-Filed Schedule 2G'!J37</f>
        <v>0</v>
      </c>
      <c r="O37" s="314">
        <f>SUMIFS(Adjustments!$G:$G,Adjustments!$H:$H,"2G",Adjustments!$I:$I,'Schedule 2G Adjustments'!$N$12,Adjustments!$J:$J,'Schedule 2G Adjustments'!$A37)</f>
        <v>0</v>
      </c>
      <c r="P37" s="310">
        <f t="shared" si="3"/>
        <v>0</v>
      </c>
      <c r="Q37" s="68">
        <f>IFERROR(N37*'As-Filed Schedule 1'!$E$103,0)</f>
        <v>0</v>
      </c>
      <c r="R37" s="68">
        <f>IFERROR(P37*'Adjusted Schedule 1'!$E$104,0)</f>
        <v>0</v>
      </c>
      <c r="S37" s="68">
        <f t="shared" si="4"/>
        <v>0</v>
      </c>
      <c r="T37" s="311">
        <f t="shared" si="5"/>
        <v>0</v>
      </c>
      <c r="V37" s="120">
        <f>'As-Filed Schedule 2G'!N37</f>
        <v>0</v>
      </c>
      <c r="W37" s="314">
        <f>SUMIFS(Adjustments!$G:$G,Adjustments!$H:$H,"2G",Adjustments!$I:$I,'Schedule 2G Adjustments'!$V$12,Adjustments!$J:$J,'Schedule 2G Adjustments'!$A37)</f>
        <v>0</v>
      </c>
      <c r="X37" s="310">
        <f t="shared" si="6"/>
        <v>0</v>
      </c>
      <c r="Y37" s="120">
        <f>'As-Filed Schedule 2G'!O37</f>
        <v>0</v>
      </c>
      <c r="Z37" s="314">
        <f>SUMIFS(Adjustments!$G:$G,Adjustments!$H:$H,"2G",Adjustments!$I:$I,'Schedule 2G Adjustments'!$Y$12,Adjustments!$J:$J,'Schedule 2G Adjustments'!$A37)</f>
        <v>0</v>
      </c>
      <c r="AA37" s="310">
        <f t="shared" si="7"/>
        <v>0</v>
      </c>
    </row>
    <row r="38" spans="1:27" x14ac:dyDescent="0.35">
      <c r="A38" s="24">
        <v>24</v>
      </c>
      <c r="B38" s="513" t="str">
        <f>IF('As-Filed Schedule 2G'!B38:D38=0,"",'As-Filed Schedule 2G'!B38:D38)</f>
        <v/>
      </c>
      <c r="C38" s="513"/>
      <c r="D38" s="513"/>
      <c r="F38" s="117">
        <f>'As-Filed Schedule 2G'!F38</f>
        <v>0</v>
      </c>
      <c r="G38" s="314">
        <f>SUMIFS(Adjustments!$G:$G,Adjustments!$H:$H,"2G",Adjustments!$I:$I,'Schedule 2G Adjustments'!$F$12,Adjustments!$J:$J,'Schedule 2G Adjustments'!$A38)</f>
        <v>0</v>
      </c>
      <c r="H38" s="310">
        <f t="shared" si="0"/>
        <v>0</v>
      </c>
      <c r="I38" s="68">
        <f>IFERROR(F38*'As-Filed Schedule 1'!$E$103,0)</f>
        <v>0</v>
      </c>
      <c r="J38" s="311">
        <f>IFERROR(H38*'Adjusted Schedule 1'!$E$104,0)</f>
        <v>0</v>
      </c>
      <c r="K38" s="68">
        <f t="shared" si="1"/>
        <v>0</v>
      </c>
      <c r="L38" s="311">
        <f t="shared" si="2"/>
        <v>0</v>
      </c>
      <c r="N38" s="117">
        <f>'As-Filed Schedule 2G'!J38</f>
        <v>0</v>
      </c>
      <c r="O38" s="314">
        <f>SUMIFS(Adjustments!$G:$G,Adjustments!$H:$H,"2G",Adjustments!$I:$I,'Schedule 2G Adjustments'!$N$12,Adjustments!$J:$J,'Schedule 2G Adjustments'!$A38)</f>
        <v>0</v>
      </c>
      <c r="P38" s="310">
        <f t="shared" si="3"/>
        <v>0</v>
      </c>
      <c r="Q38" s="68">
        <f>IFERROR(N38*'As-Filed Schedule 1'!$E$103,0)</f>
        <v>0</v>
      </c>
      <c r="R38" s="68">
        <f>IFERROR(P38*'Adjusted Schedule 1'!$E$104,0)</f>
        <v>0</v>
      </c>
      <c r="S38" s="68">
        <f t="shared" si="4"/>
        <v>0</v>
      </c>
      <c r="T38" s="311">
        <f t="shared" si="5"/>
        <v>0</v>
      </c>
      <c r="V38" s="120">
        <f>'As-Filed Schedule 2G'!N38</f>
        <v>0</v>
      </c>
      <c r="W38" s="314">
        <f>SUMIFS(Adjustments!$G:$G,Adjustments!$H:$H,"2G",Adjustments!$I:$I,'Schedule 2G Adjustments'!$V$12,Adjustments!$J:$J,'Schedule 2G Adjustments'!$A38)</f>
        <v>0</v>
      </c>
      <c r="X38" s="310">
        <f t="shared" si="6"/>
        <v>0</v>
      </c>
      <c r="Y38" s="120">
        <f>'As-Filed Schedule 2G'!O38</f>
        <v>0</v>
      </c>
      <c r="Z38" s="314">
        <f>SUMIFS(Adjustments!$G:$G,Adjustments!$H:$H,"2G",Adjustments!$I:$I,'Schedule 2G Adjustments'!$Y$12,Adjustments!$J:$J,'Schedule 2G Adjustments'!$A38)</f>
        <v>0</v>
      </c>
      <c r="AA38" s="310">
        <f t="shared" si="7"/>
        <v>0</v>
      </c>
    </row>
    <row r="39" spans="1:27" x14ac:dyDescent="0.35">
      <c r="A39" s="24">
        <v>25</v>
      </c>
      <c r="B39" s="513" t="str">
        <f>IF('As-Filed Schedule 2G'!B39:D39=0,"",'As-Filed Schedule 2G'!B39:D39)</f>
        <v/>
      </c>
      <c r="C39" s="513"/>
      <c r="D39" s="513"/>
      <c r="F39" s="117">
        <f>'As-Filed Schedule 2G'!F39</f>
        <v>0</v>
      </c>
      <c r="G39" s="314">
        <f>SUMIFS(Adjustments!$G:$G,Adjustments!$H:$H,"2G",Adjustments!$I:$I,'Schedule 2G Adjustments'!$F$12,Adjustments!$J:$J,'Schedule 2G Adjustments'!$A39)</f>
        <v>0</v>
      </c>
      <c r="H39" s="310">
        <f t="shared" si="0"/>
        <v>0</v>
      </c>
      <c r="I39" s="68">
        <f>IFERROR(F39*'As-Filed Schedule 1'!$E$103,0)</f>
        <v>0</v>
      </c>
      <c r="J39" s="311">
        <f>IFERROR(H39*'Adjusted Schedule 1'!$E$104,0)</f>
        <v>0</v>
      </c>
      <c r="K39" s="68">
        <f t="shared" si="1"/>
        <v>0</v>
      </c>
      <c r="L39" s="311">
        <f t="shared" si="2"/>
        <v>0</v>
      </c>
      <c r="N39" s="117">
        <f>'As-Filed Schedule 2G'!J39</f>
        <v>0</v>
      </c>
      <c r="O39" s="314">
        <f>SUMIFS(Adjustments!$G:$G,Adjustments!$H:$H,"2G",Adjustments!$I:$I,'Schedule 2G Adjustments'!$N$12,Adjustments!$J:$J,'Schedule 2G Adjustments'!$A39)</f>
        <v>0</v>
      </c>
      <c r="P39" s="310">
        <f t="shared" si="3"/>
        <v>0</v>
      </c>
      <c r="Q39" s="68">
        <f>IFERROR(N39*'As-Filed Schedule 1'!$E$103,0)</f>
        <v>0</v>
      </c>
      <c r="R39" s="68">
        <f>IFERROR(P39*'Adjusted Schedule 1'!$E$104,0)</f>
        <v>0</v>
      </c>
      <c r="S39" s="68">
        <f t="shared" si="4"/>
        <v>0</v>
      </c>
      <c r="T39" s="311">
        <f t="shared" si="5"/>
        <v>0</v>
      </c>
      <c r="V39" s="120">
        <f>'As-Filed Schedule 2G'!N39</f>
        <v>0</v>
      </c>
      <c r="W39" s="314">
        <f>SUMIFS(Adjustments!$G:$G,Adjustments!$H:$H,"2G",Adjustments!$I:$I,'Schedule 2G Adjustments'!$V$12,Adjustments!$J:$J,'Schedule 2G Adjustments'!$A39)</f>
        <v>0</v>
      </c>
      <c r="X39" s="310">
        <f t="shared" si="6"/>
        <v>0</v>
      </c>
      <c r="Y39" s="120">
        <f>'As-Filed Schedule 2G'!O39</f>
        <v>0</v>
      </c>
      <c r="Z39" s="314">
        <f>SUMIFS(Adjustments!$G:$G,Adjustments!$H:$H,"2G",Adjustments!$I:$I,'Schedule 2G Adjustments'!$Y$12,Adjustments!$J:$J,'Schedule 2G Adjustments'!$A39)</f>
        <v>0</v>
      </c>
      <c r="AA39" s="310">
        <f t="shared" si="7"/>
        <v>0</v>
      </c>
    </row>
    <row r="40" spans="1:27" x14ac:dyDescent="0.35">
      <c r="A40" s="24">
        <v>26</v>
      </c>
      <c r="B40" s="513" t="str">
        <f>IF('As-Filed Schedule 2G'!B40:D40=0,"",'As-Filed Schedule 2G'!B40:D40)</f>
        <v/>
      </c>
      <c r="C40" s="513"/>
      <c r="D40" s="513"/>
      <c r="F40" s="117">
        <f>'As-Filed Schedule 2G'!F40</f>
        <v>0</v>
      </c>
      <c r="G40" s="314">
        <f>SUMIFS(Adjustments!$G:$G,Adjustments!$H:$H,"2G",Adjustments!$I:$I,'Schedule 2G Adjustments'!$F$12,Adjustments!$J:$J,'Schedule 2G Adjustments'!$A40)</f>
        <v>0</v>
      </c>
      <c r="H40" s="310">
        <f t="shared" si="0"/>
        <v>0</v>
      </c>
      <c r="I40" s="68">
        <f>IFERROR(F40*'As-Filed Schedule 1'!$E$103,0)</f>
        <v>0</v>
      </c>
      <c r="J40" s="311">
        <f>IFERROR(H40*'Adjusted Schedule 1'!$E$104,0)</f>
        <v>0</v>
      </c>
      <c r="K40" s="68">
        <f t="shared" si="1"/>
        <v>0</v>
      </c>
      <c r="L40" s="311">
        <f t="shared" si="2"/>
        <v>0</v>
      </c>
      <c r="N40" s="117">
        <f>'As-Filed Schedule 2G'!J40</f>
        <v>0</v>
      </c>
      <c r="O40" s="314">
        <f>SUMIFS(Adjustments!$G:$G,Adjustments!$H:$H,"2G",Adjustments!$I:$I,'Schedule 2G Adjustments'!$N$12,Adjustments!$J:$J,'Schedule 2G Adjustments'!$A40)</f>
        <v>0</v>
      </c>
      <c r="P40" s="310">
        <f t="shared" si="3"/>
        <v>0</v>
      </c>
      <c r="Q40" s="68">
        <f>IFERROR(N40*'As-Filed Schedule 1'!$E$103,0)</f>
        <v>0</v>
      </c>
      <c r="R40" s="68">
        <f>IFERROR(P40*'Adjusted Schedule 1'!$E$104,0)</f>
        <v>0</v>
      </c>
      <c r="S40" s="68">
        <f t="shared" si="4"/>
        <v>0</v>
      </c>
      <c r="T40" s="311">
        <f t="shared" si="5"/>
        <v>0</v>
      </c>
      <c r="V40" s="120">
        <f>'As-Filed Schedule 2G'!N40</f>
        <v>0</v>
      </c>
      <c r="W40" s="314">
        <f>SUMIFS(Adjustments!$G:$G,Adjustments!$H:$H,"2G",Adjustments!$I:$I,'Schedule 2G Adjustments'!$V$12,Adjustments!$J:$J,'Schedule 2G Adjustments'!$A40)</f>
        <v>0</v>
      </c>
      <c r="X40" s="310">
        <f t="shared" si="6"/>
        <v>0</v>
      </c>
      <c r="Y40" s="120">
        <f>'As-Filed Schedule 2G'!O40</f>
        <v>0</v>
      </c>
      <c r="Z40" s="314">
        <f>SUMIFS(Adjustments!$G:$G,Adjustments!$H:$H,"2G",Adjustments!$I:$I,'Schedule 2G Adjustments'!$Y$12,Adjustments!$J:$J,'Schedule 2G Adjustments'!$A40)</f>
        <v>0</v>
      </c>
      <c r="AA40" s="310">
        <f t="shared" si="7"/>
        <v>0</v>
      </c>
    </row>
    <row r="41" spans="1:27" x14ac:dyDescent="0.35">
      <c r="A41" s="24">
        <v>27</v>
      </c>
      <c r="B41" s="513" t="str">
        <f>IF('As-Filed Schedule 2G'!B41:D41=0,"",'As-Filed Schedule 2G'!B41:D41)</f>
        <v/>
      </c>
      <c r="C41" s="513"/>
      <c r="D41" s="513"/>
      <c r="F41" s="117">
        <f>'As-Filed Schedule 2G'!F41</f>
        <v>0</v>
      </c>
      <c r="G41" s="314">
        <f>SUMIFS(Adjustments!$G:$G,Adjustments!$H:$H,"2G",Adjustments!$I:$I,'Schedule 2G Adjustments'!$F$12,Adjustments!$J:$J,'Schedule 2G Adjustments'!$A41)</f>
        <v>0</v>
      </c>
      <c r="H41" s="310">
        <f t="shared" si="0"/>
        <v>0</v>
      </c>
      <c r="I41" s="68">
        <f>IFERROR(F41*'As-Filed Schedule 1'!$E$103,0)</f>
        <v>0</v>
      </c>
      <c r="J41" s="311">
        <f>IFERROR(H41*'Adjusted Schedule 1'!$E$104,0)</f>
        <v>0</v>
      </c>
      <c r="K41" s="68">
        <f t="shared" si="1"/>
        <v>0</v>
      </c>
      <c r="L41" s="311">
        <f t="shared" si="2"/>
        <v>0</v>
      </c>
      <c r="N41" s="117">
        <f>'As-Filed Schedule 2G'!J41</f>
        <v>0</v>
      </c>
      <c r="O41" s="314">
        <f>SUMIFS(Adjustments!$G:$G,Adjustments!$H:$H,"2G",Adjustments!$I:$I,'Schedule 2G Adjustments'!$N$12,Adjustments!$J:$J,'Schedule 2G Adjustments'!$A41)</f>
        <v>0</v>
      </c>
      <c r="P41" s="310">
        <f t="shared" si="3"/>
        <v>0</v>
      </c>
      <c r="Q41" s="68">
        <f>IFERROR(N41*'As-Filed Schedule 1'!$E$103,0)</f>
        <v>0</v>
      </c>
      <c r="R41" s="68">
        <f>IFERROR(P41*'Adjusted Schedule 1'!$E$104,0)</f>
        <v>0</v>
      </c>
      <c r="S41" s="68">
        <f t="shared" si="4"/>
        <v>0</v>
      </c>
      <c r="T41" s="311">
        <f t="shared" si="5"/>
        <v>0</v>
      </c>
      <c r="V41" s="120">
        <f>'As-Filed Schedule 2G'!N41</f>
        <v>0</v>
      </c>
      <c r="W41" s="314">
        <f>SUMIFS(Adjustments!$G:$G,Adjustments!$H:$H,"2G",Adjustments!$I:$I,'Schedule 2G Adjustments'!$V$12,Adjustments!$J:$J,'Schedule 2G Adjustments'!$A41)</f>
        <v>0</v>
      </c>
      <c r="X41" s="310">
        <f t="shared" si="6"/>
        <v>0</v>
      </c>
      <c r="Y41" s="120">
        <f>'As-Filed Schedule 2G'!O41</f>
        <v>0</v>
      </c>
      <c r="Z41" s="314">
        <f>SUMIFS(Adjustments!$G:$G,Adjustments!$H:$H,"2G",Adjustments!$I:$I,'Schedule 2G Adjustments'!$Y$12,Adjustments!$J:$J,'Schedule 2G Adjustments'!$A41)</f>
        <v>0</v>
      </c>
      <c r="AA41" s="310">
        <f t="shared" si="7"/>
        <v>0</v>
      </c>
    </row>
    <row r="42" spans="1:27" x14ac:dyDescent="0.35">
      <c r="A42" s="24">
        <v>28</v>
      </c>
      <c r="B42" s="513" t="str">
        <f>IF('As-Filed Schedule 2G'!B42:D42=0,"",'As-Filed Schedule 2G'!B42:D42)</f>
        <v/>
      </c>
      <c r="C42" s="513"/>
      <c r="D42" s="513"/>
      <c r="F42" s="117">
        <f>'As-Filed Schedule 2G'!F42</f>
        <v>0</v>
      </c>
      <c r="G42" s="314">
        <f>SUMIFS(Adjustments!$G:$G,Adjustments!$H:$H,"2G",Adjustments!$I:$I,'Schedule 2G Adjustments'!$F$12,Adjustments!$J:$J,'Schedule 2G Adjustments'!$A42)</f>
        <v>0</v>
      </c>
      <c r="H42" s="310">
        <f t="shared" si="0"/>
        <v>0</v>
      </c>
      <c r="I42" s="68">
        <f>IFERROR(F42*'As-Filed Schedule 1'!$E$103,0)</f>
        <v>0</v>
      </c>
      <c r="J42" s="311">
        <f>IFERROR(H42*'Adjusted Schedule 1'!$E$104,0)</f>
        <v>0</v>
      </c>
      <c r="K42" s="68">
        <f t="shared" si="1"/>
        <v>0</v>
      </c>
      <c r="L42" s="311">
        <f t="shared" si="2"/>
        <v>0</v>
      </c>
      <c r="N42" s="117">
        <f>'As-Filed Schedule 2G'!J42</f>
        <v>0</v>
      </c>
      <c r="O42" s="314">
        <f>SUMIFS(Adjustments!$G:$G,Adjustments!$H:$H,"2G",Adjustments!$I:$I,'Schedule 2G Adjustments'!$N$12,Adjustments!$J:$J,'Schedule 2G Adjustments'!$A42)</f>
        <v>0</v>
      </c>
      <c r="P42" s="310">
        <f t="shared" si="3"/>
        <v>0</v>
      </c>
      <c r="Q42" s="68">
        <f>IFERROR(N42*'As-Filed Schedule 1'!$E$103,0)</f>
        <v>0</v>
      </c>
      <c r="R42" s="68">
        <f>IFERROR(P42*'Adjusted Schedule 1'!$E$104,0)</f>
        <v>0</v>
      </c>
      <c r="S42" s="68">
        <f t="shared" si="4"/>
        <v>0</v>
      </c>
      <c r="T42" s="311">
        <f t="shared" si="5"/>
        <v>0</v>
      </c>
      <c r="V42" s="120">
        <f>'As-Filed Schedule 2G'!N42</f>
        <v>0</v>
      </c>
      <c r="W42" s="314">
        <f>SUMIFS(Adjustments!$G:$G,Adjustments!$H:$H,"2G",Adjustments!$I:$I,'Schedule 2G Adjustments'!$V$12,Adjustments!$J:$J,'Schedule 2G Adjustments'!$A42)</f>
        <v>0</v>
      </c>
      <c r="X42" s="310">
        <f t="shared" si="6"/>
        <v>0</v>
      </c>
      <c r="Y42" s="120">
        <f>'As-Filed Schedule 2G'!O42</f>
        <v>0</v>
      </c>
      <c r="Z42" s="314">
        <f>SUMIFS(Adjustments!$G:$G,Adjustments!$H:$H,"2G",Adjustments!$I:$I,'Schedule 2G Adjustments'!$Y$12,Adjustments!$J:$J,'Schedule 2G Adjustments'!$A42)</f>
        <v>0</v>
      </c>
      <c r="AA42" s="310">
        <f t="shared" si="7"/>
        <v>0</v>
      </c>
    </row>
    <row r="43" spans="1:27" x14ac:dyDescent="0.35">
      <c r="A43" s="24">
        <v>29</v>
      </c>
      <c r="B43" s="513" t="str">
        <f>IF('As-Filed Schedule 2G'!B43:D43=0,"",'As-Filed Schedule 2G'!B43:D43)</f>
        <v/>
      </c>
      <c r="C43" s="513"/>
      <c r="D43" s="513"/>
      <c r="F43" s="117">
        <f>'As-Filed Schedule 2G'!F43</f>
        <v>0</v>
      </c>
      <c r="G43" s="314">
        <f>SUMIFS(Adjustments!$G:$G,Adjustments!$H:$H,"2G",Adjustments!$I:$I,'Schedule 2G Adjustments'!$F$12,Adjustments!$J:$J,'Schedule 2G Adjustments'!$A43)</f>
        <v>0</v>
      </c>
      <c r="H43" s="310">
        <f t="shared" si="0"/>
        <v>0</v>
      </c>
      <c r="I43" s="68">
        <f>IFERROR(F43*'As-Filed Schedule 1'!$E$103,0)</f>
        <v>0</v>
      </c>
      <c r="J43" s="311">
        <f>IFERROR(H43*'Adjusted Schedule 1'!$E$104,0)</f>
        <v>0</v>
      </c>
      <c r="K43" s="68">
        <f t="shared" si="1"/>
        <v>0</v>
      </c>
      <c r="L43" s="311">
        <f t="shared" si="2"/>
        <v>0</v>
      </c>
      <c r="N43" s="117">
        <f>'As-Filed Schedule 2G'!J43</f>
        <v>0</v>
      </c>
      <c r="O43" s="314">
        <f>SUMIFS(Adjustments!$G:$G,Adjustments!$H:$H,"2G",Adjustments!$I:$I,'Schedule 2G Adjustments'!$N$12,Adjustments!$J:$J,'Schedule 2G Adjustments'!$A43)</f>
        <v>0</v>
      </c>
      <c r="P43" s="310">
        <f t="shared" si="3"/>
        <v>0</v>
      </c>
      <c r="Q43" s="68">
        <f>IFERROR(N43*'As-Filed Schedule 1'!$E$103,0)</f>
        <v>0</v>
      </c>
      <c r="R43" s="68">
        <f>IFERROR(P43*'Adjusted Schedule 1'!$E$104,0)</f>
        <v>0</v>
      </c>
      <c r="S43" s="68">
        <f t="shared" si="4"/>
        <v>0</v>
      </c>
      <c r="T43" s="311">
        <f t="shared" si="5"/>
        <v>0</v>
      </c>
      <c r="V43" s="120">
        <f>'As-Filed Schedule 2G'!N43</f>
        <v>0</v>
      </c>
      <c r="W43" s="314">
        <f>SUMIFS(Adjustments!$G:$G,Adjustments!$H:$H,"2G",Adjustments!$I:$I,'Schedule 2G Adjustments'!$V$12,Adjustments!$J:$J,'Schedule 2G Adjustments'!$A43)</f>
        <v>0</v>
      </c>
      <c r="X43" s="310">
        <f t="shared" si="6"/>
        <v>0</v>
      </c>
      <c r="Y43" s="120">
        <f>'As-Filed Schedule 2G'!O43</f>
        <v>0</v>
      </c>
      <c r="Z43" s="314">
        <f>SUMIFS(Adjustments!$G:$G,Adjustments!$H:$H,"2G",Adjustments!$I:$I,'Schedule 2G Adjustments'!$Y$12,Adjustments!$J:$J,'Schedule 2G Adjustments'!$A43)</f>
        <v>0</v>
      </c>
      <c r="AA43" s="310">
        <f t="shared" si="7"/>
        <v>0</v>
      </c>
    </row>
    <row r="44" spans="1:27" x14ac:dyDescent="0.35">
      <c r="A44" s="24">
        <v>30</v>
      </c>
      <c r="B44" s="513" t="str">
        <f>IF('As-Filed Schedule 2G'!B44:D44=0,"",'As-Filed Schedule 2G'!B44:D44)</f>
        <v/>
      </c>
      <c r="C44" s="513"/>
      <c r="D44" s="513"/>
      <c r="F44" s="117">
        <f>'As-Filed Schedule 2G'!F44</f>
        <v>0</v>
      </c>
      <c r="G44" s="314">
        <f>SUMIFS(Adjustments!$G:$G,Adjustments!$H:$H,"2G",Adjustments!$I:$I,'Schedule 2G Adjustments'!$F$12,Adjustments!$J:$J,'Schedule 2G Adjustments'!$A44)</f>
        <v>0</v>
      </c>
      <c r="H44" s="310">
        <f t="shared" si="0"/>
        <v>0</v>
      </c>
      <c r="I44" s="68">
        <f>IFERROR(F44*'As-Filed Schedule 1'!$E$103,0)</f>
        <v>0</v>
      </c>
      <c r="J44" s="311">
        <f>IFERROR(H44*'Adjusted Schedule 1'!$E$104,0)</f>
        <v>0</v>
      </c>
      <c r="K44" s="68">
        <f t="shared" si="1"/>
        <v>0</v>
      </c>
      <c r="L44" s="311">
        <f t="shared" si="2"/>
        <v>0</v>
      </c>
      <c r="N44" s="117">
        <f>'As-Filed Schedule 2G'!J44</f>
        <v>0</v>
      </c>
      <c r="O44" s="314">
        <f>SUMIFS(Adjustments!$G:$G,Adjustments!$H:$H,"2G",Adjustments!$I:$I,'Schedule 2G Adjustments'!$N$12,Adjustments!$J:$J,'Schedule 2G Adjustments'!$A44)</f>
        <v>0</v>
      </c>
      <c r="P44" s="310">
        <f t="shared" si="3"/>
        <v>0</v>
      </c>
      <c r="Q44" s="68">
        <f>IFERROR(N44*'As-Filed Schedule 1'!$E$103,0)</f>
        <v>0</v>
      </c>
      <c r="R44" s="68">
        <f>IFERROR(P44*'Adjusted Schedule 1'!$E$104,0)</f>
        <v>0</v>
      </c>
      <c r="S44" s="68">
        <f t="shared" si="4"/>
        <v>0</v>
      </c>
      <c r="T44" s="311">
        <f t="shared" si="5"/>
        <v>0</v>
      </c>
      <c r="V44" s="120">
        <f>'As-Filed Schedule 2G'!N44</f>
        <v>0</v>
      </c>
      <c r="W44" s="314">
        <f>SUMIFS(Adjustments!$G:$G,Adjustments!$H:$H,"2G",Adjustments!$I:$I,'Schedule 2G Adjustments'!$V$12,Adjustments!$J:$J,'Schedule 2G Adjustments'!$A44)</f>
        <v>0</v>
      </c>
      <c r="X44" s="310">
        <f t="shared" si="6"/>
        <v>0</v>
      </c>
      <c r="Y44" s="120">
        <f>'As-Filed Schedule 2G'!O44</f>
        <v>0</v>
      </c>
      <c r="Z44" s="314">
        <f>SUMIFS(Adjustments!$G:$G,Adjustments!$H:$H,"2G",Adjustments!$I:$I,'Schedule 2G Adjustments'!$Y$12,Adjustments!$J:$J,'Schedule 2G Adjustments'!$A44)</f>
        <v>0</v>
      </c>
      <c r="AA44" s="310">
        <f t="shared" si="7"/>
        <v>0</v>
      </c>
    </row>
    <row r="45" spans="1:27" x14ac:dyDescent="0.35">
      <c r="A45" s="24">
        <v>31</v>
      </c>
      <c r="B45" s="513" t="str">
        <f>IF('As-Filed Schedule 2G'!B45:D45=0,"",'As-Filed Schedule 2G'!B45:D45)</f>
        <v/>
      </c>
      <c r="C45" s="513"/>
      <c r="D45" s="513"/>
      <c r="F45" s="117">
        <f>'As-Filed Schedule 2G'!F45</f>
        <v>0</v>
      </c>
      <c r="G45" s="314">
        <f>SUMIFS(Adjustments!$G:$G,Adjustments!$H:$H,"2G",Adjustments!$I:$I,'Schedule 2G Adjustments'!$F$12,Adjustments!$J:$J,'Schedule 2G Adjustments'!$A45)</f>
        <v>0</v>
      </c>
      <c r="H45" s="310">
        <f t="shared" si="0"/>
        <v>0</v>
      </c>
      <c r="I45" s="68">
        <f>IFERROR(F45*'As-Filed Schedule 1'!$E$103,0)</f>
        <v>0</v>
      </c>
      <c r="J45" s="311">
        <f>IFERROR(H45*'Adjusted Schedule 1'!$E$104,0)</f>
        <v>0</v>
      </c>
      <c r="K45" s="68">
        <f t="shared" si="1"/>
        <v>0</v>
      </c>
      <c r="L45" s="311">
        <f t="shared" si="2"/>
        <v>0</v>
      </c>
      <c r="N45" s="117">
        <f>'As-Filed Schedule 2G'!J45</f>
        <v>0</v>
      </c>
      <c r="O45" s="314">
        <f>SUMIFS(Adjustments!$G:$G,Adjustments!$H:$H,"2G",Adjustments!$I:$I,'Schedule 2G Adjustments'!$N$12,Adjustments!$J:$J,'Schedule 2G Adjustments'!$A45)</f>
        <v>0</v>
      </c>
      <c r="P45" s="310">
        <f t="shared" si="3"/>
        <v>0</v>
      </c>
      <c r="Q45" s="68">
        <f>IFERROR(N45*'As-Filed Schedule 1'!$E$103,0)</f>
        <v>0</v>
      </c>
      <c r="R45" s="68">
        <f>IFERROR(P45*'Adjusted Schedule 1'!$E$104,0)</f>
        <v>0</v>
      </c>
      <c r="S45" s="68">
        <f t="shared" si="4"/>
        <v>0</v>
      </c>
      <c r="T45" s="311">
        <f t="shared" si="5"/>
        <v>0</v>
      </c>
      <c r="V45" s="120">
        <f>'As-Filed Schedule 2G'!N45</f>
        <v>0</v>
      </c>
      <c r="W45" s="314">
        <f>SUMIFS(Adjustments!$G:$G,Adjustments!$H:$H,"2G",Adjustments!$I:$I,'Schedule 2G Adjustments'!$V$12,Adjustments!$J:$J,'Schedule 2G Adjustments'!$A45)</f>
        <v>0</v>
      </c>
      <c r="X45" s="310">
        <f t="shared" si="6"/>
        <v>0</v>
      </c>
      <c r="Y45" s="120">
        <f>'As-Filed Schedule 2G'!O45</f>
        <v>0</v>
      </c>
      <c r="Z45" s="314">
        <f>SUMIFS(Adjustments!$G:$G,Adjustments!$H:$H,"2G",Adjustments!$I:$I,'Schedule 2G Adjustments'!$Y$12,Adjustments!$J:$J,'Schedule 2G Adjustments'!$A45)</f>
        <v>0</v>
      </c>
      <c r="AA45" s="310">
        <f t="shared" si="7"/>
        <v>0</v>
      </c>
    </row>
    <row r="46" spans="1:27" x14ac:dyDescent="0.35">
      <c r="A46" s="24">
        <v>32</v>
      </c>
      <c r="B46" s="513" t="str">
        <f>IF('As-Filed Schedule 2G'!B46:D46=0,"",'As-Filed Schedule 2G'!B46:D46)</f>
        <v/>
      </c>
      <c r="C46" s="513"/>
      <c r="D46" s="513"/>
      <c r="F46" s="117">
        <f>'As-Filed Schedule 2G'!F46</f>
        <v>0</v>
      </c>
      <c r="G46" s="314">
        <f>SUMIFS(Adjustments!$G:$G,Adjustments!$H:$H,"2G",Adjustments!$I:$I,'Schedule 2G Adjustments'!$F$12,Adjustments!$J:$J,'Schedule 2G Adjustments'!$A46)</f>
        <v>0</v>
      </c>
      <c r="H46" s="310">
        <f t="shared" si="0"/>
        <v>0</v>
      </c>
      <c r="I46" s="68">
        <f>IFERROR(F46*'As-Filed Schedule 1'!$E$103,0)</f>
        <v>0</v>
      </c>
      <c r="J46" s="311">
        <f>IFERROR(H46*'Adjusted Schedule 1'!$E$104,0)</f>
        <v>0</v>
      </c>
      <c r="K46" s="68">
        <f t="shared" si="1"/>
        <v>0</v>
      </c>
      <c r="L46" s="311">
        <f t="shared" si="2"/>
        <v>0</v>
      </c>
      <c r="N46" s="117">
        <f>'As-Filed Schedule 2G'!J46</f>
        <v>0</v>
      </c>
      <c r="O46" s="314">
        <f>SUMIFS(Adjustments!$G:$G,Adjustments!$H:$H,"2G",Adjustments!$I:$I,'Schedule 2G Adjustments'!$N$12,Adjustments!$J:$J,'Schedule 2G Adjustments'!$A46)</f>
        <v>0</v>
      </c>
      <c r="P46" s="310">
        <f t="shared" si="3"/>
        <v>0</v>
      </c>
      <c r="Q46" s="68">
        <f>IFERROR(N46*'As-Filed Schedule 1'!$E$103,0)</f>
        <v>0</v>
      </c>
      <c r="R46" s="68">
        <f>IFERROR(P46*'Adjusted Schedule 1'!$E$104,0)</f>
        <v>0</v>
      </c>
      <c r="S46" s="68">
        <f t="shared" si="4"/>
        <v>0</v>
      </c>
      <c r="T46" s="311">
        <f t="shared" si="5"/>
        <v>0</v>
      </c>
      <c r="V46" s="120">
        <f>'As-Filed Schedule 2G'!N46</f>
        <v>0</v>
      </c>
      <c r="W46" s="314">
        <f>SUMIFS(Adjustments!$G:$G,Adjustments!$H:$H,"2G",Adjustments!$I:$I,'Schedule 2G Adjustments'!$V$12,Adjustments!$J:$J,'Schedule 2G Adjustments'!$A46)</f>
        <v>0</v>
      </c>
      <c r="X46" s="310">
        <f t="shared" si="6"/>
        <v>0</v>
      </c>
      <c r="Y46" s="120">
        <f>'As-Filed Schedule 2G'!O46</f>
        <v>0</v>
      </c>
      <c r="Z46" s="314">
        <f>SUMIFS(Adjustments!$G:$G,Adjustments!$H:$H,"2G",Adjustments!$I:$I,'Schedule 2G Adjustments'!$Y$12,Adjustments!$J:$J,'Schedule 2G Adjustments'!$A46)</f>
        <v>0</v>
      </c>
      <c r="AA46" s="310">
        <f t="shared" si="7"/>
        <v>0</v>
      </c>
    </row>
    <row r="47" spans="1:27" x14ac:dyDescent="0.35">
      <c r="A47" s="24">
        <v>33</v>
      </c>
      <c r="B47" s="513" t="str">
        <f>IF('As-Filed Schedule 2G'!B47:D47=0,"",'As-Filed Schedule 2G'!B47:D47)</f>
        <v/>
      </c>
      <c r="C47" s="513"/>
      <c r="D47" s="513"/>
      <c r="F47" s="117">
        <f>'As-Filed Schedule 2G'!F47</f>
        <v>0</v>
      </c>
      <c r="G47" s="314">
        <f>SUMIFS(Adjustments!$G:$G,Adjustments!$H:$H,"2G",Adjustments!$I:$I,'Schedule 2G Adjustments'!$F$12,Adjustments!$J:$J,'Schedule 2G Adjustments'!$A47)</f>
        <v>0</v>
      </c>
      <c r="H47" s="310">
        <f t="shared" si="0"/>
        <v>0</v>
      </c>
      <c r="I47" s="68">
        <f>IFERROR(F47*'As-Filed Schedule 1'!$E$103,0)</f>
        <v>0</v>
      </c>
      <c r="J47" s="311">
        <f>IFERROR(H47*'Adjusted Schedule 1'!$E$104,0)</f>
        <v>0</v>
      </c>
      <c r="K47" s="68">
        <f t="shared" si="1"/>
        <v>0</v>
      </c>
      <c r="L47" s="311">
        <f t="shared" si="2"/>
        <v>0</v>
      </c>
      <c r="N47" s="117">
        <f>'As-Filed Schedule 2G'!J47</f>
        <v>0</v>
      </c>
      <c r="O47" s="314">
        <f>SUMIFS(Adjustments!$G:$G,Adjustments!$H:$H,"2G",Adjustments!$I:$I,'Schedule 2G Adjustments'!$N$12,Adjustments!$J:$J,'Schedule 2G Adjustments'!$A47)</f>
        <v>0</v>
      </c>
      <c r="P47" s="310">
        <f t="shared" si="3"/>
        <v>0</v>
      </c>
      <c r="Q47" s="68">
        <f>IFERROR(N47*'As-Filed Schedule 1'!$E$103,0)</f>
        <v>0</v>
      </c>
      <c r="R47" s="68">
        <f>IFERROR(P47*'Adjusted Schedule 1'!$E$104,0)</f>
        <v>0</v>
      </c>
      <c r="S47" s="68">
        <f t="shared" si="4"/>
        <v>0</v>
      </c>
      <c r="T47" s="311">
        <f t="shared" si="5"/>
        <v>0</v>
      </c>
      <c r="V47" s="120">
        <f>'As-Filed Schedule 2G'!N47</f>
        <v>0</v>
      </c>
      <c r="W47" s="314">
        <f>SUMIFS(Adjustments!$G:$G,Adjustments!$H:$H,"2G",Adjustments!$I:$I,'Schedule 2G Adjustments'!$V$12,Adjustments!$J:$J,'Schedule 2G Adjustments'!$A47)</f>
        <v>0</v>
      </c>
      <c r="X47" s="310">
        <f t="shared" si="6"/>
        <v>0</v>
      </c>
      <c r="Y47" s="120">
        <f>'As-Filed Schedule 2G'!O47</f>
        <v>0</v>
      </c>
      <c r="Z47" s="314">
        <f>SUMIFS(Adjustments!$G:$G,Adjustments!$H:$H,"2G",Adjustments!$I:$I,'Schedule 2G Adjustments'!$Y$12,Adjustments!$J:$J,'Schedule 2G Adjustments'!$A47)</f>
        <v>0</v>
      </c>
      <c r="AA47" s="310">
        <f t="shared" si="7"/>
        <v>0</v>
      </c>
    </row>
    <row r="48" spans="1:27" x14ac:dyDescent="0.35">
      <c r="A48" s="24">
        <v>34</v>
      </c>
      <c r="B48" s="513" t="str">
        <f>IF('As-Filed Schedule 2G'!B48:D48=0,"",'As-Filed Schedule 2G'!B48:D48)</f>
        <v/>
      </c>
      <c r="C48" s="513"/>
      <c r="D48" s="513"/>
      <c r="F48" s="117">
        <f>'As-Filed Schedule 2G'!F48</f>
        <v>0</v>
      </c>
      <c r="G48" s="314">
        <f>SUMIFS(Adjustments!$G:$G,Adjustments!$H:$H,"2G",Adjustments!$I:$I,'Schedule 2G Adjustments'!$F$12,Adjustments!$J:$J,'Schedule 2G Adjustments'!$A48)</f>
        <v>0</v>
      </c>
      <c r="H48" s="310">
        <f t="shared" si="0"/>
        <v>0</v>
      </c>
      <c r="I48" s="68">
        <f>IFERROR(F48*'As-Filed Schedule 1'!$E$103,0)</f>
        <v>0</v>
      </c>
      <c r="J48" s="311">
        <f>IFERROR(H48*'Adjusted Schedule 1'!$E$104,0)</f>
        <v>0</v>
      </c>
      <c r="K48" s="68">
        <f t="shared" si="1"/>
        <v>0</v>
      </c>
      <c r="L48" s="311">
        <f t="shared" si="2"/>
        <v>0</v>
      </c>
      <c r="N48" s="117">
        <f>'As-Filed Schedule 2G'!J48</f>
        <v>0</v>
      </c>
      <c r="O48" s="314">
        <f>SUMIFS(Adjustments!$G:$G,Adjustments!$H:$H,"2G",Adjustments!$I:$I,'Schedule 2G Adjustments'!$N$12,Adjustments!$J:$J,'Schedule 2G Adjustments'!$A48)</f>
        <v>0</v>
      </c>
      <c r="P48" s="310">
        <f t="shared" si="3"/>
        <v>0</v>
      </c>
      <c r="Q48" s="68">
        <f>IFERROR(N48*'As-Filed Schedule 1'!$E$103,0)</f>
        <v>0</v>
      </c>
      <c r="R48" s="68">
        <f>IFERROR(P48*'Adjusted Schedule 1'!$E$104,0)</f>
        <v>0</v>
      </c>
      <c r="S48" s="68">
        <f t="shared" si="4"/>
        <v>0</v>
      </c>
      <c r="T48" s="311">
        <f t="shared" si="5"/>
        <v>0</v>
      </c>
      <c r="V48" s="120">
        <f>'As-Filed Schedule 2G'!N48</f>
        <v>0</v>
      </c>
      <c r="W48" s="314">
        <f>SUMIFS(Adjustments!$G:$G,Adjustments!$H:$H,"2G",Adjustments!$I:$I,'Schedule 2G Adjustments'!$V$12,Adjustments!$J:$J,'Schedule 2G Adjustments'!$A48)</f>
        <v>0</v>
      </c>
      <c r="X48" s="310">
        <f t="shared" si="6"/>
        <v>0</v>
      </c>
      <c r="Y48" s="120">
        <f>'As-Filed Schedule 2G'!O48</f>
        <v>0</v>
      </c>
      <c r="Z48" s="314">
        <f>SUMIFS(Adjustments!$G:$G,Adjustments!$H:$H,"2G",Adjustments!$I:$I,'Schedule 2G Adjustments'!$Y$12,Adjustments!$J:$J,'Schedule 2G Adjustments'!$A48)</f>
        <v>0</v>
      </c>
      <c r="AA48" s="310">
        <f t="shared" si="7"/>
        <v>0</v>
      </c>
    </row>
    <row r="49" spans="1:27" x14ac:dyDescent="0.35">
      <c r="A49" s="24">
        <v>35</v>
      </c>
      <c r="B49" s="513" t="str">
        <f>IF('As-Filed Schedule 2G'!B49:D49=0,"",'As-Filed Schedule 2G'!B49:D49)</f>
        <v/>
      </c>
      <c r="C49" s="513"/>
      <c r="D49" s="513"/>
      <c r="F49" s="117">
        <f>'As-Filed Schedule 2G'!F49</f>
        <v>0</v>
      </c>
      <c r="G49" s="314">
        <f>SUMIFS(Adjustments!$G:$G,Adjustments!$H:$H,"2G",Adjustments!$I:$I,'Schedule 2G Adjustments'!$F$12,Adjustments!$J:$J,'Schedule 2G Adjustments'!$A49)</f>
        <v>0</v>
      </c>
      <c r="H49" s="310">
        <f t="shared" si="0"/>
        <v>0</v>
      </c>
      <c r="I49" s="68">
        <f>IFERROR(F49*'As-Filed Schedule 1'!$E$103,0)</f>
        <v>0</v>
      </c>
      <c r="J49" s="311">
        <f>IFERROR(H49*'Adjusted Schedule 1'!$E$104,0)</f>
        <v>0</v>
      </c>
      <c r="K49" s="68">
        <f t="shared" si="1"/>
        <v>0</v>
      </c>
      <c r="L49" s="311">
        <f t="shared" si="2"/>
        <v>0</v>
      </c>
      <c r="N49" s="117">
        <f>'As-Filed Schedule 2G'!J49</f>
        <v>0</v>
      </c>
      <c r="O49" s="314">
        <f>SUMIFS(Adjustments!$G:$G,Adjustments!$H:$H,"2G",Adjustments!$I:$I,'Schedule 2G Adjustments'!$N$12,Adjustments!$J:$J,'Schedule 2G Adjustments'!$A49)</f>
        <v>0</v>
      </c>
      <c r="P49" s="310">
        <f t="shared" si="3"/>
        <v>0</v>
      </c>
      <c r="Q49" s="68">
        <f>IFERROR(N49*'As-Filed Schedule 1'!$E$103,0)</f>
        <v>0</v>
      </c>
      <c r="R49" s="68">
        <f>IFERROR(P49*'Adjusted Schedule 1'!$E$104,0)</f>
        <v>0</v>
      </c>
      <c r="S49" s="68">
        <f t="shared" si="4"/>
        <v>0</v>
      </c>
      <c r="T49" s="311">
        <f t="shared" si="5"/>
        <v>0</v>
      </c>
      <c r="V49" s="120">
        <f>'As-Filed Schedule 2G'!N49</f>
        <v>0</v>
      </c>
      <c r="W49" s="314">
        <f>SUMIFS(Adjustments!$G:$G,Adjustments!$H:$H,"2G",Adjustments!$I:$I,'Schedule 2G Adjustments'!$V$12,Adjustments!$J:$J,'Schedule 2G Adjustments'!$A49)</f>
        <v>0</v>
      </c>
      <c r="X49" s="310">
        <f t="shared" si="6"/>
        <v>0</v>
      </c>
      <c r="Y49" s="120">
        <f>'As-Filed Schedule 2G'!O49</f>
        <v>0</v>
      </c>
      <c r="Z49" s="314">
        <f>SUMIFS(Adjustments!$G:$G,Adjustments!$H:$H,"2G",Adjustments!$I:$I,'Schedule 2G Adjustments'!$Y$12,Adjustments!$J:$J,'Schedule 2G Adjustments'!$A49)</f>
        <v>0</v>
      </c>
      <c r="AA49" s="310">
        <f t="shared" si="7"/>
        <v>0</v>
      </c>
    </row>
    <row r="50" spans="1:27" x14ac:dyDescent="0.35">
      <c r="A50" s="24">
        <v>36</v>
      </c>
      <c r="B50" s="513" t="str">
        <f>IF('As-Filed Schedule 2G'!B50:D50=0,"",'As-Filed Schedule 2G'!B50:D50)</f>
        <v/>
      </c>
      <c r="C50" s="513"/>
      <c r="D50" s="513"/>
      <c r="F50" s="117">
        <f>'As-Filed Schedule 2G'!F50</f>
        <v>0</v>
      </c>
      <c r="G50" s="314">
        <f>SUMIFS(Adjustments!$G:$G,Adjustments!$H:$H,"2G",Adjustments!$I:$I,'Schedule 2G Adjustments'!$F$12,Adjustments!$J:$J,'Schedule 2G Adjustments'!$A50)</f>
        <v>0</v>
      </c>
      <c r="H50" s="310">
        <f t="shared" si="0"/>
        <v>0</v>
      </c>
      <c r="I50" s="68">
        <f>IFERROR(F50*'As-Filed Schedule 1'!$E$103,0)</f>
        <v>0</v>
      </c>
      <c r="J50" s="311">
        <f>IFERROR(H50*'Adjusted Schedule 1'!$E$104,0)</f>
        <v>0</v>
      </c>
      <c r="K50" s="68">
        <f t="shared" si="1"/>
        <v>0</v>
      </c>
      <c r="L50" s="311">
        <f t="shared" si="2"/>
        <v>0</v>
      </c>
      <c r="N50" s="117">
        <f>'As-Filed Schedule 2G'!J50</f>
        <v>0</v>
      </c>
      <c r="O50" s="314">
        <f>SUMIFS(Adjustments!$G:$G,Adjustments!$H:$H,"2G",Adjustments!$I:$I,'Schedule 2G Adjustments'!$N$12,Adjustments!$J:$J,'Schedule 2G Adjustments'!$A50)</f>
        <v>0</v>
      </c>
      <c r="P50" s="310">
        <f t="shared" si="3"/>
        <v>0</v>
      </c>
      <c r="Q50" s="68">
        <f>IFERROR(N50*'As-Filed Schedule 1'!$E$103,0)</f>
        <v>0</v>
      </c>
      <c r="R50" s="68">
        <f>IFERROR(P50*'Adjusted Schedule 1'!$E$104,0)</f>
        <v>0</v>
      </c>
      <c r="S50" s="68">
        <f t="shared" si="4"/>
        <v>0</v>
      </c>
      <c r="T50" s="311">
        <f t="shared" si="5"/>
        <v>0</v>
      </c>
      <c r="V50" s="120">
        <f>'As-Filed Schedule 2G'!N50</f>
        <v>0</v>
      </c>
      <c r="W50" s="314">
        <f>SUMIFS(Adjustments!$G:$G,Adjustments!$H:$H,"2G",Adjustments!$I:$I,'Schedule 2G Adjustments'!$V$12,Adjustments!$J:$J,'Schedule 2G Adjustments'!$A50)</f>
        <v>0</v>
      </c>
      <c r="X50" s="310">
        <f t="shared" si="6"/>
        <v>0</v>
      </c>
      <c r="Y50" s="120">
        <f>'As-Filed Schedule 2G'!O50</f>
        <v>0</v>
      </c>
      <c r="Z50" s="314">
        <f>SUMIFS(Adjustments!$G:$G,Adjustments!$H:$H,"2G",Adjustments!$I:$I,'Schedule 2G Adjustments'!$Y$12,Adjustments!$J:$J,'Schedule 2G Adjustments'!$A50)</f>
        <v>0</v>
      </c>
      <c r="AA50" s="310">
        <f t="shared" si="7"/>
        <v>0</v>
      </c>
    </row>
    <row r="51" spans="1:27" x14ac:dyDescent="0.35">
      <c r="A51" s="24">
        <v>37</v>
      </c>
      <c r="B51" s="513" t="str">
        <f>IF('As-Filed Schedule 2G'!B51:D51=0,"",'As-Filed Schedule 2G'!B51:D51)</f>
        <v/>
      </c>
      <c r="C51" s="513"/>
      <c r="D51" s="513"/>
      <c r="F51" s="117">
        <f>'As-Filed Schedule 2G'!F51</f>
        <v>0</v>
      </c>
      <c r="G51" s="314">
        <f>SUMIFS(Adjustments!$G:$G,Adjustments!$H:$H,"2G",Adjustments!$I:$I,'Schedule 2G Adjustments'!$F$12,Adjustments!$J:$J,'Schedule 2G Adjustments'!$A51)</f>
        <v>0</v>
      </c>
      <c r="H51" s="310">
        <f t="shared" si="0"/>
        <v>0</v>
      </c>
      <c r="I51" s="68">
        <f>IFERROR(F51*'As-Filed Schedule 1'!$E$103,0)</f>
        <v>0</v>
      </c>
      <c r="J51" s="311">
        <f>IFERROR(H51*'Adjusted Schedule 1'!$E$104,0)</f>
        <v>0</v>
      </c>
      <c r="K51" s="68">
        <f t="shared" si="1"/>
        <v>0</v>
      </c>
      <c r="L51" s="311">
        <f t="shared" si="2"/>
        <v>0</v>
      </c>
      <c r="N51" s="117">
        <f>'As-Filed Schedule 2G'!J51</f>
        <v>0</v>
      </c>
      <c r="O51" s="314">
        <f>SUMIFS(Adjustments!$G:$G,Adjustments!$H:$H,"2G",Adjustments!$I:$I,'Schedule 2G Adjustments'!$N$12,Adjustments!$J:$J,'Schedule 2G Adjustments'!$A51)</f>
        <v>0</v>
      </c>
      <c r="P51" s="310">
        <f t="shared" si="3"/>
        <v>0</v>
      </c>
      <c r="Q51" s="68">
        <f>IFERROR(N51*'As-Filed Schedule 1'!$E$103,0)</f>
        <v>0</v>
      </c>
      <c r="R51" s="68">
        <f>IFERROR(P51*'Adjusted Schedule 1'!$E$104,0)</f>
        <v>0</v>
      </c>
      <c r="S51" s="68">
        <f t="shared" si="4"/>
        <v>0</v>
      </c>
      <c r="T51" s="311">
        <f t="shared" si="5"/>
        <v>0</v>
      </c>
      <c r="V51" s="120">
        <f>'As-Filed Schedule 2G'!N51</f>
        <v>0</v>
      </c>
      <c r="W51" s="314">
        <f>SUMIFS(Adjustments!$G:$G,Adjustments!$H:$H,"2G",Adjustments!$I:$I,'Schedule 2G Adjustments'!$V$12,Adjustments!$J:$J,'Schedule 2G Adjustments'!$A51)</f>
        <v>0</v>
      </c>
      <c r="X51" s="310">
        <f t="shared" si="6"/>
        <v>0</v>
      </c>
      <c r="Y51" s="120">
        <f>'As-Filed Schedule 2G'!O51</f>
        <v>0</v>
      </c>
      <c r="Z51" s="314">
        <f>SUMIFS(Adjustments!$G:$G,Adjustments!$H:$H,"2G",Adjustments!$I:$I,'Schedule 2G Adjustments'!$Y$12,Adjustments!$J:$J,'Schedule 2G Adjustments'!$A51)</f>
        <v>0</v>
      </c>
      <c r="AA51" s="310">
        <f t="shared" si="7"/>
        <v>0</v>
      </c>
    </row>
    <row r="52" spans="1:27" x14ac:dyDescent="0.35">
      <c r="A52" s="24">
        <v>38</v>
      </c>
      <c r="B52" s="513" t="str">
        <f>IF('As-Filed Schedule 2G'!B52:D52=0,"",'As-Filed Schedule 2G'!B52:D52)</f>
        <v/>
      </c>
      <c r="C52" s="513"/>
      <c r="D52" s="513"/>
      <c r="F52" s="117">
        <f>'As-Filed Schedule 2G'!F52</f>
        <v>0</v>
      </c>
      <c r="G52" s="314">
        <f>SUMIFS(Adjustments!$G:$G,Adjustments!$H:$H,"2G",Adjustments!$I:$I,'Schedule 2G Adjustments'!$F$12,Adjustments!$J:$J,'Schedule 2G Adjustments'!$A52)</f>
        <v>0</v>
      </c>
      <c r="H52" s="310">
        <f t="shared" si="0"/>
        <v>0</v>
      </c>
      <c r="I52" s="68">
        <f>IFERROR(F52*'As-Filed Schedule 1'!$E$103,0)</f>
        <v>0</v>
      </c>
      <c r="J52" s="311">
        <f>IFERROR(H52*'Adjusted Schedule 1'!$E$104,0)</f>
        <v>0</v>
      </c>
      <c r="K52" s="68">
        <f t="shared" si="1"/>
        <v>0</v>
      </c>
      <c r="L52" s="311">
        <f t="shared" si="2"/>
        <v>0</v>
      </c>
      <c r="N52" s="117">
        <f>'As-Filed Schedule 2G'!J52</f>
        <v>0</v>
      </c>
      <c r="O52" s="314">
        <f>SUMIFS(Adjustments!$G:$G,Adjustments!$H:$H,"2G",Adjustments!$I:$I,'Schedule 2G Adjustments'!$N$12,Adjustments!$J:$J,'Schedule 2G Adjustments'!$A52)</f>
        <v>0</v>
      </c>
      <c r="P52" s="310">
        <f t="shared" si="3"/>
        <v>0</v>
      </c>
      <c r="Q52" s="68">
        <f>IFERROR(N52*'As-Filed Schedule 1'!$E$103,0)</f>
        <v>0</v>
      </c>
      <c r="R52" s="68">
        <f>IFERROR(P52*'Adjusted Schedule 1'!$E$104,0)</f>
        <v>0</v>
      </c>
      <c r="S52" s="68">
        <f t="shared" si="4"/>
        <v>0</v>
      </c>
      <c r="T52" s="311">
        <f t="shared" si="5"/>
        <v>0</v>
      </c>
      <c r="V52" s="120">
        <f>'As-Filed Schedule 2G'!N52</f>
        <v>0</v>
      </c>
      <c r="W52" s="314">
        <f>SUMIFS(Adjustments!$G:$G,Adjustments!$H:$H,"2G",Adjustments!$I:$I,'Schedule 2G Adjustments'!$V$12,Adjustments!$J:$J,'Schedule 2G Adjustments'!$A52)</f>
        <v>0</v>
      </c>
      <c r="X52" s="310">
        <f t="shared" si="6"/>
        <v>0</v>
      </c>
      <c r="Y52" s="120">
        <f>'As-Filed Schedule 2G'!O52</f>
        <v>0</v>
      </c>
      <c r="Z52" s="314">
        <f>SUMIFS(Adjustments!$G:$G,Adjustments!$H:$H,"2G",Adjustments!$I:$I,'Schedule 2G Adjustments'!$Y$12,Adjustments!$J:$J,'Schedule 2G Adjustments'!$A52)</f>
        <v>0</v>
      </c>
      <c r="AA52" s="310">
        <f t="shared" si="7"/>
        <v>0</v>
      </c>
    </row>
    <row r="53" spans="1:27" x14ac:dyDescent="0.35">
      <c r="A53" s="24">
        <v>39</v>
      </c>
      <c r="B53" s="513" t="str">
        <f>IF('As-Filed Schedule 2G'!B53:D53=0,"",'As-Filed Schedule 2G'!B53:D53)</f>
        <v/>
      </c>
      <c r="C53" s="513"/>
      <c r="D53" s="513"/>
      <c r="F53" s="117">
        <f>'As-Filed Schedule 2G'!F53</f>
        <v>0</v>
      </c>
      <c r="G53" s="314">
        <f>SUMIFS(Adjustments!$G:$G,Adjustments!$H:$H,"2G",Adjustments!$I:$I,'Schedule 2G Adjustments'!$F$12,Adjustments!$J:$J,'Schedule 2G Adjustments'!$A53)</f>
        <v>0</v>
      </c>
      <c r="H53" s="310">
        <f t="shared" si="0"/>
        <v>0</v>
      </c>
      <c r="I53" s="68">
        <f>IFERROR(F53*'As-Filed Schedule 1'!$E$103,0)</f>
        <v>0</v>
      </c>
      <c r="J53" s="311">
        <f>IFERROR(H53*'Adjusted Schedule 1'!$E$104,0)</f>
        <v>0</v>
      </c>
      <c r="K53" s="68">
        <f t="shared" si="1"/>
        <v>0</v>
      </c>
      <c r="L53" s="311">
        <f t="shared" si="2"/>
        <v>0</v>
      </c>
      <c r="N53" s="117">
        <f>'As-Filed Schedule 2G'!J53</f>
        <v>0</v>
      </c>
      <c r="O53" s="314">
        <f>SUMIFS(Adjustments!$G:$G,Adjustments!$H:$H,"2G",Adjustments!$I:$I,'Schedule 2G Adjustments'!$N$12,Adjustments!$J:$J,'Schedule 2G Adjustments'!$A53)</f>
        <v>0</v>
      </c>
      <c r="P53" s="310">
        <f t="shared" si="3"/>
        <v>0</v>
      </c>
      <c r="Q53" s="68">
        <f>IFERROR(N53*'As-Filed Schedule 1'!$E$103,0)</f>
        <v>0</v>
      </c>
      <c r="R53" s="68">
        <f>IFERROR(P53*'Adjusted Schedule 1'!$E$104,0)</f>
        <v>0</v>
      </c>
      <c r="S53" s="68">
        <f t="shared" si="4"/>
        <v>0</v>
      </c>
      <c r="T53" s="311">
        <f t="shared" si="5"/>
        <v>0</v>
      </c>
      <c r="V53" s="120">
        <f>'As-Filed Schedule 2G'!N53</f>
        <v>0</v>
      </c>
      <c r="W53" s="314">
        <f>SUMIFS(Adjustments!$G:$G,Adjustments!$H:$H,"2G",Adjustments!$I:$I,'Schedule 2G Adjustments'!$V$12,Adjustments!$J:$J,'Schedule 2G Adjustments'!$A53)</f>
        <v>0</v>
      </c>
      <c r="X53" s="310">
        <f t="shared" si="6"/>
        <v>0</v>
      </c>
      <c r="Y53" s="120">
        <f>'As-Filed Schedule 2G'!O53</f>
        <v>0</v>
      </c>
      <c r="Z53" s="314">
        <f>SUMIFS(Adjustments!$G:$G,Adjustments!$H:$H,"2G",Adjustments!$I:$I,'Schedule 2G Adjustments'!$Y$12,Adjustments!$J:$J,'Schedule 2G Adjustments'!$A53)</f>
        <v>0</v>
      </c>
      <c r="AA53" s="310">
        <f t="shared" si="7"/>
        <v>0</v>
      </c>
    </row>
    <row r="54" spans="1:27" x14ac:dyDescent="0.35">
      <c r="A54" s="24">
        <v>40</v>
      </c>
      <c r="B54" s="513" t="str">
        <f>IF('As-Filed Schedule 2G'!B54:D54=0,"",'As-Filed Schedule 2G'!B54:D54)</f>
        <v/>
      </c>
      <c r="C54" s="513"/>
      <c r="D54" s="513"/>
      <c r="F54" s="117">
        <f>'As-Filed Schedule 2G'!F54</f>
        <v>0</v>
      </c>
      <c r="G54" s="314">
        <f>SUMIFS(Adjustments!$G:$G,Adjustments!$H:$H,"2G",Adjustments!$I:$I,'Schedule 2G Adjustments'!$F$12,Adjustments!$J:$J,'Schedule 2G Adjustments'!$A54)</f>
        <v>0</v>
      </c>
      <c r="H54" s="310">
        <f t="shared" si="0"/>
        <v>0</v>
      </c>
      <c r="I54" s="68">
        <f>IFERROR(F54*'As-Filed Schedule 1'!$E$103,0)</f>
        <v>0</v>
      </c>
      <c r="J54" s="311">
        <f>IFERROR(H54*'Adjusted Schedule 1'!$E$104,0)</f>
        <v>0</v>
      </c>
      <c r="K54" s="68">
        <f t="shared" si="1"/>
        <v>0</v>
      </c>
      <c r="L54" s="311">
        <f t="shared" si="2"/>
        <v>0</v>
      </c>
      <c r="N54" s="117">
        <f>'As-Filed Schedule 2G'!J54</f>
        <v>0</v>
      </c>
      <c r="O54" s="314">
        <f>SUMIFS(Adjustments!$G:$G,Adjustments!$H:$H,"2G",Adjustments!$I:$I,'Schedule 2G Adjustments'!$N$12,Adjustments!$J:$J,'Schedule 2G Adjustments'!$A54)</f>
        <v>0</v>
      </c>
      <c r="P54" s="310">
        <f t="shared" si="3"/>
        <v>0</v>
      </c>
      <c r="Q54" s="68">
        <f>IFERROR(N54*'As-Filed Schedule 1'!$E$103,0)</f>
        <v>0</v>
      </c>
      <c r="R54" s="68">
        <f>IFERROR(P54*'Adjusted Schedule 1'!$E$104,0)</f>
        <v>0</v>
      </c>
      <c r="S54" s="68">
        <f t="shared" si="4"/>
        <v>0</v>
      </c>
      <c r="T54" s="311">
        <f t="shared" si="5"/>
        <v>0</v>
      </c>
      <c r="V54" s="120">
        <f>'As-Filed Schedule 2G'!N54</f>
        <v>0</v>
      </c>
      <c r="W54" s="314">
        <f>SUMIFS(Adjustments!$G:$G,Adjustments!$H:$H,"2G",Adjustments!$I:$I,'Schedule 2G Adjustments'!$V$12,Adjustments!$J:$J,'Schedule 2G Adjustments'!$A54)</f>
        <v>0</v>
      </c>
      <c r="X54" s="310">
        <f t="shared" si="6"/>
        <v>0</v>
      </c>
      <c r="Y54" s="120">
        <f>'As-Filed Schedule 2G'!O54</f>
        <v>0</v>
      </c>
      <c r="Z54" s="314">
        <f>SUMIFS(Adjustments!$G:$G,Adjustments!$H:$H,"2G",Adjustments!$I:$I,'Schedule 2G Adjustments'!$Y$12,Adjustments!$J:$J,'Schedule 2G Adjustments'!$A54)</f>
        <v>0</v>
      </c>
      <c r="AA54" s="310">
        <f t="shared" si="7"/>
        <v>0</v>
      </c>
    </row>
    <row r="55" spans="1:27" x14ac:dyDescent="0.35">
      <c r="A55" s="24">
        <v>41</v>
      </c>
      <c r="B55" s="513" t="str">
        <f>IF('As-Filed Schedule 2G'!B55:D55=0,"",'As-Filed Schedule 2G'!B55:D55)</f>
        <v/>
      </c>
      <c r="C55" s="513"/>
      <c r="D55" s="513"/>
      <c r="F55" s="117">
        <f>'As-Filed Schedule 2G'!F55</f>
        <v>0</v>
      </c>
      <c r="G55" s="314">
        <f>SUMIFS(Adjustments!$G:$G,Adjustments!$H:$H,"2G",Adjustments!$I:$I,'Schedule 2G Adjustments'!$F$12,Adjustments!$J:$J,'Schedule 2G Adjustments'!$A55)</f>
        <v>0</v>
      </c>
      <c r="H55" s="310">
        <f t="shared" si="0"/>
        <v>0</v>
      </c>
      <c r="I55" s="68">
        <f>IFERROR(F55*'As-Filed Schedule 1'!$E$103,0)</f>
        <v>0</v>
      </c>
      <c r="J55" s="311">
        <f>IFERROR(H55*'Adjusted Schedule 1'!$E$104,0)</f>
        <v>0</v>
      </c>
      <c r="K55" s="68">
        <f t="shared" si="1"/>
        <v>0</v>
      </c>
      <c r="L55" s="311">
        <f t="shared" si="2"/>
        <v>0</v>
      </c>
      <c r="N55" s="117">
        <f>'As-Filed Schedule 2G'!J55</f>
        <v>0</v>
      </c>
      <c r="O55" s="314">
        <f>SUMIFS(Adjustments!$G:$G,Adjustments!$H:$H,"2G",Adjustments!$I:$I,'Schedule 2G Adjustments'!$N$12,Adjustments!$J:$J,'Schedule 2G Adjustments'!$A55)</f>
        <v>0</v>
      </c>
      <c r="P55" s="310">
        <f t="shared" si="3"/>
        <v>0</v>
      </c>
      <c r="Q55" s="68">
        <f>IFERROR(N55*'As-Filed Schedule 1'!$E$103,0)</f>
        <v>0</v>
      </c>
      <c r="R55" s="68">
        <f>IFERROR(P55*'Adjusted Schedule 1'!$E$104,0)</f>
        <v>0</v>
      </c>
      <c r="S55" s="68">
        <f t="shared" si="4"/>
        <v>0</v>
      </c>
      <c r="T55" s="311">
        <f t="shared" si="5"/>
        <v>0</v>
      </c>
      <c r="V55" s="120">
        <f>'As-Filed Schedule 2G'!N55</f>
        <v>0</v>
      </c>
      <c r="W55" s="314">
        <f>SUMIFS(Adjustments!$G:$G,Adjustments!$H:$H,"2G",Adjustments!$I:$I,'Schedule 2G Adjustments'!$V$12,Adjustments!$J:$J,'Schedule 2G Adjustments'!$A55)</f>
        <v>0</v>
      </c>
      <c r="X55" s="310">
        <f t="shared" si="6"/>
        <v>0</v>
      </c>
      <c r="Y55" s="120">
        <f>'As-Filed Schedule 2G'!O55</f>
        <v>0</v>
      </c>
      <c r="Z55" s="314">
        <f>SUMIFS(Adjustments!$G:$G,Adjustments!$H:$H,"2G",Adjustments!$I:$I,'Schedule 2G Adjustments'!$Y$12,Adjustments!$J:$J,'Schedule 2G Adjustments'!$A55)</f>
        <v>0</v>
      </c>
      <c r="AA55" s="310">
        <f t="shared" si="7"/>
        <v>0</v>
      </c>
    </row>
    <row r="56" spans="1:27" x14ac:dyDescent="0.35">
      <c r="A56" s="24">
        <v>42</v>
      </c>
      <c r="B56" s="513" t="str">
        <f>IF('As-Filed Schedule 2G'!B56:D56=0,"",'As-Filed Schedule 2G'!B56:D56)</f>
        <v/>
      </c>
      <c r="C56" s="513"/>
      <c r="D56" s="513"/>
      <c r="F56" s="117">
        <f>'As-Filed Schedule 2G'!F56</f>
        <v>0</v>
      </c>
      <c r="G56" s="314">
        <f>SUMIFS(Adjustments!$G:$G,Adjustments!$H:$H,"2G",Adjustments!$I:$I,'Schedule 2G Adjustments'!$F$12,Adjustments!$J:$J,'Schedule 2G Adjustments'!$A56)</f>
        <v>0</v>
      </c>
      <c r="H56" s="310">
        <f t="shared" si="0"/>
        <v>0</v>
      </c>
      <c r="I56" s="68">
        <f>IFERROR(F56*'As-Filed Schedule 1'!$E$103,0)</f>
        <v>0</v>
      </c>
      <c r="J56" s="311">
        <f>IFERROR(H56*'Adjusted Schedule 1'!$E$104,0)</f>
        <v>0</v>
      </c>
      <c r="K56" s="68">
        <f t="shared" si="1"/>
        <v>0</v>
      </c>
      <c r="L56" s="311">
        <f t="shared" si="2"/>
        <v>0</v>
      </c>
      <c r="N56" s="117">
        <f>'As-Filed Schedule 2G'!J56</f>
        <v>0</v>
      </c>
      <c r="O56" s="314">
        <f>SUMIFS(Adjustments!$G:$G,Adjustments!$H:$H,"2G",Adjustments!$I:$I,'Schedule 2G Adjustments'!$N$12,Adjustments!$J:$J,'Schedule 2G Adjustments'!$A56)</f>
        <v>0</v>
      </c>
      <c r="P56" s="310">
        <f t="shared" si="3"/>
        <v>0</v>
      </c>
      <c r="Q56" s="68">
        <f>IFERROR(N56*'As-Filed Schedule 1'!$E$103,0)</f>
        <v>0</v>
      </c>
      <c r="R56" s="68">
        <f>IFERROR(P56*'Adjusted Schedule 1'!$E$104,0)</f>
        <v>0</v>
      </c>
      <c r="S56" s="68">
        <f t="shared" si="4"/>
        <v>0</v>
      </c>
      <c r="T56" s="311">
        <f t="shared" si="5"/>
        <v>0</v>
      </c>
      <c r="V56" s="120">
        <f>'As-Filed Schedule 2G'!N56</f>
        <v>0</v>
      </c>
      <c r="W56" s="314">
        <f>SUMIFS(Adjustments!$G:$G,Adjustments!$H:$H,"2G",Adjustments!$I:$I,'Schedule 2G Adjustments'!$V$12,Adjustments!$J:$J,'Schedule 2G Adjustments'!$A56)</f>
        <v>0</v>
      </c>
      <c r="X56" s="310">
        <f t="shared" si="6"/>
        <v>0</v>
      </c>
      <c r="Y56" s="120">
        <f>'As-Filed Schedule 2G'!O56</f>
        <v>0</v>
      </c>
      <c r="Z56" s="314">
        <f>SUMIFS(Adjustments!$G:$G,Adjustments!$H:$H,"2G",Adjustments!$I:$I,'Schedule 2G Adjustments'!$Y$12,Adjustments!$J:$J,'Schedule 2G Adjustments'!$A56)</f>
        <v>0</v>
      </c>
      <c r="AA56" s="310">
        <f t="shared" si="7"/>
        <v>0</v>
      </c>
    </row>
    <row r="57" spans="1:27" x14ac:dyDescent="0.35">
      <c r="A57" s="24">
        <v>43</v>
      </c>
      <c r="B57" s="513" t="str">
        <f>IF('As-Filed Schedule 2G'!B57:D57=0,"",'As-Filed Schedule 2G'!B57:D57)</f>
        <v/>
      </c>
      <c r="C57" s="513"/>
      <c r="D57" s="513"/>
      <c r="F57" s="117">
        <f>'As-Filed Schedule 2G'!F57</f>
        <v>0</v>
      </c>
      <c r="G57" s="314">
        <f>SUMIFS(Adjustments!$G:$G,Adjustments!$H:$H,"2G",Adjustments!$I:$I,'Schedule 2G Adjustments'!$F$12,Adjustments!$J:$J,'Schedule 2G Adjustments'!$A57)</f>
        <v>0</v>
      </c>
      <c r="H57" s="310">
        <f t="shared" si="0"/>
        <v>0</v>
      </c>
      <c r="I57" s="68">
        <f>IFERROR(F57*'As-Filed Schedule 1'!$E$103,0)</f>
        <v>0</v>
      </c>
      <c r="J57" s="311">
        <f>IFERROR(H57*'Adjusted Schedule 1'!$E$104,0)</f>
        <v>0</v>
      </c>
      <c r="K57" s="68">
        <f t="shared" si="1"/>
        <v>0</v>
      </c>
      <c r="L57" s="311">
        <f t="shared" si="2"/>
        <v>0</v>
      </c>
      <c r="N57" s="117">
        <f>'As-Filed Schedule 2G'!J57</f>
        <v>0</v>
      </c>
      <c r="O57" s="314">
        <f>SUMIFS(Adjustments!$G:$G,Adjustments!$H:$H,"2G",Adjustments!$I:$I,'Schedule 2G Adjustments'!$N$12,Adjustments!$J:$J,'Schedule 2G Adjustments'!$A57)</f>
        <v>0</v>
      </c>
      <c r="P57" s="310">
        <f t="shared" si="3"/>
        <v>0</v>
      </c>
      <c r="Q57" s="68">
        <f>IFERROR(N57*'As-Filed Schedule 1'!$E$103,0)</f>
        <v>0</v>
      </c>
      <c r="R57" s="68">
        <f>IFERROR(P57*'Adjusted Schedule 1'!$E$104,0)</f>
        <v>0</v>
      </c>
      <c r="S57" s="68">
        <f t="shared" si="4"/>
        <v>0</v>
      </c>
      <c r="T57" s="311">
        <f t="shared" si="5"/>
        <v>0</v>
      </c>
      <c r="V57" s="120">
        <f>'As-Filed Schedule 2G'!N57</f>
        <v>0</v>
      </c>
      <c r="W57" s="314">
        <f>SUMIFS(Adjustments!$G:$G,Adjustments!$H:$H,"2G",Adjustments!$I:$I,'Schedule 2G Adjustments'!$V$12,Adjustments!$J:$J,'Schedule 2G Adjustments'!$A57)</f>
        <v>0</v>
      </c>
      <c r="X57" s="310">
        <f t="shared" si="6"/>
        <v>0</v>
      </c>
      <c r="Y57" s="120">
        <f>'As-Filed Schedule 2G'!O57</f>
        <v>0</v>
      </c>
      <c r="Z57" s="314">
        <f>SUMIFS(Adjustments!$G:$G,Adjustments!$H:$H,"2G",Adjustments!$I:$I,'Schedule 2G Adjustments'!$Y$12,Adjustments!$J:$J,'Schedule 2G Adjustments'!$A57)</f>
        <v>0</v>
      </c>
      <c r="AA57" s="310">
        <f t="shared" si="7"/>
        <v>0</v>
      </c>
    </row>
    <row r="58" spans="1:27" x14ac:dyDescent="0.35">
      <c r="A58" s="24">
        <v>44</v>
      </c>
      <c r="B58" s="513" t="str">
        <f>IF('As-Filed Schedule 2G'!B58:D58=0,"",'As-Filed Schedule 2G'!B58:D58)</f>
        <v/>
      </c>
      <c r="C58" s="513"/>
      <c r="D58" s="513"/>
      <c r="F58" s="117">
        <f>'As-Filed Schedule 2G'!F58</f>
        <v>0</v>
      </c>
      <c r="G58" s="314">
        <f>SUMIFS(Adjustments!$G:$G,Adjustments!$H:$H,"2G",Adjustments!$I:$I,'Schedule 2G Adjustments'!$F$12,Adjustments!$J:$J,'Schedule 2G Adjustments'!$A58)</f>
        <v>0</v>
      </c>
      <c r="H58" s="310">
        <f t="shared" si="0"/>
        <v>0</v>
      </c>
      <c r="I58" s="68">
        <f>IFERROR(F58*'As-Filed Schedule 1'!$E$103,0)</f>
        <v>0</v>
      </c>
      <c r="J58" s="311">
        <f>IFERROR(H58*'Adjusted Schedule 1'!$E$104,0)</f>
        <v>0</v>
      </c>
      <c r="K58" s="68">
        <f t="shared" si="1"/>
        <v>0</v>
      </c>
      <c r="L58" s="311">
        <f t="shared" si="2"/>
        <v>0</v>
      </c>
      <c r="N58" s="117">
        <f>'As-Filed Schedule 2G'!J58</f>
        <v>0</v>
      </c>
      <c r="O58" s="314">
        <f>SUMIFS(Adjustments!$G:$G,Adjustments!$H:$H,"2G",Adjustments!$I:$I,'Schedule 2G Adjustments'!$N$12,Adjustments!$J:$J,'Schedule 2G Adjustments'!$A58)</f>
        <v>0</v>
      </c>
      <c r="P58" s="310">
        <f t="shared" si="3"/>
        <v>0</v>
      </c>
      <c r="Q58" s="68">
        <f>IFERROR(N58*'As-Filed Schedule 1'!$E$103,0)</f>
        <v>0</v>
      </c>
      <c r="R58" s="68">
        <f>IFERROR(P58*'Adjusted Schedule 1'!$E$104,0)</f>
        <v>0</v>
      </c>
      <c r="S58" s="68">
        <f t="shared" si="4"/>
        <v>0</v>
      </c>
      <c r="T58" s="311">
        <f t="shared" si="5"/>
        <v>0</v>
      </c>
      <c r="V58" s="120">
        <f>'As-Filed Schedule 2G'!N58</f>
        <v>0</v>
      </c>
      <c r="W58" s="314">
        <f>SUMIFS(Adjustments!$G:$G,Adjustments!$H:$H,"2G",Adjustments!$I:$I,'Schedule 2G Adjustments'!$V$12,Adjustments!$J:$J,'Schedule 2G Adjustments'!$A58)</f>
        <v>0</v>
      </c>
      <c r="X58" s="310">
        <f t="shared" si="6"/>
        <v>0</v>
      </c>
      <c r="Y58" s="120">
        <f>'As-Filed Schedule 2G'!O58</f>
        <v>0</v>
      </c>
      <c r="Z58" s="314">
        <f>SUMIFS(Adjustments!$G:$G,Adjustments!$H:$H,"2G",Adjustments!$I:$I,'Schedule 2G Adjustments'!$Y$12,Adjustments!$J:$J,'Schedule 2G Adjustments'!$A58)</f>
        <v>0</v>
      </c>
      <c r="AA58" s="310">
        <f t="shared" si="7"/>
        <v>0</v>
      </c>
    </row>
    <row r="59" spans="1:27" x14ac:dyDescent="0.35">
      <c r="A59" s="24">
        <v>45</v>
      </c>
      <c r="B59" s="513" t="str">
        <f>IF('As-Filed Schedule 2G'!B59:D59=0,"",'As-Filed Schedule 2G'!B59:D59)</f>
        <v/>
      </c>
      <c r="C59" s="513"/>
      <c r="D59" s="513"/>
      <c r="F59" s="117">
        <f>'As-Filed Schedule 2G'!F59</f>
        <v>0</v>
      </c>
      <c r="G59" s="314">
        <f>SUMIFS(Adjustments!$G:$G,Adjustments!$H:$H,"2G",Adjustments!$I:$I,'Schedule 2G Adjustments'!$F$12,Adjustments!$J:$J,'Schedule 2G Adjustments'!$A59)</f>
        <v>0</v>
      </c>
      <c r="H59" s="310">
        <f t="shared" si="0"/>
        <v>0</v>
      </c>
      <c r="I59" s="68">
        <f>IFERROR(F59*'As-Filed Schedule 1'!$E$103,0)</f>
        <v>0</v>
      </c>
      <c r="J59" s="311">
        <f>IFERROR(H59*'Adjusted Schedule 1'!$E$104,0)</f>
        <v>0</v>
      </c>
      <c r="K59" s="68">
        <f t="shared" si="1"/>
        <v>0</v>
      </c>
      <c r="L59" s="311">
        <f t="shared" si="2"/>
        <v>0</v>
      </c>
      <c r="N59" s="117">
        <f>'As-Filed Schedule 2G'!J59</f>
        <v>0</v>
      </c>
      <c r="O59" s="314">
        <f>SUMIFS(Adjustments!$G:$G,Adjustments!$H:$H,"2G",Adjustments!$I:$I,'Schedule 2G Adjustments'!$N$12,Adjustments!$J:$J,'Schedule 2G Adjustments'!$A59)</f>
        <v>0</v>
      </c>
      <c r="P59" s="310">
        <f t="shared" si="3"/>
        <v>0</v>
      </c>
      <c r="Q59" s="68">
        <f>IFERROR(N59*'As-Filed Schedule 1'!$E$103,0)</f>
        <v>0</v>
      </c>
      <c r="R59" s="68">
        <f>IFERROR(P59*'Adjusted Schedule 1'!$E$104,0)</f>
        <v>0</v>
      </c>
      <c r="S59" s="68">
        <f t="shared" si="4"/>
        <v>0</v>
      </c>
      <c r="T59" s="311">
        <f t="shared" si="5"/>
        <v>0</v>
      </c>
      <c r="V59" s="120">
        <f>'As-Filed Schedule 2G'!N59</f>
        <v>0</v>
      </c>
      <c r="W59" s="314">
        <f>SUMIFS(Adjustments!$G:$G,Adjustments!$H:$H,"2G",Adjustments!$I:$I,'Schedule 2G Adjustments'!$V$12,Adjustments!$J:$J,'Schedule 2G Adjustments'!$A59)</f>
        <v>0</v>
      </c>
      <c r="X59" s="310">
        <f t="shared" si="6"/>
        <v>0</v>
      </c>
      <c r="Y59" s="120">
        <f>'As-Filed Schedule 2G'!O59</f>
        <v>0</v>
      </c>
      <c r="Z59" s="314">
        <f>SUMIFS(Adjustments!$G:$G,Adjustments!$H:$H,"2G",Adjustments!$I:$I,'Schedule 2G Adjustments'!$Y$12,Adjustments!$J:$J,'Schedule 2G Adjustments'!$A59)</f>
        <v>0</v>
      </c>
      <c r="AA59" s="310">
        <f t="shared" si="7"/>
        <v>0</v>
      </c>
    </row>
    <row r="60" spans="1:27" x14ac:dyDescent="0.35">
      <c r="A60" s="24">
        <v>46</v>
      </c>
      <c r="B60" s="513" t="str">
        <f>IF('As-Filed Schedule 2G'!B60:D60=0,"",'As-Filed Schedule 2G'!B60:D60)</f>
        <v/>
      </c>
      <c r="C60" s="513"/>
      <c r="D60" s="513"/>
      <c r="F60" s="117">
        <f>'As-Filed Schedule 2G'!F60</f>
        <v>0</v>
      </c>
      <c r="G60" s="314">
        <f>SUMIFS(Adjustments!$G:$G,Adjustments!$H:$H,"2G",Adjustments!$I:$I,'Schedule 2G Adjustments'!$F$12,Adjustments!$J:$J,'Schedule 2G Adjustments'!$A60)</f>
        <v>0</v>
      </c>
      <c r="H60" s="310">
        <f t="shared" si="0"/>
        <v>0</v>
      </c>
      <c r="I60" s="68">
        <f>IFERROR(F60*'As-Filed Schedule 1'!$E$103,0)</f>
        <v>0</v>
      </c>
      <c r="J60" s="311">
        <f>IFERROR(H60*'Adjusted Schedule 1'!$E$104,0)</f>
        <v>0</v>
      </c>
      <c r="K60" s="68">
        <f t="shared" si="1"/>
        <v>0</v>
      </c>
      <c r="L60" s="311">
        <f t="shared" si="2"/>
        <v>0</v>
      </c>
      <c r="N60" s="117">
        <f>'As-Filed Schedule 2G'!J60</f>
        <v>0</v>
      </c>
      <c r="O60" s="314">
        <f>SUMIFS(Adjustments!$G:$G,Adjustments!$H:$H,"2G",Adjustments!$I:$I,'Schedule 2G Adjustments'!$N$12,Adjustments!$J:$J,'Schedule 2G Adjustments'!$A60)</f>
        <v>0</v>
      </c>
      <c r="P60" s="310">
        <f t="shared" si="3"/>
        <v>0</v>
      </c>
      <c r="Q60" s="68">
        <f>IFERROR(N60*'As-Filed Schedule 1'!$E$103,0)</f>
        <v>0</v>
      </c>
      <c r="R60" s="68">
        <f>IFERROR(P60*'Adjusted Schedule 1'!$E$104,0)</f>
        <v>0</v>
      </c>
      <c r="S60" s="68">
        <f t="shared" si="4"/>
        <v>0</v>
      </c>
      <c r="T60" s="311">
        <f t="shared" si="5"/>
        <v>0</v>
      </c>
      <c r="V60" s="120">
        <f>'As-Filed Schedule 2G'!N60</f>
        <v>0</v>
      </c>
      <c r="W60" s="314">
        <f>SUMIFS(Adjustments!$G:$G,Adjustments!$H:$H,"2G",Adjustments!$I:$I,'Schedule 2G Adjustments'!$V$12,Adjustments!$J:$J,'Schedule 2G Adjustments'!$A60)</f>
        <v>0</v>
      </c>
      <c r="X60" s="310">
        <f t="shared" si="6"/>
        <v>0</v>
      </c>
      <c r="Y60" s="120">
        <f>'As-Filed Schedule 2G'!O60</f>
        <v>0</v>
      </c>
      <c r="Z60" s="314">
        <f>SUMIFS(Adjustments!$G:$G,Adjustments!$H:$H,"2G",Adjustments!$I:$I,'Schedule 2G Adjustments'!$Y$12,Adjustments!$J:$J,'Schedule 2G Adjustments'!$A60)</f>
        <v>0</v>
      </c>
      <c r="AA60" s="310">
        <f t="shared" si="7"/>
        <v>0</v>
      </c>
    </row>
    <row r="61" spans="1:27" x14ac:dyDescent="0.35">
      <c r="A61" s="24">
        <v>47</v>
      </c>
      <c r="B61" s="513" t="str">
        <f>IF('As-Filed Schedule 2G'!B61:D61=0,"",'As-Filed Schedule 2G'!B61:D61)</f>
        <v/>
      </c>
      <c r="C61" s="513"/>
      <c r="D61" s="513"/>
      <c r="F61" s="117">
        <f>'As-Filed Schedule 2G'!F61</f>
        <v>0</v>
      </c>
      <c r="G61" s="314">
        <f>SUMIFS(Adjustments!$G:$G,Adjustments!$H:$H,"2G",Adjustments!$I:$I,'Schedule 2G Adjustments'!$F$12,Adjustments!$J:$J,'Schedule 2G Adjustments'!$A61)</f>
        <v>0</v>
      </c>
      <c r="H61" s="310">
        <f t="shared" si="0"/>
        <v>0</v>
      </c>
      <c r="I61" s="68">
        <f>IFERROR(F61*'As-Filed Schedule 1'!$E$103,0)</f>
        <v>0</v>
      </c>
      <c r="J61" s="311">
        <f>IFERROR(H61*'Adjusted Schedule 1'!$E$104,0)</f>
        <v>0</v>
      </c>
      <c r="K61" s="68">
        <f t="shared" si="1"/>
        <v>0</v>
      </c>
      <c r="L61" s="311">
        <f t="shared" si="2"/>
        <v>0</v>
      </c>
      <c r="N61" s="117">
        <f>'As-Filed Schedule 2G'!J61</f>
        <v>0</v>
      </c>
      <c r="O61" s="314">
        <f>SUMIFS(Adjustments!$G:$G,Adjustments!$H:$H,"2G",Adjustments!$I:$I,'Schedule 2G Adjustments'!$N$12,Adjustments!$J:$J,'Schedule 2G Adjustments'!$A61)</f>
        <v>0</v>
      </c>
      <c r="P61" s="310">
        <f t="shared" si="3"/>
        <v>0</v>
      </c>
      <c r="Q61" s="68">
        <f>IFERROR(N61*'As-Filed Schedule 1'!$E$103,0)</f>
        <v>0</v>
      </c>
      <c r="R61" s="68">
        <f>IFERROR(P61*'Adjusted Schedule 1'!$E$104,0)</f>
        <v>0</v>
      </c>
      <c r="S61" s="68">
        <f t="shared" si="4"/>
        <v>0</v>
      </c>
      <c r="T61" s="311">
        <f t="shared" si="5"/>
        <v>0</v>
      </c>
      <c r="V61" s="120">
        <f>'As-Filed Schedule 2G'!N61</f>
        <v>0</v>
      </c>
      <c r="W61" s="314">
        <f>SUMIFS(Adjustments!$G:$G,Adjustments!$H:$H,"2G",Adjustments!$I:$I,'Schedule 2G Adjustments'!$V$12,Adjustments!$J:$J,'Schedule 2G Adjustments'!$A61)</f>
        <v>0</v>
      </c>
      <c r="X61" s="310">
        <f t="shared" si="6"/>
        <v>0</v>
      </c>
      <c r="Y61" s="120">
        <f>'As-Filed Schedule 2G'!O61</f>
        <v>0</v>
      </c>
      <c r="Z61" s="314">
        <f>SUMIFS(Adjustments!$G:$G,Adjustments!$H:$H,"2G",Adjustments!$I:$I,'Schedule 2G Adjustments'!$Y$12,Adjustments!$J:$J,'Schedule 2G Adjustments'!$A61)</f>
        <v>0</v>
      </c>
      <c r="AA61" s="310">
        <f t="shared" si="7"/>
        <v>0</v>
      </c>
    </row>
    <row r="62" spans="1:27" x14ac:dyDescent="0.35">
      <c r="A62" s="24">
        <v>48</v>
      </c>
      <c r="B62" s="513" t="str">
        <f>IF('As-Filed Schedule 2G'!B62:D62=0,"",'As-Filed Schedule 2G'!B62:D62)</f>
        <v/>
      </c>
      <c r="C62" s="513"/>
      <c r="D62" s="513"/>
      <c r="F62" s="117">
        <f>'As-Filed Schedule 2G'!F62</f>
        <v>0</v>
      </c>
      <c r="G62" s="314">
        <f>SUMIFS(Adjustments!$G:$G,Adjustments!$H:$H,"2G",Adjustments!$I:$I,'Schedule 2G Adjustments'!$F$12,Adjustments!$J:$J,'Schedule 2G Adjustments'!$A62)</f>
        <v>0</v>
      </c>
      <c r="H62" s="310">
        <f t="shared" si="0"/>
        <v>0</v>
      </c>
      <c r="I62" s="68">
        <f>IFERROR(F62*'As-Filed Schedule 1'!$E$103,0)</f>
        <v>0</v>
      </c>
      <c r="J62" s="311">
        <f>IFERROR(H62*'Adjusted Schedule 1'!$E$104,0)</f>
        <v>0</v>
      </c>
      <c r="K62" s="68">
        <f t="shared" si="1"/>
        <v>0</v>
      </c>
      <c r="L62" s="311">
        <f t="shared" si="2"/>
        <v>0</v>
      </c>
      <c r="N62" s="117">
        <f>'As-Filed Schedule 2G'!J62</f>
        <v>0</v>
      </c>
      <c r="O62" s="314">
        <f>SUMIFS(Adjustments!$G:$G,Adjustments!$H:$H,"2G",Adjustments!$I:$I,'Schedule 2G Adjustments'!$N$12,Adjustments!$J:$J,'Schedule 2G Adjustments'!$A62)</f>
        <v>0</v>
      </c>
      <c r="P62" s="310">
        <f t="shared" si="3"/>
        <v>0</v>
      </c>
      <c r="Q62" s="68">
        <f>IFERROR(N62*'As-Filed Schedule 1'!$E$103,0)</f>
        <v>0</v>
      </c>
      <c r="R62" s="68">
        <f>IFERROR(P62*'Adjusted Schedule 1'!$E$104,0)</f>
        <v>0</v>
      </c>
      <c r="S62" s="68">
        <f t="shared" si="4"/>
        <v>0</v>
      </c>
      <c r="T62" s="311">
        <f t="shared" si="5"/>
        <v>0</v>
      </c>
      <c r="V62" s="120">
        <f>'As-Filed Schedule 2G'!N62</f>
        <v>0</v>
      </c>
      <c r="W62" s="314">
        <f>SUMIFS(Adjustments!$G:$G,Adjustments!$H:$H,"2G",Adjustments!$I:$I,'Schedule 2G Adjustments'!$V$12,Adjustments!$J:$J,'Schedule 2G Adjustments'!$A62)</f>
        <v>0</v>
      </c>
      <c r="X62" s="310">
        <f t="shared" si="6"/>
        <v>0</v>
      </c>
      <c r="Y62" s="120">
        <f>'As-Filed Schedule 2G'!O62</f>
        <v>0</v>
      </c>
      <c r="Z62" s="314">
        <f>SUMIFS(Adjustments!$G:$G,Adjustments!$H:$H,"2G",Adjustments!$I:$I,'Schedule 2G Adjustments'!$Y$12,Adjustments!$J:$J,'Schedule 2G Adjustments'!$A62)</f>
        <v>0</v>
      </c>
      <c r="AA62" s="310">
        <f t="shared" si="7"/>
        <v>0</v>
      </c>
    </row>
    <row r="63" spans="1:27" x14ac:dyDescent="0.35">
      <c r="A63" s="24">
        <v>49</v>
      </c>
      <c r="B63" s="513" t="str">
        <f>IF('As-Filed Schedule 2G'!B63:D63=0,"",'As-Filed Schedule 2G'!B63:D63)</f>
        <v/>
      </c>
      <c r="C63" s="513"/>
      <c r="D63" s="513"/>
      <c r="F63" s="117">
        <f>'As-Filed Schedule 2G'!F63</f>
        <v>0</v>
      </c>
      <c r="G63" s="314">
        <f>SUMIFS(Adjustments!$G:$G,Adjustments!$H:$H,"2G",Adjustments!$I:$I,'Schedule 2G Adjustments'!$F$12,Adjustments!$J:$J,'Schedule 2G Adjustments'!$A63)</f>
        <v>0</v>
      </c>
      <c r="H63" s="310">
        <f t="shared" si="0"/>
        <v>0</v>
      </c>
      <c r="I63" s="68">
        <f>IFERROR(F63*'As-Filed Schedule 1'!$E$103,0)</f>
        <v>0</v>
      </c>
      <c r="J63" s="311">
        <f>IFERROR(H63*'Adjusted Schedule 1'!$E$104,0)</f>
        <v>0</v>
      </c>
      <c r="K63" s="68">
        <f t="shared" si="1"/>
        <v>0</v>
      </c>
      <c r="L63" s="311">
        <f t="shared" si="2"/>
        <v>0</v>
      </c>
      <c r="N63" s="117">
        <f>'As-Filed Schedule 2G'!J63</f>
        <v>0</v>
      </c>
      <c r="O63" s="314">
        <f>SUMIFS(Adjustments!$G:$G,Adjustments!$H:$H,"2G",Adjustments!$I:$I,'Schedule 2G Adjustments'!$N$12,Adjustments!$J:$J,'Schedule 2G Adjustments'!$A63)</f>
        <v>0</v>
      </c>
      <c r="P63" s="310">
        <f t="shared" si="3"/>
        <v>0</v>
      </c>
      <c r="Q63" s="68">
        <f>IFERROR(N63*'As-Filed Schedule 1'!$E$103,0)</f>
        <v>0</v>
      </c>
      <c r="R63" s="68">
        <f>IFERROR(P63*'Adjusted Schedule 1'!$E$104,0)</f>
        <v>0</v>
      </c>
      <c r="S63" s="68">
        <f t="shared" si="4"/>
        <v>0</v>
      </c>
      <c r="T63" s="311">
        <f t="shared" si="5"/>
        <v>0</v>
      </c>
      <c r="V63" s="120">
        <f>'As-Filed Schedule 2G'!N63</f>
        <v>0</v>
      </c>
      <c r="W63" s="314">
        <f>SUMIFS(Adjustments!$G:$G,Adjustments!$H:$H,"2G",Adjustments!$I:$I,'Schedule 2G Adjustments'!$V$12,Adjustments!$J:$J,'Schedule 2G Adjustments'!$A63)</f>
        <v>0</v>
      </c>
      <c r="X63" s="310">
        <f t="shared" si="6"/>
        <v>0</v>
      </c>
      <c r="Y63" s="120">
        <f>'As-Filed Schedule 2G'!O63</f>
        <v>0</v>
      </c>
      <c r="Z63" s="314">
        <f>SUMIFS(Adjustments!$G:$G,Adjustments!$H:$H,"2G",Adjustments!$I:$I,'Schedule 2G Adjustments'!$Y$12,Adjustments!$J:$J,'Schedule 2G Adjustments'!$A63)</f>
        <v>0</v>
      </c>
      <c r="AA63" s="310">
        <f t="shared" si="7"/>
        <v>0</v>
      </c>
    </row>
    <row r="64" spans="1:27" x14ac:dyDescent="0.35">
      <c r="A64" s="24">
        <v>50</v>
      </c>
      <c r="B64" s="513" t="str">
        <f>IF('As-Filed Schedule 2G'!B64:D64=0,"",'As-Filed Schedule 2G'!B64:D64)</f>
        <v/>
      </c>
      <c r="C64" s="513"/>
      <c r="D64" s="513"/>
      <c r="F64" s="117">
        <f>'As-Filed Schedule 2G'!F64</f>
        <v>0</v>
      </c>
      <c r="G64" s="314">
        <f>SUMIFS(Adjustments!$G:$G,Adjustments!$H:$H,"2G",Adjustments!$I:$I,'Schedule 2G Adjustments'!$F$12,Adjustments!$J:$J,'Schedule 2G Adjustments'!$A64)</f>
        <v>0</v>
      </c>
      <c r="H64" s="310">
        <f t="shared" si="0"/>
        <v>0</v>
      </c>
      <c r="I64" s="68">
        <f>IFERROR(F64*'As-Filed Schedule 1'!$E$103,0)</f>
        <v>0</v>
      </c>
      <c r="J64" s="311">
        <f>IFERROR(H64*'Adjusted Schedule 1'!$E$104,0)</f>
        <v>0</v>
      </c>
      <c r="K64" s="68">
        <f t="shared" si="1"/>
        <v>0</v>
      </c>
      <c r="L64" s="311">
        <f t="shared" si="2"/>
        <v>0</v>
      </c>
      <c r="N64" s="117">
        <f>'As-Filed Schedule 2G'!J64</f>
        <v>0</v>
      </c>
      <c r="O64" s="314">
        <f>SUMIFS(Adjustments!$G:$G,Adjustments!$H:$H,"2G",Adjustments!$I:$I,'Schedule 2G Adjustments'!$N$12,Adjustments!$J:$J,'Schedule 2G Adjustments'!$A64)</f>
        <v>0</v>
      </c>
      <c r="P64" s="310">
        <f t="shared" si="3"/>
        <v>0</v>
      </c>
      <c r="Q64" s="68">
        <f>IFERROR(N64*'As-Filed Schedule 1'!$E$103,0)</f>
        <v>0</v>
      </c>
      <c r="R64" s="68">
        <f>IFERROR(P64*'Adjusted Schedule 1'!$E$104,0)</f>
        <v>0</v>
      </c>
      <c r="S64" s="68">
        <f t="shared" si="4"/>
        <v>0</v>
      </c>
      <c r="T64" s="311">
        <f t="shared" si="5"/>
        <v>0</v>
      </c>
      <c r="V64" s="120">
        <f>'As-Filed Schedule 2G'!N64</f>
        <v>0</v>
      </c>
      <c r="W64" s="314">
        <f>SUMIFS(Adjustments!$G:$G,Adjustments!$H:$H,"2G",Adjustments!$I:$I,'Schedule 2G Adjustments'!$V$12,Adjustments!$J:$J,'Schedule 2G Adjustments'!$A64)</f>
        <v>0</v>
      </c>
      <c r="X64" s="310">
        <f t="shared" si="6"/>
        <v>0</v>
      </c>
      <c r="Y64" s="120">
        <f>'As-Filed Schedule 2G'!O64</f>
        <v>0</v>
      </c>
      <c r="Z64" s="314">
        <f>SUMIFS(Adjustments!$G:$G,Adjustments!$H:$H,"2G",Adjustments!$I:$I,'Schedule 2G Adjustments'!$Y$12,Adjustments!$J:$J,'Schedule 2G Adjustments'!$A64)</f>
        <v>0</v>
      </c>
      <c r="AA64" s="310">
        <f t="shared" si="7"/>
        <v>0</v>
      </c>
    </row>
    <row r="65" spans="1:27" x14ac:dyDescent="0.35">
      <c r="A65" s="24">
        <v>51</v>
      </c>
      <c r="B65" s="513" t="str">
        <f>IF('As-Filed Schedule 2G'!B65:D65=0,"",'As-Filed Schedule 2G'!B65:D65)</f>
        <v/>
      </c>
      <c r="C65" s="513"/>
      <c r="D65" s="513"/>
      <c r="F65" s="117">
        <f>'As-Filed Schedule 2G'!F65</f>
        <v>0</v>
      </c>
      <c r="G65" s="314">
        <f>SUMIFS(Adjustments!$G:$G,Adjustments!$H:$H,"2G",Adjustments!$I:$I,'Schedule 2G Adjustments'!$F$12,Adjustments!$J:$J,'Schedule 2G Adjustments'!$A65)</f>
        <v>0</v>
      </c>
      <c r="H65" s="310">
        <f t="shared" si="0"/>
        <v>0</v>
      </c>
      <c r="I65" s="68">
        <f>IFERROR(F65*'As-Filed Schedule 1'!$E$103,0)</f>
        <v>0</v>
      </c>
      <c r="J65" s="311">
        <f>IFERROR(H65*'Adjusted Schedule 1'!$E$104,0)</f>
        <v>0</v>
      </c>
      <c r="K65" s="68">
        <f t="shared" si="1"/>
        <v>0</v>
      </c>
      <c r="L65" s="311">
        <f t="shared" si="2"/>
        <v>0</v>
      </c>
      <c r="N65" s="117">
        <f>'As-Filed Schedule 2G'!J65</f>
        <v>0</v>
      </c>
      <c r="O65" s="314">
        <f>SUMIFS(Adjustments!$G:$G,Adjustments!$H:$H,"2G",Adjustments!$I:$I,'Schedule 2G Adjustments'!$N$12,Adjustments!$J:$J,'Schedule 2G Adjustments'!$A65)</f>
        <v>0</v>
      </c>
      <c r="P65" s="310">
        <f t="shared" si="3"/>
        <v>0</v>
      </c>
      <c r="Q65" s="68">
        <f>IFERROR(N65*'As-Filed Schedule 1'!$E$103,0)</f>
        <v>0</v>
      </c>
      <c r="R65" s="68">
        <f>IFERROR(P65*'Adjusted Schedule 1'!$E$104,0)</f>
        <v>0</v>
      </c>
      <c r="S65" s="68">
        <f t="shared" si="4"/>
        <v>0</v>
      </c>
      <c r="T65" s="311">
        <f t="shared" si="5"/>
        <v>0</v>
      </c>
      <c r="V65" s="120">
        <f>'As-Filed Schedule 2G'!N65</f>
        <v>0</v>
      </c>
      <c r="W65" s="314">
        <f>SUMIFS(Adjustments!$G:$G,Adjustments!$H:$H,"2G",Adjustments!$I:$I,'Schedule 2G Adjustments'!$V$12,Adjustments!$J:$J,'Schedule 2G Adjustments'!$A65)</f>
        <v>0</v>
      </c>
      <c r="X65" s="310">
        <f t="shared" si="6"/>
        <v>0</v>
      </c>
      <c r="Y65" s="120">
        <f>'As-Filed Schedule 2G'!O65</f>
        <v>0</v>
      </c>
      <c r="Z65" s="314">
        <f>SUMIFS(Adjustments!$G:$G,Adjustments!$H:$H,"2G",Adjustments!$I:$I,'Schedule 2G Adjustments'!$Y$12,Adjustments!$J:$J,'Schedule 2G Adjustments'!$A65)</f>
        <v>0</v>
      </c>
      <c r="AA65" s="310">
        <f t="shared" si="7"/>
        <v>0</v>
      </c>
    </row>
    <row r="66" spans="1:27" x14ac:dyDescent="0.35">
      <c r="A66" s="24">
        <v>52</v>
      </c>
      <c r="B66" s="513" t="str">
        <f>IF('As-Filed Schedule 2G'!B66:D66=0,"",'As-Filed Schedule 2G'!B66:D66)</f>
        <v/>
      </c>
      <c r="C66" s="513"/>
      <c r="D66" s="513"/>
      <c r="F66" s="117">
        <f>'As-Filed Schedule 2G'!F66</f>
        <v>0</v>
      </c>
      <c r="G66" s="314">
        <f>SUMIFS(Adjustments!$G:$G,Adjustments!$H:$H,"2G",Adjustments!$I:$I,'Schedule 2G Adjustments'!$F$12,Adjustments!$J:$J,'Schedule 2G Adjustments'!$A66)</f>
        <v>0</v>
      </c>
      <c r="H66" s="310">
        <f t="shared" si="0"/>
        <v>0</v>
      </c>
      <c r="I66" s="68">
        <f>IFERROR(F66*'As-Filed Schedule 1'!$E$103,0)</f>
        <v>0</v>
      </c>
      <c r="J66" s="311">
        <f>IFERROR(H66*'Adjusted Schedule 1'!$E$104,0)</f>
        <v>0</v>
      </c>
      <c r="K66" s="68">
        <f t="shared" si="1"/>
        <v>0</v>
      </c>
      <c r="L66" s="311">
        <f t="shared" si="2"/>
        <v>0</v>
      </c>
      <c r="N66" s="117">
        <f>'As-Filed Schedule 2G'!J66</f>
        <v>0</v>
      </c>
      <c r="O66" s="314">
        <f>SUMIFS(Adjustments!$G:$G,Adjustments!$H:$H,"2G",Adjustments!$I:$I,'Schedule 2G Adjustments'!$N$12,Adjustments!$J:$J,'Schedule 2G Adjustments'!$A66)</f>
        <v>0</v>
      </c>
      <c r="P66" s="310">
        <f t="shared" si="3"/>
        <v>0</v>
      </c>
      <c r="Q66" s="68">
        <f>IFERROR(N66*'As-Filed Schedule 1'!$E$103,0)</f>
        <v>0</v>
      </c>
      <c r="R66" s="68">
        <f>IFERROR(P66*'Adjusted Schedule 1'!$E$104,0)</f>
        <v>0</v>
      </c>
      <c r="S66" s="68">
        <f t="shared" si="4"/>
        <v>0</v>
      </c>
      <c r="T66" s="311">
        <f t="shared" si="5"/>
        <v>0</v>
      </c>
      <c r="V66" s="120">
        <f>'As-Filed Schedule 2G'!N66</f>
        <v>0</v>
      </c>
      <c r="W66" s="314">
        <f>SUMIFS(Adjustments!$G:$G,Adjustments!$H:$H,"2G",Adjustments!$I:$I,'Schedule 2G Adjustments'!$V$12,Adjustments!$J:$J,'Schedule 2G Adjustments'!$A66)</f>
        <v>0</v>
      </c>
      <c r="X66" s="310">
        <f t="shared" si="6"/>
        <v>0</v>
      </c>
      <c r="Y66" s="120">
        <f>'As-Filed Schedule 2G'!O66</f>
        <v>0</v>
      </c>
      <c r="Z66" s="314">
        <f>SUMIFS(Adjustments!$G:$G,Adjustments!$H:$H,"2G",Adjustments!$I:$I,'Schedule 2G Adjustments'!$Y$12,Adjustments!$J:$J,'Schedule 2G Adjustments'!$A66)</f>
        <v>0</v>
      </c>
      <c r="AA66" s="310">
        <f t="shared" si="7"/>
        <v>0</v>
      </c>
    </row>
    <row r="67" spans="1:27" x14ac:dyDescent="0.35">
      <c r="A67" s="24">
        <v>53</v>
      </c>
      <c r="B67" s="513" t="str">
        <f>IF('As-Filed Schedule 2G'!B67:D67=0,"",'As-Filed Schedule 2G'!B67:D67)</f>
        <v/>
      </c>
      <c r="C67" s="513"/>
      <c r="D67" s="513"/>
      <c r="F67" s="117">
        <f>'As-Filed Schedule 2G'!F67</f>
        <v>0</v>
      </c>
      <c r="G67" s="314">
        <f>SUMIFS(Adjustments!$G:$G,Adjustments!$H:$H,"2G",Adjustments!$I:$I,'Schedule 2G Adjustments'!$F$12,Adjustments!$J:$J,'Schedule 2G Adjustments'!$A67)</f>
        <v>0</v>
      </c>
      <c r="H67" s="310">
        <f t="shared" si="0"/>
        <v>0</v>
      </c>
      <c r="I67" s="68">
        <f>IFERROR(F67*'As-Filed Schedule 1'!$E$103,0)</f>
        <v>0</v>
      </c>
      <c r="J67" s="311">
        <f>IFERROR(H67*'Adjusted Schedule 1'!$E$104,0)</f>
        <v>0</v>
      </c>
      <c r="K67" s="68">
        <f t="shared" si="1"/>
        <v>0</v>
      </c>
      <c r="L67" s="311">
        <f t="shared" si="2"/>
        <v>0</v>
      </c>
      <c r="N67" s="117">
        <f>'As-Filed Schedule 2G'!J67</f>
        <v>0</v>
      </c>
      <c r="O67" s="314">
        <f>SUMIFS(Adjustments!$G:$G,Adjustments!$H:$H,"2G",Adjustments!$I:$I,'Schedule 2G Adjustments'!$N$12,Adjustments!$J:$J,'Schedule 2G Adjustments'!$A67)</f>
        <v>0</v>
      </c>
      <c r="P67" s="310">
        <f t="shared" si="3"/>
        <v>0</v>
      </c>
      <c r="Q67" s="68">
        <f>IFERROR(N67*'As-Filed Schedule 1'!$E$103,0)</f>
        <v>0</v>
      </c>
      <c r="R67" s="68">
        <f>IFERROR(P67*'Adjusted Schedule 1'!$E$104,0)</f>
        <v>0</v>
      </c>
      <c r="S67" s="68">
        <f t="shared" si="4"/>
        <v>0</v>
      </c>
      <c r="T67" s="311">
        <f t="shared" si="5"/>
        <v>0</v>
      </c>
      <c r="V67" s="120">
        <f>'As-Filed Schedule 2G'!N67</f>
        <v>0</v>
      </c>
      <c r="W67" s="314">
        <f>SUMIFS(Adjustments!$G:$G,Adjustments!$H:$H,"2G",Adjustments!$I:$I,'Schedule 2G Adjustments'!$V$12,Adjustments!$J:$J,'Schedule 2G Adjustments'!$A67)</f>
        <v>0</v>
      </c>
      <c r="X67" s="310">
        <f t="shared" si="6"/>
        <v>0</v>
      </c>
      <c r="Y67" s="120">
        <f>'As-Filed Schedule 2G'!O67</f>
        <v>0</v>
      </c>
      <c r="Z67" s="314">
        <f>SUMIFS(Adjustments!$G:$G,Adjustments!$H:$H,"2G",Adjustments!$I:$I,'Schedule 2G Adjustments'!$Y$12,Adjustments!$J:$J,'Schedule 2G Adjustments'!$A67)</f>
        <v>0</v>
      </c>
      <c r="AA67" s="310">
        <f t="shared" si="7"/>
        <v>0</v>
      </c>
    </row>
    <row r="68" spans="1:27" x14ac:dyDescent="0.35">
      <c r="A68" s="24">
        <v>54</v>
      </c>
      <c r="B68" s="513" t="str">
        <f>IF('As-Filed Schedule 2G'!B68:D68=0,"",'As-Filed Schedule 2G'!B68:D68)</f>
        <v/>
      </c>
      <c r="C68" s="513"/>
      <c r="D68" s="513"/>
      <c r="F68" s="117">
        <f>'As-Filed Schedule 2G'!F68</f>
        <v>0</v>
      </c>
      <c r="G68" s="314">
        <f>SUMIFS(Adjustments!$G:$G,Adjustments!$H:$H,"2G",Adjustments!$I:$I,'Schedule 2G Adjustments'!$F$12,Adjustments!$J:$J,'Schedule 2G Adjustments'!$A68)</f>
        <v>0</v>
      </c>
      <c r="H68" s="310">
        <f t="shared" si="0"/>
        <v>0</v>
      </c>
      <c r="I68" s="68">
        <f>IFERROR(F68*'As-Filed Schedule 1'!$E$103,0)</f>
        <v>0</v>
      </c>
      <c r="J68" s="311">
        <f>IFERROR(H68*'Adjusted Schedule 1'!$E$104,0)</f>
        <v>0</v>
      </c>
      <c r="K68" s="68">
        <f t="shared" si="1"/>
        <v>0</v>
      </c>
      <c r="L68" s="311">
        <f t="shared" si="2"/>
        <v>0</v>
      </c>
      <c r="N68" s="117">
        <f>'As-Filed Schedule 2G'!J68</f>
        <v>0</v>
      </c>
      <c r="O68" s="314">
        <f>SUMIFS(Adjustments!$G:$G,Adjustments!$H:$H,"2G",Adjustments!$I:$I,'Schedule 2G Adjustments'!$N$12,Adjustments!$J:$J,'Schedule 2G Adjustments'!$A68)</f>
        <v>0</v>
      </c>
      <c r="P68" s="310">
        <f t="shared" si="3"/>
        <v>0</v>
      </c>
      <c r="Q68" s="68">
        <f>IFERROR(N68*'As-Filed Schedule 1'!$E$103,0)</f>
        <v>0</v>
      </c>
      <c r="R68" s="68">
        <f>IFERROR(P68*'Adjusted Schedule 1'!$E$104,0)</f>
        <v>0</v>
      </c>
      <c r="S68" s="68">
        <f t="shared" si="4"/>
        <v>0</v>
      </c>
      <c r="T68" s="311">
        <f t="shared" si="5"/>
        <v>0</v>
      </c>
      <c r="V68" s="120">
        <f>'As-Filed Schedule 2G'!N68</f>
        <v>0</v>
      </c>
      <c r="W68" s="314">
        <f>SUMIFS(Adjustments!$G:$G,Adjustments!$H:$H,"2G",Adjustments!$I:$I,'Schedule 2G Adjustments'!$V$12,Adjustments!$J:$J,'Schedule 2G Adjustments'!$A68)</f>
        <v>0</v>
      </c>
      <c r="X68" s="310">
        <f t="shared" si="6"/>
        <v>0</v>
      </c>
      <c r="Y68" s="120">
        <f>'As-Filed Schedule 2G'!O68</f>
        <v>0</v>
      </c>
      <c r="Z68" s="314">
        <f>SUMIFS(Adjustments!$G:$G,Adjustments!$H:$H,"2G",Adjustments!$I:$I,'Schedule 2G Adjustments'!$Y$12,Adjustments!$J:$J,'Schedule 2G Adjustments'!$A68)</f>
        <v>0</v>
      </c>
      <c r="AA68" s="310">
        <f t="shared" si="7"/>
        <v>0</v>
      </c>
    </row>
    <row r="69" spans="1:27" x14ac:dyDescent="0.35">
      <c r="A69" s="24">
        <v>55</v>
      </c>
      <c r="B69" s="513" t="str">
        <f>IF('As-Filed Schedule 2G'!B69:D69=0,"",'As-Filed Schedule 2G'!B69:D69)</f>
        <v/>
      </c>
      <c r="C69" s="513"/>
      <c r="D69" s="513"/>
      <c r="F69" s="117">
        <f>'As-Filed Schedule 2G'!F69</f>
        <v>0</v>
      </c>
      <c r="G69" s="314">
        <f>SUMIFS(Adjustments!$G:$G,Adjustments!$H:$H,"2G",Adjustments!$I:$I,'Schedule 2G Adjustments'!$F$12,Adjustments!$J:$J,'Schedule 2G Adjustments'!$A69)</f>
        <v>0</v>
      </c>
      <c r="H69" s="310">
        <f t="shared" si="0"/>
        <v>0</v>
      </c>
      <c r="I69" s="68">
        <f>IFERROR(F69*'As-Filed Schedule 1'!$E$103,0)</f>
        <v>0</v>
      </c>
      <c r="J69" s="311">
        <f>IFERROR(H69*'Adjusted Schedule 1'!$E$104,0)</f>
        <v>0</v>
      </c>
      <c r="K69" s="68">
        <f t="shared" si="1"/>
        <v>0</v>
      </c>
      <c r="L69" s="311">
        <f t="shared" si="2"/>
        <v>0</v>
      </c>
      <c r="N69" s="117">
        <f>'As-Filed Schedule 2G'!J69</f>
        <v>0</v>
      </c>
      <c r="O69" s="314">
        <f>SUMIFS(Adjustments!$G:$G,Adjustments!$H:$H,"2G",Adjustments!$I:$I,'Schedule 2G Adjustments'!$N$12,Adjustments!$J:$J,'Schedule 2G Adjustments'!$A69)</f>
        <v>0</v>
      </c>
      <c r="P69" s="310">
        <f t="shared" si="3"/>
        <v>0</v>
      </c>
      <c r="Q69" s="68">
        <f>IFERROR(N69*'As-Filed Schedule 1'!$E$103,0)</f>
        <v>0</v>
      </c>
      <c r="R69" s="68">
        <f>IFERROR(P69*'Adjusted Schedule 1'!$E$104,0)</f>
        <v>0</v>
      </c>
      <c r="S69" s="68">
        <f t="shared" si="4"/>
        <v>0</v>
      </c>
      <c r="T69" s="311">
        <f t="shared" si="5"/>
        <v>0</v>
      </c>
      <c r="V69" s="120">
        <f>'As-Filed Schedule 2G'!N69</f>
        <v>0</v>
      </c>
      <c r="W69" s="314">
        <f>SUMIFS(Adjustments!$G:$G,Adjustments!$H:$H,"2G",Adjustments!$I:$I,'Schedule 2G Adjustments'!$V$12,Adjustments!$J:$J,'Schedule 2G Adjustments'!$A69)</f>
        <v>0</v>
      </c>
      <c r="X69" s="310">
        <f t="shared" si="6"/>
        <v>0</v>
      </c>
      <c r="Y69" s="120">
        <f>'As-Filed Schedule 2G'!O69</f>
        <v>0</v>
      </c>
      <c r="Z69" s="314">
        <f>SUMIFS(Adjustments!$G:$G,Adjustments!$H:$H,"2G",Adjustments!$I:$I,'Schedule 2G Adjustments'!$Y$12,Adjustments!$J:$J,'Schedule 2G Adjustments'!$A69)</f>
        <v>0</v>
      </c>
      <c r="AA69" s="310">
        <f t="shared" si="7"/>
        <v>0</v>
      </c>
    </row>
    <row r="70" spans="1:27" x14ac:dyDescent="0.35">
      <c r="A70" s="24">
        <v>56</v>
      </c>
      <c r="B70" s="513" t="str">
        <f>IF('As-Filed Schedule 2G'!B70:D70=0,"",'As-Filed Schedule 2G'!B70:D70)</f>
        <v/>
      </c>
      <c r="C70" s="513"/>
      <c r="D70" s="513"/>
      <c r="F70" s="117">
        <f>'As-Filed Schedule 2G'!F70</f>
        <v>0</v>
      </c>
      <c r="G70" s="314">
        <f>SUMIFS(Adjustments!$G:$G,Adjustments!$H:$H,"2G",Adjustments!$I:$I,'Schedule 2G Adjustments'!$F$12,Adjustments!$J:$J,'Schedule 2G Adjustments'!$A70)</f>
        <v>0</v>
      </c>
      <c r="H70" s="310">
        <f t="shared" si="0"/>
        <v>0</v>
      </c>
      <c r="I70" s="68">
        <f>IFERROR(F70*'As-Filed Schedule 1'!$E$103,0)</f>
        <v>0</v>
      </c>
      <c r="J70" s="311">
        <f>IFERROR(H70*'Adjusted Schedule 1'!$E$104,0)</f>
        <v>0</v>
      </c>
      <c r="K70" s="68">
        <f t="shared" si="1"/>
        <v>0</v>
      </c>
      <c r="L70" s="311">
        <f t="shared" si="2"/>
        <v>0</v>
      </c>
      <c r="N70" s="117">
        <f>'As-Filed Schedule 2G'!J70</f>
        <v>0</v>
      </c>
      <c r="O70" s="314">
        <f>SUMIFS(Adjustments!$G:$G,Adjustments!$H:$H,"2G",Adjustments!$I:$I,'Schedule 2G Adjustments'!$N$12,Adjustments!$J:$J,'Schedule 2G Adjustments'!$A70)</f>
        <v>0</v>
      </c>
      <c r="P70" s="310">
        <f t="shared" si="3"/>
        <v>0</v>
      </c>
      <c r="Q70" s="68">
        <f>IFERROR(N70*'As-Filed Schedule 1'!$E$103,0)</f>
        <v>0</v>
      </c>
      <c r="R70" s="68">
        <f>IFERROR(P70*'Adjusted Schedule 1'!$E$104,0)</f>
        <v>0</v>
      </c>
      <c r="S70" s="68">
        <f t="shared" si="4"/>
        <v>0</v>
      </c>
      <c r="T70" s="311">
        <f t="shared" si="5"/>
        <v>0</v>
      </c>
      <c r="V70" s="120">
        <f>'As-Filed Schedule 2G'!N70</f>
        <v>0</v>
      </c>
      <c r="W70" s="314">
        <f>SUMIFS(Adjustments!$G:$G,Adjustments!$H:$H,"2G",Adjustments!$I:$I,'Schedule 2G Adjustments'!$V$12,Adjustments!$J:$J,'Schedule 2G Adjustments'!$A70)</f>
        <v>0</v>
      </c>
      <c r="X70" s="310">
        <f t="shared" si="6"/>
        <v>0</v>
      </c>
      <c r="Y70" s="120">
        <f>'As-Filed Schedule 2G'!O70</f>
        <v>0</v>
      </c>
      <c r="Z70" s="314">
        <f>SUMIFS(Adjustments!$G:$G,Adjustments!$H:$H,"2G",Adjustments!$I:$I,'Schedule 2G Adjustments'!$Y$12,Adjustments!$J:$J,'Schedule 2G Adjustments'!$A70)</f>
        <v>0</v>
      </c>
      <c r="AA70" s="310">
        <f t="shared" si="7"/>
        <v>0</v>
      </c>
    </row>
    <row r="71" spans="1:27" x14ac:dyDescent="0.35">
      <c r="A71" s="24">
        <v>57</v>
      </c>
      <c r="B71" s="513" t="str">
        <f>IF('As-Filed Schedule 2G'!B71:D71=0,"",'As-Filed Schedule 2G'!B71:D71)</f>
        <v/>
      </c>
      <c r="C71" s="513"/>
      <c r="D71" s="513"/>
      <c r="F71" s="117">
        <f>'As-Filed Schedule 2G'!F71</f>
        <v>0</v>
      </c>
      <c r="G71" s="314">
        <f>SUMIFS(Adjustments!$G:$G,Adjustments!$H:$H,"2G",Adjustments!$I:$I,'Schedule 2G Adjustments'!$F$12,Adjustments!$J:$J,'Schedule 2G Adjustments'!$A71)</f>
        <v>0</v>
      </c>
      <c r="H71" s="310">
        <f t="shared" si="0"/>
        <v>0</v>
      </c>
      <c r="I71" s="68">
        <f>IFERROR(F71*'As-Filed Schedule 1'!$E$103,0)</f>
        <v>0</v>
      </c>
      <c r="J71" s="311">
        <f>IFERROR(H71*'Adjusted Schedule 1'!$E$104,0)</f>
        <v>0</v>
      </c>
      <c r="K71" s="68">
        <f t="shared" si="1"/>
        <v>0</v>
      </c>
      <c r="L71" s="311">
        <f t="shared" si="2"/>
        <v>0</v>
      </c>
      <c r="N71" s="117">
        <f>'As-Filed Schedule 2G'!J71</f>
        <v>0</v>
      </c>
      <c r="O71" s="314">
        <f>SUMIFS(Adjustments!$G:$G,Adjustments!$H:$H,"2G",Adjustments!$I:$I,'Schedule 2G Adjustments'!$N$12,Adjustments!$J:$J,'Schedule 2G Adjustments'!$A71)</f>
        <v>0</v>
      </c>
      <c r="P71" s="310">
        <f t="shared" si="3"/>
        <v>0</v>
      </c>
      <c r="Q71" s="68">
        <f>IFERROR(N71*'As-Filed Schedule 1'!$E$103,0)</f>
        <v>0</v>
      </c>
      <c r="R71" s="68">
        <f>IFERROR(P71*'Adjusted Schedule 1'!$E$104,0)</f>
        <v>0</v>
      </c>
      <c r="S71" s="68">
        <f t="shared" si="4"/>
        <v>0</v>
      </c>
      <c r="T71" s="311">
        <f t="shared" si="5"/>
        <v>0</v>
      </c>
      <c r="V71" s="120">
        <f>'As-Filed Schedule 2G'!N71</f>
        <v>0</v>
      </c>
      <c r="W71" s="314">
        <f>SUMIFS(Adjustments!$G:$G,Adjustments!$H:$H,"2G",Adjustments!$I:$I,'Schedule 2G Adjustments'!$V$12,Adjustments!$J:$J,'Schedule 2G Adjustments'!$A71)</f>
        <v>0</v>
      </c>
      <c r="X71" s="310">
        <f t="shared" si="6"/>
        <v>0</v>
      </c>
      <c r="Y71" s="120">
        <f>'As-Filed Schedule 2G'!O71</f>
        <v>0</v>
      </c>
      <c r="Z71" s="314">
        <f>SUMIFS(Adjustments!$G:$G,Adjustments!$H:$H,"2G",Adjustments!$I:$I,'Schedule 2G Adjustments'!$Y$12,Adjustments!$J:$J,'Schedule 2G Adjustments'!$A71)</f>
        <v>0</v>
      </c>
      <c r="AA71" s="310">
        <f t="shared" si="7"/>
        <v>0</v>
      </c>
    </row>
    <row r="72" spans="1:27" x14ac:dyDescent="0.35">
      <c r="A72" s="24">
        <v>58</v>
      </c>
      <c r="B72" s="513" t="str">
        <f>IF('As-Filed Schedule 2G'!B72:D72=0,"",'As-Filed Schedule 2G'!B72:D72)</f>
        <v/>
      </c>
      <c r="C72" s="513"/>
      <c r="D72" s="513"/>
      <c r="F72" s="117">
        <f>'As-Filed Schedule 2G'!F72</f>
        <v>0</v>
      </c>
      <c r="G72" s="314">
        <f>SUMIFS(Adjustments!$G:$G,Adjustments!$H:$H,"2G",Adjustments!$I:$I,'Schedule 2G Adjustments'!$F$12,Adjustments!$J:$J,'Schedule 2G Adjustments'!$A72)</f>
        <v>0</v>
      </c>
      <c r="H72" s="310">
        <f t="shared" si="0"/>
        <v>0</v>
      </c>
      <c r="I72" s="68">
        <f>IFERROR(F72*'As-Filed Schedule 1'!$E$103,0)</f>
        <v>0</v>
      </c>
      <c r="J72" s="311">
        <f>IFERROR(H72*'Adjusted Schedule 1'!$E$104,0)</f>
        <v>0</v>
      </c>
      <c r="K72" s="68">
        <f t="shared" si="1"/>
        <v>0</v>
      </c>
      <c r="L72" s="311">
        <f t="shared" si="2"/>
        <v>0</v>
      </c>
      <c r="N72" s="117">
        <f>'As-Filed Schedule 2G'!J72</f>
        <v>0</v>
      </c>
      <c r="O72" s="314">
        <f>SUMIFS(Adjustments!$G:$G,Adjustments!$H:$H,"2G",Adjustments!$I:$I,'Schedule 2G Adjustments'!$N$12,Adjustments!$J:$J,'Schedule 2G Adjustments'!$A72)</f>
        <v>0</v>
      </c>
      <c r="P72" s="310">
        <f t="shared" si="3"/>
        <v>0</v>
      </c>
      <c r="Q72" s="68">
        <f>IFERROR(N72*'As-Filed Schedule 1'!$E$103,0)</f>
        <v>0</v>
      </c>
      <c r="R72" s="68">
        <f>IFERROR(P72*'Adjusted Schedule 1'!$E$104,0)</f>
        <v>0</v>
      </c>
      <c r="S72" s="68">
        <f t="shared" si="4"/>
        <v>0</v>
      </c>
      <c r="T72" s="311">
        <f t="shared" si="5"/>
        <v>0</v>
      </c>
      <c r="V72" s="120">
        <f>'As-Filed Schedule 2G'!N72</f>
        <v>0</v>
      </c>
      <c r="W72" s="314">
        <f>SUMIFS(Adjustments!$G:$G,Adjustments!$H:$H,"2G",Adjustments!$I:$I,'Schedule 2G Adjustments'!$V$12,Adjustments!$J:$J,'Schedule 2G Adjustments'!$A72)</f>
        <v>0</v>
      </c>
      <c r="X72" s="310">
        <f t="shared" si="6"/>
        <v>0</v>
      </c>
      <c r="Y72" s="120">
        <f>'As-Filed Schedule 2G'!O72</f>
        <v>0</v>
      </c>
      <c r="Z72" s="314">
        <f>SUMIFS(Adjustments!$G:$G,Adjustments!$H:$H,"2G",Adjustments!$I:$I,'Schedule 2G Adjustments'!$Y$12,Adjustments!$J:$J,'Schedule 2G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V13:V14"/>
    <mergeCell ref="W13:W14"/>
    <mergeCell ref="X13:X14"/>
    <mergeCell ref="Y13:Y14"/>
    <mergeCell ref="Z13:Z14"/>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B40:D40"/>
    <mergeCell ref="B41:D41"/>
    <mergeCell ref="B42:D42"/>
    <mergeCell ref="B43:D43"/>
    <mergeCell ref="B44:D44"/>
    <mergeCell ref="B38:D38"/>
    <mergeCell ref="B27:D27"/>
    <mergeCell ref="B28:D28"/>
    <mergeCell ref="B29:D29"/>
    <mergeCell ref="B30:D30"/>
    <mergeCell ref="B31:D31"/>
    <mergeCell ref="B32:D32"/>
    <mergeCell ref="B33:D33"/>
    <mergeCell ref="B34:D34"/>
    <mergeCell ref="B35:D35"/>
    <mergeCell ref="B36:D36"/>
    <mergeCell ref="B37:D37"/>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494" t="s">
        <v>842</v>
      </c>
      <c r="B3" s="494"/>
      <c r="C3" s="494"/>
      <c r="D3" s="494"/>
      <c r="E3" s="494"/>
      <c r="F3" s="494"/>
      <c r="G3" s="494"/>
      <c r="H3" s="494"/>
      <c r="I3" s="494"/>
      <c r="J3" s="494"/>
      <c r="K3" s="494"/>
      <c r="L3" s="322"/>
    </row>
    <row r="5" spans="1:27" x14ac:dyDescent="0.35">
      <c r="A5" s="1" t="s">
        <v>773</v>
      </c>
      <c r="C5" s="421" t="str">
        <f>Results!$C$6</f>
        <v>Health Solutions</v>
      </c>
    </row>
    <row r="6" spans="1:27" x14ac:dyDescent="0.35">
      <c r="A6" s="1" t="s">
        <v>0</v>
      </c>
      <c r="C6" s="35">
        <f>Results!$C$7</f>
        <v>45473</v>
      </c>
      <c r="F6" s="35"/>
      <c r="G6" s="320"/>
      <c r="H6" s="60"/>
    </row>
    <row r="8" spans="1:27" x14ac:dyDescent="0.35">
      <c r="A8" s="1" t="s">
        <v>253</v>
      </c>
      <c r="B8" s="1" t="s">
        <v>819</v>
      </c>
      <c r="C8" s="1"/>
      <c r="F8" s="119" t="str">
        <f>'As-Filed Schedule 2H'!F8</f>
        <v>Yes/No</v>
      </c>
      <c r="G8" s="41" t="s">
        <v>259</v>
      </c>
    </row>
    <row r="10" spans="1:27" x14ac:dyDescent="0.35">
      <c r="A10" s="1" t="s">
        <v>254</v>
      </c>
      <c r="B10" s="1" t="s">
        <v>256</v>
      </c>
      <c r="C10" s="1"/>
    </row>
    <row r="12" spans="1:27" x14ac:dyDescent="0.35">
      <c r="B12" s="508">
        <v>1</v>
      </c>
      <c r="C12" s="508"/>
      <c r="D12" s="508"/>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09" t="s">
        <v>255</v>
      </c>
      <c r="C13" s="509"/>
      <c r="D13" s="509"/>
      <c r="F13" s="511" t="s">
        <v>261</v>
      </c>
      <c r="G13" s="516"/>
      <c r="H13" s="516"/>
      <c r="I13" s="516"/>
      <c r="J13" s="516"/>
      <c r="K13" s="516"/>
      <c r="L13" s="512"/>
      <c r="N13" s="511" t="s">
        <v>262</v>
      </c>
      <c r="O13" s="516"/>
      <c r="P13" s="516"/>
      <c r="Q13" s="516"/>
      <c r="R13" s="516"/>
      <c r="S13" s="516"/>
      <c r="T13" s="512"/>
      <c r="V13" s="510" t="s">
        <v>250</v>
      </c>
      <c r="W13" s="568" t="s">
        <v>620</v>
      </c>
      <c r="X13" s="569" t="s">
        <v>621</v>
      </c>
      <c r="Y13" s="510" t="s">
        <v>312</v>
      </c>
      <c r="Z13" s="568" t="s">
        <v>630</v>
      </c>
      <c r="AA13" s="569" t="s">
        <v>631</v>
      </c>
    </row>
    <row r="14" spans="1:27" ht="55.5" customHeight="1" x14ac:dyDescent="0.35">
      <c r="B14" s="509"/>
      <c r="C14" s="509"/>
      <c r="D14" s="509"/>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0"/>
      <c r="W14" s="568"/>
      <c r="X14" s="569"/>
      <c r="Y14" s="510"/>
      <c r="Z14" s="568"/>
      <c r="AA14" s="569"/>
    </row>
    <row r="15" spans="1:27" x14ac:dyDescent="0.35">
      <c r="A15" s="24">
        <v>1</v>
      </c>
      <c r="B15" s="513" t="str">
        <f>IF('As-Filed Schedule 2H'!B15:D15=0,"",'As-Filed Schedule 2H'!B15:D15)</f>
        <v/>
      </c>
      <c r="C15" s="513"/>
      <c r="D15" s="513"/>
      <c r="F15" s="117">
        <f>'As-Filed Schedule 2H'!F15</f>
        <v>0</v>
      </c>
      <c r="G15" s="314">
        <f>SUMIFS(Adjustments!$G:$G,Adjustments!$H:$H,"2H",Adjustments!$I:$I,'Schedule 2H Adjustments'!$F$12,Adjustments!$J:$J,'Schedule 2H Adjustments'!$A15)</f>
        <v>0</v>
      </c>
      <c r="H15" s="310">
        <f>SUM(F15:G15)</f>
        <v>0</v>
      </c>
      <c r="I15" s="68">
        <f>IFERROR(F15*'As-Filed Schedule 1'!$E$103,0)</f>
        <v>0</v>
      </c>
      <c r="J15" s="311">
        <f>IFERROR(H15*'Adjusted Schedule 1'!$E$104,0)</f>
        <v>0</v>
      </c>
      <c r="K15" s="68">
        <f>SUM(F15,I15)</f>
        <v>0</v>
      </c>
      <c r="L15" s="311">
        <f>SUM(H15,J15)</f>
        <v>0</v>
      </c>
      <c r="N15" s="117">
        <f>'As-Filed Schedule 2H'!J15</f>
        <v>0</v>
      </c>
      <c r="O15" s="314">
        <f>SUMIFS(Adjustments!$G:$G,Adjustments!$H:$H,"2H",Adjustments!$I:$I,'Schedule 2H Adjustments'!$N$12,Adjustments!$J:$J,'Schedule 2H Adjustments'!$A15)</f>
        <v>0</v>
      </c>
      <c r="P15" s="310">
        <f>SUM(N15:O15)</f>
        <v>0</v>
      </c>
      <c r="Q15" s="68">
        <f>IFERROR(N15*'As-Filed Schedule 1'!$E$103,0)</f>
        <v>0</v>
      </c>
      <c r="R15" s="68">
        <f>IFERROR(P15*'Adjusted Schedule 1'!$E$104,0)</f>
        <v>0</v>
      </c>
      <c r="S15" s="68">
        <f>SUM(N15,Q15)</f>
        <v>0</v>
      </c>
      <c r="T15" s="311">
        <f>SUM(P15,R15)</f>
        <v>0</v>
      </c>
      <c r="V15" s="120">
        <f>'As-Filed Schedule 2H'!N15</f>
        <v>0</v>
      </c>
      <c r="W15" s="314">
        <f>SUMIFS(Adjustments!$G:$G,Adjustments!$H:$H,"2H",Adjustments!$I:$I,'Schedule 2H Adjustments'!$V$12,Adjustments!$J:$J,'Schedule 2H Adjustments'!$A15)</f>
        <v>0</v>
      </c>
      <c r="X15" s="310">
        <f>SUM(V15:W15)</f>
        <v>0</v>
      </c>
      <c r="Y15" s="120">
        <f>'As-Filed Schedule 2H'!O15</f>
        <v>0</v>
      </c>
      <c r="Z15" s="314">
        <f>SUMIFS(Adjustments!$G:$G,Adjustments!$H:$H,"2H",Adjustments!$I:$I,'Schedule 2H Adjustments'!$Y$12,Adjustments!$J:$J,'Schedule 2H Adjustments'!$A15)</f>
        <v>0</v>
      </c>
      <c r="AA15" s="310">
        <f>SUM(Y15:Z15)</f>
        <v>0</v>
      </c>
    </row>
    <row r="16" spans="1:27" x14ac:dyDescent="0.35">
      <c r="A16" s="24">
        <v>2</v>
      </c>
      <c r="B16" s="513" t="str">
        <f>IF('As-Filed Schedule 2H'!B16:D16=0,"",'As-Filed Schedule 2H'!B16:D16)</f>
        <v/>
      </c>
      <c r="C16" s="513"/>
      <c r="D16" s="513"/>
      <c r="F16" s="117">
        <f>'As-Filed Schedule 2H'!F16</f>
        <v>0</v>
      </c>
      <c r="G16" s="314">
        <f>SUMIFS(Adjustments!$G:$G,Adjustments!$H:$H,"2H",Adjustments!$I:$I,'Schedule 2H Adjustments'!$F$12,Adjustments!$J:$J,'Schedule 2H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2H'!J16</f>
        <v>0</v>
      </c>
      <c r="O16" s="314">
        <f>SUMIFS(Adjustments!$G:$G,Adjustments!$H:$H,"2H",Adjustments!$I:$I,'Schedule 2H Adjustments'!$N$12,Adjustments!$J:$J,'Schedule 2H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2H'!N16</f>
        <v>0</v>
      </c>
      <c r="W16" s="314">
        <f>SUMIFS(Adjustments!$G:$G,Adjustments!$H:$H,"2H",Adjustments!$I:$I,'Schedule 2H Adjustments'!$V$12,Adjustments!$J:$J,'Schedule 2H Adjustments'!$A16)</f>
        <v>0</v>
      </c>
      <c r="X16" s="310">
        <f t="shared" ref="X16:X72" si="6">SUM(V16:W16)</f>
        <v>0</v>
      </c>
      <c r="Y16" s="120">
        <f>'As-Filed Schedule 2H'!O16</f>
        <v>0</v>
      </c>
      <c r="Z16" s="314">
        <f>SUMIFS(Adjustments!$G:$G,Adjustments!$H:$H,"2H",Adjustments!$I:$I,'Schedule 2H Adjustments'!$Y$12,Adjustments!$J:$J,'Schedule 2H Adjustments'!$A16)</f>
        <v>0</v>
      </c>
      <c r="AA16" s="310">
        <f t="shared" ref="AA16:AA72" si="7">SUM(Y16:Z16)</f>
        <v>0</v>
      </c>
    </row>
    <row r="17" spans="1:27" x14ac:dyDescent="0.35">
      <c r="A17" s="24">
        <v>3</v>
      </c>
      <c r="B17" s="513" t="str">
        <f>IF('As-Filed Schedule 2H'!B17:D17=0,"",'As-Filed Schedule 2H'!B17:D17)</f>
        <v/>
      </c>
      <c r="C17" s="513"/>
      <c r="D17" s="513"/>
      <c r="F17" s="117">
        <f>'As-Filed Schedule 2H'!F17</f>
        <v>0</v>
      </c>
      <c r="G17" s="314">
        <f>SUMIFS(Adjustments!$G:$G,Adjustments!$H:$H,"2H",Adjustments!$I:$I,'Schedule 2H Adjustments'!$F$12,Adjustments!$J:$J,'Schedule 2H Adjustments'!$A17)</f>
        <v>0</v>
      </c>
      <c r="H17" s="310">
        <f t="shared" si="0"/>
        <v>0</v>
      </c>
      <c r="I17" s="68">
        <f>IFERROR(F17*'As-Filed Schedule 1'!$E$103,0)</f>
        <v>0</v>
      </c>
      <c r="J17" s="311">
        <f>IFERROR(H17*'Adjusted Schedule 1'!$E$104,0)</f>
        <v>0</v>
      </c>
      <c r="K17" s="68">
        <f t="shared" si="1"/>
        <v>0</v>
      </c>
      <c r="L17" s="311">
        <f t="shared" si="2"/>
        <v>0</v>
      </c>
      <c r="N17" s="117">
        <f>'As-Filed Schedule 2H'!J17</f>
        <v>0</v>
      </c>
      <c r="O17" s="314">
        <f>SUMIFS(Adjustments!$G:$G,Adjustments!$H:$H,"2H",Adjustments!$I:$I,'Schedule 2H Adjustments'!$N$12,Adjustments!$J:$J,'Schedule 2H Adjustments'!$A17)</f>
        <v>0</v>
      </c>
      <c r="P17" s="310">
        <f t="shared" si="3"/>
        <v>0</v>
      </c>
      <c r="Q17" s="68">
        <f>IFERROR(N17*'As-Filed Schedule 1'!$E$103,0)</f>
        <v>0</v>
      </c>
      <c r="R17" s="68">
        <f>IFERROR(P17*'Adjusted Schedule 1'!$E$104,0)</f>
        <v>0</v>
      </c>
      <c r="S17" s="68">
        <f t="shared" si="4"/>
        <v>0</v>
      </c>
      <c r="T17" s="311">
        <f t="shared" si="5"/>
        <v>0</v>
      </c>
      <c r="V17" s="120">
        <f>'As-Filed Schedule 2H'!N17</f>
        <v>0</v>
      </c>
      <c r="W17" s="314">
        <f>SUMIFS(Adjustments!$G:$G,Adjustments!$H:$H,"2H",Adjustments!$I:$I,'Schedule 2H Adjustments'!$V$12,Adjustments!$J:$J,'Schedule 2H Adjustments'!$A17)</f>
        <v>0</v>
      </c>
      <c r="X17" s="310">
        <f t="shared" si="6"/>
        <v>0</v>
      </c>
      <c r="Y17" s="120">
        <f>'As-Filed Schedule 2H'!O17</f>
        <v>0</v>
      </c>
      <c r="Z17" s="314">
        <f>SUMIFS(Adjustments!$G:$G,Adjustments!$H:$H,"2H",Adjustments!$I:$I,'Schedule 2H Adjustments'!$Y$12,Adjustments!$J:$J,'Schedule 2H Adjustments'!$A17)</f>
        <v>0</v>
      </c>
      <c r="AA17" s="310">
        <f t="shared" si="7"/>
        <v>0</v>
      </c>
    </row>
    <row r="18" spans="1:27" x14ac:dyDescent="0.35">
      <c r="A18" s="24">
        <v>4</v>
      </c>
      <c r="B18" s="513" t="str">
        <f>IF('As-Filed Schedule 2H'!B18:D18=0,"",'As-Filed Schedule 2H'!B18:D18)</f>
        <v/>
      </c>
      <c r="C18" s="513"/>
      <c r="D18" s="513"/>
      <c r="F18" s="117">
        <f>'As-Filed Schedule 2H'!F18</f>
        <v>0</v>
      </c>
      <c r="G18" s="314">
        <f>SUMIFS(Adjustments!$G:$G,Adjustments!$H:$H,"2H",Adjustments!$I:$I,'Schedule 2H Adjustments'!$F$12,Adjustments!$J:$J,'Schedule 2H Adjustments'!$A18)</f>
        <v>0</v>
      </c>
      <c r="H18" s="310">
        <f t="shared" si="0"/>
        <v>0</v>
      </c>
      <c r="I18" s="68">
        <f>IFERROR(F18*'As-Filed Schedule 1'!$E$103,0)</f>
        <v>0</v>
      </c>
      <c r="J18" s="311">
        <f>IFERROR(H18*'Adjusted Schedule 1'!$E$104,0)</f>
        <v>0</v>
      </c>
      <c r="K18" s="68">
        <f>SUM(F18,I18)</f>
        <v>0</v>
      </c>
      <c r="L18" s="311">
        <f>SUM(H18,J18)</f>
        <v>0</v>
      </c>
      <c r="N18" s="117">
        <f>'As-Filed Schedule 2H'!J18</f>
        <v>0</v>
      </c>
      <c r="O18" s="314">
        <f>SUMIFS(Adjustments!$G:$G,Adjustments!$H:$H,"2H",Adjustments!$I:$I,'Schedule 2H Adjustments'!$N$12,Adjustments!$J:$J,'Schedule 2H Adjustments'!$A18)</f>
        <v>0</v>
      </c>
      <c r="P18" s="310">
        <f t="shared" si="3"/>
        <v>0</v>
      </c>
      <c r="Q18" s="68">
        <f>IFERROR(N18*'As-Filed Schedule 1'!$E$103,0)</f>
        <v>0</v>
      </c>
      <c r="R18" s="68">
        <f>IFERROR(P18*'Adjusted Schedule 1'!$E$104,0)</f>
        <v>0</v>
      </c>
      <c r="S18" s="68">
        <f t="shared" si="4"/>
        <v>0</v>
      </c>
      <c r="T18" s="311">
        <f t="shared" si="5"/>
        <v>0</v>
      </c>
      <c r="V18" s="120">
        <f>'As-Filed Schedule 2H'!N18</f>
        <v>0</v>
      </c>
      <c r="W18" s="314">
        <f>SUMIFS(Adjustments!$G:$G,Adjustments!$H:$H,"2H",Adjustments!$I:$I,'Schedule 2H Adjustments'!$V$12,Adjustments!$J:$J,'Schedule 2H Adjustments'!$A18)</f>
        <v>0</v>
      </c>
      <c r="X18" s="310">
        <f t="shared" si="6"/>
        <v>0</v>
      </c>
      <c r="Y18" s="120">
        <f>'As-Filed Schedule 2H'!O18</f>
        <v>0</v>
      </c>
      <c r="Z18" s="314">
        <f>SUMIFS(Adjustments!$G:$G,Adjustments!$H:$H,"2H",Adjustments!$I:$I,'Schedule 2H Adjustments'!$Y$12,Adjustments!$J:$J,'Schedule 2H Adjustments'!$A18)</f>
        <v>0</v>
      </c>
      <c r="AA18" s="310">
        <f t="shared" si="7"/>
        <v>0</v>
      </c>
    </row>
    <row r="19" spans="1:27" x14ac:dyDescent="0.35">
      <c r="A19" s="24">
        <v>5</v>
      </c>
      <c r="B19" s="513" t="str">
        <f>IF('As-Filed Schedule 2H'!B19:D19=0,"",'As-Filed Schedule 2H'!B19:D19)</f>
        <v/>
      </c>
      <c r="C19" s="513"/>
      <c r="D19" s="513"/>
      <c r="F19" s="117">
        <f>'As-Filed Schedule 2H'!F19</f>
        <v>0</v>
      </c>
      <c r="G19" s="314">
        <f>SUMIFS(Adjustments!$G:$G,Adjustments!$H:$H,"2H",Adjustments!$I:$I,'Schedule 2H Adjustments'!$F$12,Adjustments!$J:$J,'Schedule 2H Adjustments'!$A19)</f>
        <v>0</v>
      </c>
      <c r="H19" s="310">
        <f t="shared" si="0"/>
        <v>0</v>
      </c>
      <c r="I19" s="68">
        <f>IFERROR(F19*'As-Filed Schedule 1'!$E$103,0)</f>
        <v>0</v>
      </c>
      <c r="J19" s="311">
        <f>IFERROR(H19*'Adjusted Schedule 1'!$E$104,0)</f>
        <v>0</v>
      </c>
      <c r="K19" s="68">
        <f t="shared" si="1"/>
        <v>0</v>
      </c>
      <c r="L19" s="311">
        <f>SUM(H19,J19)</f>
        <v>0</v>
      </c>
      <c r="N19" s="117">
        <f>'As-Filed Schedule 2H'!J19</f>
        <v>0</v>
      </c>
      <c r="O19" s="314">
        <f>SUMIFS(Adjustments!$G:$G,Adjustments!$H:$H,"2H",Adjustments!$I:$I,'Schedule 2H Adjustments'!$N$12,Adjustments!$J:$J,'Schedule 2H Adjustments'!$A19)</f>
        <v>0</v>
      </c>
      <c r="P19" s="310">
        <f t="shared" si="3"/>
        <v>0</v>
      </c>
      <c r="Q19" s="68">
        <f>IFERROR(N19*'As-Filed Schedule 1'!$E$103,0)</f>
        <v>0</v>
      </c>
      <c r="R19" s="68">
        <f>IFERROR(P19*'Adjusted Schedule 1'!$E$104,0)</f>
        <v>0</v>
      </c>
      <c r="S19" s="68">
        <f t="shared" si="4"/>
        <v>0</v>
      </c>
      <c r="T19" s="311">
        <f t="shared" si="5"/>
        <v>0</v>
      </c>
      <c r="V19" s="120">
        <f>'As-Filed Schedule 2H'!N19</f>
        <v>0</v>
      </c>
      <c r="W19" s="314">
        <f>SUMIFS(Adjustments!$G:$G,Adjustments!$H:$H,"2H",Adjustments!$I:$I,'Schedule 2H Adjustments'!$V$12,Adjustments!$J:$J,'Schedule 2H Adjustments'!$A19)</f>
        <v>0</v>
      </c>
      <c r="X19" s="310">
        <f t="shared" si="6"/>
        <v>0</v>
      </c>
      <c r="Y19" s="120">
        <f>'As-Filed Schedule 2H'!O19</f>
        <v>0</v>
      </c>
      <c r="Z19" s="314">
        <f>SUMIFS(Adjustments!$G:$G,Adjustments!$H:$H,"2H",Adjustments!$I:$I,'Schedule 2H Adjustments'!$Y$12,Adjustments!$J:$J,'Schedule 2H Adjustments'!$A19)</f>
        <v>0</v>
      </c>
      <c r="AA19" s="310">
        <f t="shared" si="7"/>
        <v>0</v>
      </c>
    </row>
    <row r="20" spans="1:27" x14ac:dyDescent="0.35">
      <c r="A20" s="24">
        <v>6</v>
      </c>
      <c r="B20" s="513" t="str">
        <f>IF('As-Filed Schedule 2H'!B20:D20=0,"",'As-Filed Schedule 2H'!B20:D20)</f>
        <v/>
      </c>
      <c r="C20" s="513"/>
      <c r="D20" s="513"/>
      <c r="F20" s="117">
        <f>'As-Filed Schedule 2H'!F20</f>
        <v>0</v>
      </c>
      <c r="G20" s="314">
        <f>SUMIFS(Adjustments!$G:$G,Adjustments!$H:$H,"2H",Adjustments!$I:$I,'Schedule 2H Adjustments'!$F$12,Adjustments!$J:$J,'Schedule 2H Adjustments'!$A20)</f>
        <v>0</v>
      </c>
      <c r="H20" s="310">
        <f t="shared" si="0"/>
        <v>0</v>
      </c>
      <c r="I20" s="68">
        <f>IFERROR(F20*'As-Filed Schedule 1'!$E$103,0)</f>
        <v>0</v>
      </c>
      <c r="J20" s="311">
        <f>IFERROR(H20*'Adjusted Schedule 1'!$E$104,0)</f>
        <v>0</v>
      </c>
      <c r="K20" s="68">
        <f>SUM(F20,I20)</f>
        <v>0</v>
      </c>
      <c r="L20" s="311">
        <f t="shared" si="2"/>
        <v>0</v>
      </c>
      <c r="N20" s="117">
        <f>'As-Filed Schedule 2H'!J20</f>
        <v>0</v>
      </c>
      <c r="O20" s="314">
        <f>SUMIFS(Adjustments!$G:$G,Adjustments!$H:$H,"2H",Adjustments!$I:$I,'Schedule 2H Adjustments'!$N$12,Adjustments!$J:$J,'Schedule 2H Adjustments'!$A20)</f>
        <v>0</v>
      </c>
      <c r="P20" s="310">
        <f t="shared" si="3"/>
        <v>0</v>
      </c>
      <c r="Q20" s="68">
        <f>IFERROR(N20*'As-Filed Schedule 1'!$E$103,0)</f>
        <v>0</v>
      </c>
      <c r="R20" s="68">
        <f>IFERROR(P20*'Adjusted Schedule 1'!$E$104,0)</f>
        <v>0</v>
      </c>
      <c r="S20" s="68">
        <f t="shared" si="4"/>
        <v>0</v>
      </c>
      <c r="T20" s="311">
        <f t="shared" si="5"/>
        <v>0</v>
      </c>
      <c r="V20" s="120">
        <f>'As-Filed Schedule 2H'!N20</f>
        <v>0</v>
      </c>
      <c r="W20" s="314">
        <f>SUMIFS(Adjustments!$G:$G,Adjustments!$H:$H,"2H",Adjustments!$I:$I,'Schedule 2H Adjustments'!$V$12,Adjustments!$J:$J,'Schedule 2H Adjustments'!$A20)</f>
        <v>0</v>
      </c>
      <c r="X20" s="310">
        <f t="shared" si="6"/>
        <v>0</v>
      </c>
      <c r="Y20" s="120">
        <f>'As-Filed Schedule 2H'!O20</f>
        <v>0</v>
      </c>
      <c r="Z20" s="314">
        <f>SUMIFS(Adjustments!$G:$G,Adjustments!$H:$H,"2H",Adjustments!$I:$I,'Schedule 2H Adjustments'!$Y$12,Adjustments!$J:$J,'Schedule 2H Adjustments'!$A20)</f>
        <v>0</v>
      </c>
      <c r="AA20" s="310">
        <f t="shared" si="7"/>
        <v>0</v>
      </c>
    </row>
    <row r="21" spans="1:27" x14ac:dyDescent="0.35">
      <c r="A21" s="24">
        <v>7</v>
      </c>
      <c r="B21" s="513" t="str">
        <f>IF('As-Filed Schedule 2H'!B21:D21=0,"",'As-Filed Schedule 2H'!B21:D21)</f>
        <v/>
      </c>
      <c r="C21" s="513"/>
      <c r="D21" s="513"/>
      <c r="F21" s="117">
        <f>'As-Filed Schedule 2H'!F21</f>
        <v>0</v>
      </c>
      <c r="G21" s="314">
        <f>SUMIFS(Adjustments!$G:$G,Adjustments!$H:$H,"2H",Adjustments!$I:$I,'Schedule 2H Adjustments'!$F$12,Adjustments!$J:$J,'Schedule 2H Adjustments'!$A21)</f>
        <v>0</v>
      </c>
      <c r="H21" s="310">
        <f t="shared" si="0"/>
        <v>0</v>
      </c>
      <c r="I21" s="68">
        <f>IFERROR(F21*'As-Filed Schedule 1'!$E$103,0)</f>
        <v>0</v>
      </c>
      <c r="J21" s="311">
        <f>IFERROR(H21*'Adjusted Schedule 1'!$E$104,0)</f>
        <v>0</v>
      </c>
      <c r="K21" s="68">
        <f t="shared" si="1"/>
        <v>0</v>
      </c>
      <c r="L21" s="311">
        <f t="shared" si="2"/>
        <v>0</v>
      </c>
      <c r="N21" s="117">
        <f>'As-Filed Schedule 2H'!J21</f>
        <v>0</v>
      </c>
      <c r="O21" s="314">
        <f>SUMIFS(Adjustments!$G:$G,Adjustments!$H:$H,"2H",Adjustments!$I:$I,'Schedule 2H Adjustments'!$N$12,Adjustments!$J:$J,'Schedule 2H Adjustments'!$A21)</f>
        <v>0</v>
      </c>
      <c r="P21" s="310">
        <f t="shared" si="3"/>
        <v>0</v>
      </c>
      <c r="Q21" s="68">
        <f>IFERROR(N21*'As-Filed Schedule 1'!$E$103,0)</f>
        <v>0</v>
      </c>
      <c r="R21" s="68">
        <f>IFERROR(P21*'Adjusted Schedule 1'!$E$104,0)</f>
        <v>0</v>
      </c>
      <c r="S21" s="68">
        <f>SUM(N21,Q21)</f>
        <v>0</v>
      </c>
      <c r="T21" s="311">
        <f>SUM(P21,R21)</f>
        <v>0</v>
      </c>
      <c r="V21" s="120">
        <f>'As-Filed Schedule 2H'!N21</f>
        <v>0</v>
      </c>
      <c r="W21" s="314">
        <f>SUMIFS(Adjustments!$G:$G,Adjustments!$H:$H,"2H",Adjustments!$I:$I,'Schedule 2H Adjustments'!$V$12,Adjustments!$J:$J,'Schedule 2H Adjustments'!$A21)</f>
        <v>0</v>
      </c>
      <c r="X21" s="310">
        <f t="shared" si="6"/>
        <v>0</v>
      </c>
      <c r="Y21" s="120">
        <f>'As-Filed Schedule 2H'!O21</f>
        <v>0</v>
      </c>
      <c r="Z21" s="314">
        <f>SUMIFS(Adjustments!$G:$G,Adjustments!$H:$H,"2H",Adjustments!$I:$I,'Schedule 2H Adjustments'!$Y$12,Adjustments!$J:$J,'Schedule 2H Adjustments'!$A21)</f>
        <v>0</v>
      </c>
      <c r="AA21" s="310">
        <f t="shared" si="7"/>
        <v>0</v>
      </c>
    </row>
    <row r="22" spans="1:27" x14ac:dyDescent="0.35">
      <c r="A22" s="24">
        <v>8</v>
      </c>
      <c r="B22" s="513" t="str">
        <f>IF('As-Filed Schedule 2H'!B22:D22=0,"",'As-Filed Schedule 2H'!B22:D22)</f>
        <v/>
      </c>
      <c r="C22" s="513"/>
      <c r="D22" s="513"/>
      <c r="F22" s="117">
        <f>'As-Filed Schedule 2H'!F22</f>
        <v>0</v>
      </c>
      <c r="G22" s="314">
        <f>SUMIFS(Adjustments!$G:$G,Adjustments!$H:$H,"2H",Adjustments!$I:$I,'Schedule 2H Adjustments'!$F$12,Adjustments!$J:$J,'Schedule 2H Adjustments'!$A22)</f>
        <v>0</v>
      </c>
      <c r="H22" s="310">
        <f t="shared" si="0"/>
        <v>0</v>
      </c>
      <c r="I22" s="68">
        <f>IFERROR(F22*'As-Filed Schedule 1'!$E$103,0)</f>
        <v>0</v>
      </c>
      <c r="J22" s="311">
        <f>IFERROR(H22*'Adjusted Schedule 1'!$E$104,0)</f>
        <v>0</v>
      </c>
      <c r="K22" s="68">
        <f t="shared" si="1"/>
        <v>0</v>
      </c>
      <c r="L22" s="311">
        <f t="shared" si="2"/>
        <v>0</v>
      </c>
      <c r="N22" s="117">
        <f>'As-Filed Schedule 2H'!J22</f>
        <v>0</v>
      </c>
      <c r="O22" s="314">
        <f>SUMIFS(Adjustments!$G:$G,Adjustments!$H:$H,"2H",Adjustments!$I:$I,'Schedule 2H Adjustments'!$N$12,Adjustments!$J:$J,'Schedule 2H Adjustments'!$A22)</f>
        <v>0</v>
      </c>
      <c r="P22" s="310">
        <f t="shared" si="3"/>
        <v>0</v>
      </c>
      <c r="Q22" s="68">
        <f>IFERROR(N22*'As-Filed Schedule 1'!$E$103,0)</f>
        <v>0</v>
      </c>
      <c r="R22" s="68">
        <f>IFERROR(P22*'Adjusted Schedule 1'!$E$104,0)</f>
        <v>0</v>
      </c>
      <c r="S22" s="68">
        <f t="shared" si="4"/>
        <v>0</v>
      </c>
      <c r="T22" s="311">
        <f t="shared" si="5"/>
        <v>0</v>
      </c>
      <c r="V22" s="120">
        <f>'As-Filed Schedule 2H'!N22</f>
        <v>0</v>
      </c>
      <c r="W22" s="314">
        <f>SUMIFS(Adjustments!$G:$G,Adjustments!$H:$H,"2H",Adjustments!$I:$I,'Schedule 2H Adjustments'!$V$12,Adjustments!$J:$J,'Schedule 2H Adjustments'!$A22)</f>
        <v>0</v>
      </c>
      <c r="X22" s="310">
        <f t="shared" si="6"/>
        <v>0</v>
      </c>
      <c r="Y22" s="120">
        <f>'As-Filed Schedule 2H'!O22</f>
        <v>0</v>
      </c>
      <c r="Z22" s="314">
        <f>SUMIFS(Adjustments!$G:$G,Adjustments!$H:$H,"2H",Adjustments!$I:$I,'Schedule 2H Adjustments'!$Y$12,Adjustments!$J:$J,'Schedule 2H Adjustments'!$A22)</f>
        <v>0</v>
      </c>
      <c r="AA22" s="310">
        <f t="shared" si="7"/>
        <v>0</v>
      </c>
    </row>
    <row r="23" spans="1:27" x14ac:dyDescent="0.35">
      <c r="A23" s="24">
        <v>9</v>
      </c>
      <c r="B23" s="513" t="str">
        <f>IF('As-Filed Schedule 2H'!B23:D23=0,"",'As-Filed Schedule 2H'!B23:D23)</f>
        <v/>
      </c>
      <c r="C23" s="513"/>
      <c r="D23" s="513"/>
      <c r="F23" s="117">
        <f>'As-Filed Schedule 2H'!F23</f>
        <v>0</v>
      </c>
      <c r="G23" s="314">
        <f>SUMIFS(Adjustments!$G:$G,Adjustments!$H:$H,"2H",Adjustments!$I:$I,'Schedule 2H Adjustments'!$F$12,Adjustments!$J:$J,'Schedule 2H Adjustments'!$A23)</f>
        <v>0</v>
      </c>
      <c r="H23" s="310">
        <f t="shared" si="0"/>
        <v>0</v>
      </c>
      <c r="I23" s="68">
        <f>IFERROR(F23*'As-Filed Schedule 1'!$E$103,0)</f>
        <v>0</v>
      </c>
      <c r="J23" s="311">
        <f>IFERROR(H23*'Adjusted Schedule 1'!$E$104,0)</f>
        <v>0</v>
      </c>
      <c r="K23" s="68">
        <f t="shared" si="1"/>
        <v>0</v>
      </c>
      <c r="L23" s="311">
        <f t="shared" si="2"/>
        <v>0</v>
      </c>
      <c r="N23" s="117">
        <f>'As-Filed Schedule 2H'!J23</f>
        <v>0</v>
      </c>
      <c r="O23" s="314">
        <f>SUMIFS(Adjustments!$G:$G,Adjustments!$H:$H,"2H",Adjustments!$I:$I,'Schedule 2H Adjustments'!$N$12,Adjustments!$J:$J,'Schedule 2H Adjustments'!$A23)</f>
        <v>0</v>
      </c>
      <c r="P23" s="310">
        <f t="shared" si="3"/>
        <v>0</v>
      </c>
      <c r="Q23" s="68">
        <f>IFERROR(N23*'As-Filed Schedule 1'!$E$103,0)</f>
        <v>0</v>
      </c>
      <c r="R23" s="68">
        <f>IFERROR(P23*'Adjusted Schedule 1'!$E$104,0)</f>
        <v>0</v>
      </c>
      <c r="S23" s="68">
        <f t="shared" si="4"/>
        <v>0</v>
      </c>
      <c r="T23" s="311">
        <f t="shared" si="5"/>
        <v>0</v>
      </c>
      <c r="V23" s="120">
        <f>'As-Filed Schedule 2H'!N23</f>
        <v>0</v>
      </c>
      <c r="W23" s="314">
        <f>SUMIFS(Adjustments!$G:$G,Adjustments!$H:$H,"2H",Adjustments!$I:$I,'Schedule 2H Adjustments'!$V$12,Adjustments!$J:$J,'Schedule 2H Adjustments'!$A23)</f>
        <v>0</v>
      </c>
      <c r="X23" s="310">
        <f t="shared" si="6"/>
        <v>0</v>
      </c>
      <c r="Y23" s="120">
        <f>'As-Filed Schedule 2H'!O23</f>
        <v>0</v>
      </c>
      <c r="Z23" s="314">
        <f>SUMIFS(Adjustments!$G:$G,Adjustments!$H:$H,"2H",Adjustments!$I:$I,'Schedule 2H Adjustments'!$Y$12,Adjustments!$J:$J,'Schedule 2H Adjustments'!$A23)</f>
        <v>0</v>
      </c>
      <c r="AA23" s="310">
        <f t="shared" si="7"/>
        <v>0</v>
      </c>
    </row>
    <row r="24" spans="1:27" x14ac:dyDescent="0.35">
      <c r="A24" s="24">
        <v>10</v>
      </c>
      <c r="B24" s="513" t="str">
        <f>IF('As-Filed Schedule 2H'!B24:D24=0,"",'As-Filed Schedule 2H'!B24:D24)</f>
        <v/>
      </c>
      <c r="C24" s="513"/>
      <c r="D24" s="513"/>
      <c r="F24" s="117">
        <f>'As-Filed Schedule 2H'!F24</f>
        <v>0</v>
      </c>
      <c r="G24" s="314">
        <f>SUMIFS(Adjustments!$G:$G,Adjustments!$H:$H,"2H",Adjustments!$I:$I,'Schedule 2H Adjustments'!$F$12,Adjustments!$J:$J,'Schedule 2H Adjustments'!$A24)</f>
        <v>0</v>
      </c>
      <c r="H24" s="310">
        <f t="shared" si="0"/>
        <v>0</v>
      </c>
      <c r="I24" s="68">
        <f>IFERROR(F24*'As-Filed Schedule 1'!$E$103,0)</f>
        <v>0</v>
      </c>
      <c r="J24" s="311">
        <f>IFERROR(H24*'Adjusted Schedule 1'!$E$104,0)</f>
        <v>0</v>
      </c>
      <c r="K24" s="68">
        <f t="shared" si="1"/>
        <v>0</v>
      </c>
      <c r="L24" s="311">
        <f t="shared" si="2"/>
        <v>0</v>
      </c>
      <c r="N24" s="117">
        <f>'As-Filed Schedule 2H'!J24</f>
        <v>0</v>
      </c>
      <c r="O24" s="314">
        <f>SUMIFS(Adjustments!$G:$G,Adjustments!$H:$H,"2H",Adjustments!$I:$I,'Schedule 2H Adjustments'!$N$12,Adjustments!$J:$J,'Schedule 2H Adjustments'!$A24)</f>
        <v>0</v>
      </c>
      <c r="P24" s="310">
        <f t="shared" si="3"/>
        <v>0</v>
      </c>
      <c r="Q24" s="68">
        <f>IFERROR(N24*'As-Filed Schedule 1'!$E$103,0)</f>
        <v>0</v>
      </c>
      <c r="R24" s="68">
        <f>IFERROR(P24*'Adjusted Schedule 1'!$E$104,0)</f>
        <v>0</v>
      </c>
      <c r="S24" s="68">
        <f t="shared" si="4"/>
        <v>0</v>
      </c>
      <c r="T24" s="311">
        <f t="shared" si="5"/>
        <v>0</v>
      </c>
      <c r="V24" s="120">
        <f>'As-Filed Schedule 2H'!N24</f>
        <v>0</v>
      </c>
      <c r="W24" s="314">
        <f>SUMIFS(Adjustments!$G:$G,Adjustments!$H:$H,"2H",Adjustments!$I:$I,'Schedule 2H Adjustments'!$V$12,Adjustments!$J:$J,'Schedule 2H Adjustments'!$A24)</f>
        <v>0</v>
      </c>
      <c r="X24" s="310">
        <f t="shared" si="6"/>
        <v>0</v>
      </c>
      <c r="Y24" s="120">
        <f>'As-Filed Schedule 2H'!O24</f>
        <v>0</v>
      </c>
      <c r="Z24" s="314">
        <f>SUMIFS(Adjustments!$G:$G,Adjustments!$H:$H,"2H",Adjustments!$I:$I,'Schedule 2H Adjustments'!$Y$12,Adjustments!$J:$J,'Schedule 2H Adjustments'!$A24)</f>
        <v>0</v>
      </c>
      <c r="AA24" s="310">
        <f t="shared" si="7"/>
        <v>0</v>
      </c>
    </row>
    <row r="25" spans="1:27" x14ac:dyDescent="0.35">
      <c r="A25" s="24">
        <v>11</v>
      </c>
      <c r="B25" s="513" t="str">
        <f>IF('As-Filed Schedule 2H'!B25:D25=0,"",'As-Filed Schedule 2H'!B25:D25)</f>
        <v/>
      </c>
      <c r="C25" s="513"/>
      <c r="D25" s="513"/>
      <c r="F25" s="117">
        <f>'As-Filed Schedule 2H'!F25</f>
        <v>0</v>
      </c>
      <c r="G25" s="314">
        <f>SUMIFS(Adjustments!$G:$G,Adjustments!$H:$H,"2H",Adjustments!$I:$I,'Schedule 2H Adjustments'!$F$12,Adjustments!$J:$J,'Schedule 2H Adjustments'!$A25)</f>
        <v>0</v>
      </c>
      <c r="H25" s="310">
        <f t="shared" si="0"/>
        <v>0</v>
      </c>
      <c r="I25" s="68">
        <f>IFERROR(F25*'As-Filed Schedule 1'!$E$103,0)</f>
        <v>0</v>
      </c>
      <c r="J25" s="311">
        <f>IFERROR(H25*'Adjusted Schedule 1'!$E$104,0)</f>
        <v>0</v>
      </c>
      <c r="K25" s="68">
        <f t="shared" si="1"/>
        <v>0</v>
      </c>
      <c r="L25" s="311">
        <f t="shared" si="2"/>
        <v>0</v>
      </c>
      <c r="N25" s="117">
        <f>'As-Filed Schedule 2H'!J25</f>
        <v>0</v>
      </c>
      <c r="O25" s="314">
        <f>SUMIFS(Adjustments!$G:$G,Adjustments!$H:$H,"2H",Adjustments!$I:$I,'Schedule 2H Adjustments'!$N$12,Adjustments!$J:$J,'Schedule 2H Adjustments'!$A25)</f>
        <v>0</v>
      </c>
      <c r="P25" s="310">
        <f t="shared" si="3"/>
        <v>0</v>
      </c>
      <c r="Q25" s="68">
        <f>IFERROR(N25*'As-Filed Schedule 1'!$E$103,0)</f>
        <v>0</v>
      </c>
      <c r="R25" s="68">
        <f>IFERROR(P25*'Adjusted Schedule 1'!$E$104,0)</f>
        <v>0</v>
      </c>
      <c r="S25" s="68">
        <f t="shared" si="4"/>
        <v>0</v>
      </c>
      <c r="T25" s="311">
        <f t="shared" si="5"/>
        <v>0</v>
      </c>
      <c r="V25" s="120">
        <f>'As-Filed Schedule 2H'!N25</f>
        <v>0</v>
      </c>
      <c r="W25" s="314">
        <f>SUMIFS(Adjustments!$G:$G,Adjustments!$H:$H,"2H",Adjustments!$I:$I,'Schedule 2H Adjustments'!$V$12,Adjustments!$J:$J,'Schedule 2H Adjustments'!$A25)</f>
        <v>0</v>
      </c>
      <c r="X25" s="310">
        <f t="shared" si="6"/>
        <v>0</v>
      </c>
      <c r="Y25" s="120">
        <f>'As-Filed Schedule 2H'!O25</f>
        <v>0</v>
      </c>
      <c r="Z25" s="314">
        <f>SUMIFS(Adjustments!$G:$G,Adjustments!$H:$H,"2H",Adjustments!$I:$I,'Schedule 2H Adjustments'!$Y$12,Adjustments!$J:$J,'Schedule 2H Adjustments'!$A25)</f>
        <v>0</v>
      </c>
      <c r="AA25" s="310">
        <f t="shared" si="7"/>
        <v>0</v>
      </c>
    </row>
    <row r="26" spans="1:27" x14ac:dyDescent="0.35">
      <c r="A26" s="24">
        <v>12</v>
      </c>
      <c r="B26" s="513" t="str">
        <f>IF('As-Filed Schedule 2H'!B26:D26=0,"",'As-Filed Schedule 2H'!B26:D26)</f>
        <v/>
      </c>
      <c r="C26" s="513"/>
      <c r="D26" s="513"/>
      <c r="F26" s="117">
        <f>'As-Filed Schedule 2H'!F26</f>
        <v>0</v>
      </c>
      <c r="G26" s="314">
        <f>SUMIFS(Adjustments!$G:$G,Adjustments!$H:$H,"2H",Adjustments!$I:$I,'Schedule 2H Adjustments'!$F$12,Adjustments!$J:$J,'Schedule 2H Adjustments'!$A26)</f>
        <v>0</v>
      </c>
      <c r="H26" s="310">
        <f t="shared" si="0"/>
        <v>0</v>
      </c>
      <c r="I26" s="68">
        <f>IFERROR(F26*'As-Filed Schedule 1'!$E$103,0)</f>
        <v>0</v>
      </c>
      <c r="J26" s="311">
        <f>IFERROR(H26*'Adjusted Schedule 1'!$E$104,0)</f>
        <v>0</v>
      </c>
      <c r="K26" s="68">
        <f t="shared" si="1"/>
        <v>0</v>
      </c>
      <c r="L26" s="311">
        <f t="shared" si="2"/>
        <v>0</v>
      </c>
      <c r="N26" s="117">
        <f>'As-Filed Schedule 2H'!J26</f>
        <v>0</v>
      </c>
      <c r="O26" s="314">
        <f>SUMIFS(Adjustments!$G:$G,Adjustments!$H:$H,"2H",Adjustments!$I:$I,'Schedule 2H Adjustments'!$N$12,Adjustments!$J:$J,'Schedule 2H Adjustments'!$A26)</f>
        <v>0</v>
      </c>
      <c r="P26" s="310">
        <f t="shared" si="3"/>
        <v>0</v>
      </c>
      <c r="Q26" s="68">
        <f>IFERROR(N26*'As-Filed Schedule 1'!$E$103,0)</f>
        <v>0</v>
      </c>
      <c r="R26" s="68">
        <f>IFERROR(P26*'Adjusted Schedule 1'!$E$104,0)</f>
        <v>0</v>
      </c>
      <c r="S26" s="68">
        <f t="shared" si="4"/>
        <v>0</v>
      </c>
      <c r="T26" s="311">
        <f t="shared" si="5"/>
        <v>0</v>
      </c>
      <c r="V26" s="120">
        <f>'As-Filed Schedule 2H'!N26</f>
        <v>0</v>
      </c>
      <c r="W26" s="314">
        <f>SUMIFS(Adjustments!$G:$G,Adjustments!$H:$H,"2H",Adjustments!$I:$I,'Schedule 2H Adjustments'!$V$12,Adjustments!$J:$J,'Schedule 2H Adjustments'!$A26)</f>
        <v>0</v>
      </c>
      <c r="X26" s="310">
        <f t="shared" si="6"/>
        <v>0</v>
      </c>
      <c r="Y26" s="120">
        <f>'As-Filed Schedule 2H'!O26</f>
        <v>0</v>
      </c>
      <c r="Z26" s="314">
        <f>SUMIFS(Adjustments!$G:$G,Adjustments!$H:$H,"2H",Adjustments!$I:$I,'Schedule 2H Adjustments'!$Y$12,Adjustments!$J:$J,'Schedule 2H Adjustments'!$A26)</f>
        <v>0</v>
      </c>
      <c r="AA26" s="310">
        <f t="shared" si="7"/>
        <v>0</v>
      </c>
    </row>
    <row r="27" spans="1:27" x14ac:dyDescent="0.35">
      <c r="A27" s="24">
        <v>13</v>
      </c>
      <c r="B27" s="513" t="str">
        <f>IF('As-Filed Schedule 2H'!B27:D27=0,"",'As-Filed Schedule 2H'!B27:D27)</f>
        <v/>
      </c>
      <c r="C27" s="513"/>
      <c r="D27" s="513"/>
      <c r="F27" s="117">
        <f>'As-Filed Schedule 2H'!F27</f>
        <v>0</v>
      </c>
      <c r="G27" s="314">
        <f>SUMIFS(Adjustments!$G:$G,Adjustments!$H:$H,"2H",Adjustments!$I:$I,'Schedule 2H Adjustments'!$F$12,Adjustments!$J:$J,'Schedule 2H Adjustments'!$A27)</f>
        <v>0</v>
      </c>
      <c r="H27" s="310">
        <f t="shared" si="0"/>
        <v>0</v>
      </c>
      <c r="I27" s="68">
        <f>IFERROR(F27*'As-Filed Schedule 1'!$E$103,0)</f>
        <v>0</v>
      </c>
      <c r="J27" s="311">
        <f>IFERROR(H27*'Adjusted Schedule 1'!$E$104,0)</f>
        <v>0</v>
      </c>
      <c r="K27" s="68">
        <f t="shared" si="1"/>
        <v>0</v>
      </c>
      <c r="L27" s="311">
        <f t="shared" si="2"/>
        <v>0</v>
      </c>
      <c r="N27" s="117">
        <f>'As-Filed Schedule 2H'!J27</f>
        <v>0</v>
      </c>
      <c r="O27" s="314">
        <f>SUMIFS(Adjustments!$G:$G,Adjustments!$H:$H,"2H",Adjustments!$I:$I,'Schedule 2H Adjustments'!$N$12,Adjustments!$J:$J,'Schedule 2H Adjustments'!$A27)</f>
        <v>0</v>
      </c>
      <c r="P27" s="310">
        <f t="shared" si="3"/>
        <v>0</v>
      </c>
      <c r="Q27" s="68">
        <f>IFERROR(N27*'As-Filed Schedule 1'!$E$103,0)</f>
        <v>0</v>
      </c>
      <c r="R27" s="68">
        <f>IFERROR(P27*'Adjusted Schedule 1'!$E$104,0)</f>
        <v>0</v>
      </c>
      <c r="S27" s="68">
        <f t="shared" si="4"/>
        <v>0</v>
      </c>
      <c r="T27" s="311">
        <f t="shared" si="5"/>
        <v>0</v>
      </c>
      <c r="V27" s="120">
        <f>'As-Filed Schedule 2H'!N27</f>
        <v>0</v>
      </c>
      <c r="W27" s="314">
        <f>SUMIFS(Adjustments!$G:$G,Adjustments!$H:$H,"2H",Adjustments!$I:$I,'Schedule 2H Adjustments'!$V$12,Adjustments!$J:$J,'Schedule 2H Adjustments'!$A27)</f>
        <v>0</v>
      </c>
      <c r="X27" s="310">
        <f t="shared" si="6"/>
        <v>0</v>
      </c>
      <c r="Y27" s="120">
        <f>'As-Filed Schedule 2H'!O27</f>
        <v>0</v>
      </c>
      <c r="Z27" s="314">
        <f>SUMIFS(Adjustments!$G:$G,Adjustments!$H:$H,"2H",Adjustments!$I:$I,'Schedule 2H Adjustments'!$Y$12,Adjustments!$J:$J,'Schedule 2H Adjustments'!$A27)</f>
        <v>0</v>
      </c>
      <c r="AA27" s="310">
        <f t="shared" si="7"/>
        <v>0</v>
      </c>
    </row>
    <row r="28" spans="1:27" x14ac:dyDescent="0.35">
      <c r="A28" s="24">
        <v>14</v>
      </c>
      <c r="B28" s="513" t="str">
        <f>IF('As-Filed Schedule 2H'!B28:D28=0,"",'As-Filed Schedule 2H'!B28:D28)</f>
        <v/>
      </c>
      <c r="C28" s="513"/>
      <c r="D28" s="513"/>
      <c r="F28" s="117">
        <f>'As-Filed Schedule 2H'!F28</f>
        <v>0</v>
      </c>
      <c r="G28" s="314">
        <f>SUMIFS(Adjustments!$G:$G,Adjustments!$H:$H,"2H",Adjustments!$I:$I,'Schedule 2H Adjustments'!$F$12,Adjustments!$J:$J,'Schedule 2H Adjustments'!$A28)</f>
        <v>0</v>
      </c>
      <c r="H28" s="310">
        <f t="shared" si="0"/>
        <v>0</v>
      </c>
      <c r="I28" s="68">
        <f>IFERROR(F28*'As-Filed Schedule 1'!$E$103,0)</f>
        <v>0</v>
      </c>
      <c r="J28" s="311">
        <f>IFERROR(H28*'Adjusted Schedule 1'!$E$104,0)</f>
        <v>0</v>
      </c>
      <c r="K28" s="68">
        <f t="shared" si="1"/>
        <v>0</v>
      </c>
      <c r="L28" s="311">
        <f t="shared" si="2"/>
        <v>0</v>
      </c>
      <c r="N28" s="117">
        <f>'As-Filed Schedule 2H'!J28</f>
        <v>0</v>
      </c>
      <c r="O28" s="314">
        <f>SUMIFS(Adjustments!$G:$G,Adjustments!$H:$H,"2H",Adjustments!$I:$I,'Schedule 2H Adjustments'!$N$12,Adjustments!$J:$J,'Schedule 2H Adjustments'!$A28)</f>
        <v>0</v>
      </c>
      <c r="P28" s="310">
        <f t="shared" si="3"/>
        <v>0</v>
      </c>
      <c r="Q28" s="68">
        <f>IFERROR(N28*'As-Filed Schedule 1'!$E$103,0)</f>
        <v>0</v>
      </c>
      <c r="R28" s="68">
        <f>IFERROR(P28*'Adjusted Schedule 1'!$E$104,0)</f>
        <v>0</v>
      </c>
      <c r="S28" s="68">
        <f t="shared" si="4"/>
        <v>0</v>
      </c>
      <c r="T28" s="311">
        <f t="shared" si="5"/>
        <v>0</v>
      </c>
      <c r="V28" s="120">
        <f>'As-Filed Schedule 2H'!N28</f>
        <v>0</v>
      </c>
      <c r="W28" s="314">
        <f>SUMIFS(Adjustments!$G:$G,Adjustments!$H:$H,"2H",Adjustments!$I:$I,'Schedule 2H Adjustments'!$V$12,Adjustments!$J:$J,'Schedule 2H Adjustments'!$A28)</f>
        <v>0</v>
      </c>
      <c r="X28" s="310">
        <f t="shared" si="6"/>
        <v>0</v>
      </c>
      <c r="Y28" s="120">
        <f>'As-Filed Schedule 2H'!O28</f>
        <v>0</v>
      </c>
      <c r="Z28" s="314">
        <f>SUMIFS(Adjustments!$G:$G,Adjustments!$H:$H,"2H",Adjustments!$I:$I,'Schedule 2H Adjustments'!$Y$12,Adjustments!$J:$J,'Schedule 2H Adjustments'!$A28)</f>
        <v>0</v>
      </c>
      <c r="AA28" s="310">
        <f t="shared" si="7"/>
        <v>0</v>
      </c>
    </row>
    <row r="29" spans="1:27" x14ac:dyDescent="0.35">
      <c r="A29" s="24">
        <v>15</v>
      </c>
      <c r="B29" s="513" t="str">
        <f>IF('As-Filed Schedule 2H'!B29:D29=0,"",'As-Filed Schedule 2H'!B29:D29)</f>
        <v/>
      </c>
      <c r="C29" s="513"/>
      <c r="D29" s="513"/>
      <c r="F29" s="117">
        <f>'As-Filed Schedule 2H'!F29</f>
        <v>0</v>
      </c>
      <c r="G29" s="314">
        <f>SUMIFS(Adjustments!$G:$G,Adjustments!$H:$H,"2H",Adjustments!$I:$I,'Schedule 2H Adjustments'!$F$12,Adjustments!$J:$J,'Schedule 2H Adjustments'!$A29)</f>
        <v>0</v>
      </c>
      <c r="H29" s="310">
        <f t="shared" si="0"/>
        <v>0</v>
      </c>
      <c r="I29" s="68">
        <f>IFERROR(F29*'As-Filed Schedule 1'!$E$103,0)</f>
        <v>0</v>
      </c>
      <c r="J29" s="311">
        <f>IFERROR(H29*'Adjusted Schedule 1'!$E$104,0)</f>
        <v>0</v>
      </c>
      <c r="K29" s="68">
        <f t="shared" si="1"/>
        <v>0</v>
      </c>
      <c r="L29" s="311">
        <f t="shared" si="2"/>
        <v>0</v>
      </c>
      <c r="N29" s="117">
        <f>'As-Filed Schedule 2H'!J29</f>
        <v>0</v>
      </c>
      <c r="O29" s="314">
        <f>SUMIFS(Adjustments!$G:$G,Adjustments!$H:$H,"2H",Adjustments!$I:$I,'Schedule 2H Adjustments'!$N$12,Adjustments!$J:$J,'Schedule 2H Adjustments'!$A29)</f>
        <v>0</v>
      </c>
      <c r="P29" s="310">
        <f t="shared" si="3"/>
        <v>0</v>
      </c>
      <c r="Q29" s="68">
        <f>IFERROR(N29*'As-Filed Schedule 1'!$E$103,0)</f>
        <v>0</v>
      </c>
      <c r="R29" s="68">
        <f>IFERROR(P29*'Adjusted Schedule 1'!$E$104,0)</f>
        <v>0</v>
      </c>
      <c r="S29" s="68">
        <f t="shared" si="4"/>
        <v>0</v>
      </c>
      <c r="T29" s="311">
        <f t="shared" si="5"/>
        <v>0</v>
      </c>
      <c r="V29" s="120">
        <f>'As-Filed Schedule 2H'!N29</f>
        <v>0</v>
      </c>
      <c r="W29" s="314">
        <f>SUMIFS(Adjustments!$G:$G,Adjustments!$H:$H,"2H",Adjustments!$I:$I,'Schedule 2H Adjustments'!$V$12,Adjustments!$J:$J,'Schedule 2H Adjustments'!$A29)</f>
        <v>0</v>
      </c>
      <c r="X29" s="310">
        <f t="shared" si="6"/>
        <v>0</v>
      </c>
      <c r="Y29" s="120">
        <f>'As-Filed Schedule 2H'!O29</f>
        <v>0</v>
      </c>
      <c r="Z29" s="314">
        <f>SUMIFS(Adjustments!$G:$G,Adjustments!$H:$H,"2H",Adjustments!$I:$I,'Schedule 2H Adjustments'!$Y$12,Adjustments!$J:$J,'Schedule 2H Adjustments'!$A29)</f>
        <v>0</v>
      </c>
      <c r="AA29" s="310">
        <f t="shared" si="7"/>
        <v>0</v>
      </c>
    </row>
    <row r="30" spans="1:27" x14ac:dyDescent="0.35">
      <c r="A30" s="24">
        <v>16</v>
      </c>
      <c r="B30" s="513" t="str">
        <f>IF('As-Filed Schedule 2H'!B30:D30=0,"",'As-Filed Schedule 2H'!B30:D30)</f>
        <v/>
      </c>
      <c r="C30" s="513"/>
      <c r="D30" s="513"/>
      <c r="F30" s="117">
        <f>'As-Filed Schedule 2H'!F30</f>
        <v>0</v>
      </c>
      <c r="G30" s="314">
        <f>SUMIFS(Adjustments!$G:$G,Adjustments!$H:$H,"2H",Adjustments!$I:$I,'Schedule 2H Adjustments'!$F$12,Adjustments!$J:$J,'Schedule 2H Adjustments'!$A30)</f>
        <v>0</v>
      </c>
      <c r="H30" s="310">
        <f t="shared" si="0"/>
        <v>0</v>
      </c>
      <c r="I30" s="68">
        <f>IFERROR(F30*'As-Filed Schedule 1'!$E$103,0)</f>
        <v>0</v>
      </c>
      <c r="J30" s="311">
        <f>IFERROR(H30*'Adjusted Schedule 1'!$E$104,0)</f>
        <v>0</v>
      </c>
      <c r="K30" s="68">
        <f t="shared" si="1"/>
        <v>0</v>
      </c>
      <c r="L30" s="311">
        <f t="shared" si="2"/>
        <v>0</v>
      </c>
      <c r="N30" s="117">
        <f>'As-Filed Schedule 2H'!J30</f>
        <v>0</v>
      </c>
      <c r="O30" s="314">
        <f>SUMIFS(Adjustments!$G:$G,Adjustments!$H:$H,"2H",Adjustments!$I:$I,'Schedule 2H Adjustments'!$N$12,Adjustments!$J:$J,'Schedule 2H Adjustments'!$A30)</f>
        <v>0</v>
      </c>
      <c r="P30" s="310">
        <f t="shared" si="3"/>
        <v>0</v>
      </c>
      <c r="Q30" s="68">
        <f>IFERROR(N30*'As-Filed Schedule 1'!$E$103,0)</f>
        <v>0</v>
      </c>
      <c r="R30" s="68">
        <f>IFERROR(P30*'Adjusted Schedule 1'!$E$104,0)</f>
        <v>0</v>
      </c>
      <c r="S30" s="68">
        <f t="shared" si="4"/>
        <v>0</v>
      </c>
      <c r="T30" s="311">
        <f t="shared" si="5"/>
        <v>0</v>
      </c>
      <c r="V30" s="120">
        <f>'As-Filed Schedule 2H'!N30</f>
        <v>0</v>
      </c>
      <c r="W30" s="314">
        <f>SUMIFS(Adjustments!$G:$G,Adjustments!$H:$H,"2H",Adjustments!$I:$I,'Schedule 2H Adjustments'!$V$12,Adjustments!$J:$J,'Schedule 2H Adjustments'!$A30)</f>
        <v>0</v>
      </c>
      <c r="X30" s="310">
        <f t="shared" si="6"/>
        <v>0</v>
      </c>
      <c r="Y30" s="120">
        <f>'As-Filed Schedule 2H'!O30</f>
        <v>0</v>
      </c>
      <c r="Z30" s="314">
        <f>SUMIFS(Adjustments!$G:$G,Adjustments!$H:$H,"2H",Adjustments!$I:$I,'Schedule 2H Adjustments'!$Y$12,Adjustments!$J:$J,'Schedule 2H Adjustments'!$A30)</f>
        <v>0</v>
      </c>
      <c r="AA30" s="310">
        <f t="shared" si="7"/>
        <v>0</v>
      </c>
    </row>
    <row r="31" spans="1:27" x14ac:dyDescent="0.35">
      <c r="A31" s="24">
        <v>17</v>
      </c>
      <c r="B31" s="513" t="str">
        <f>IF('As-Filed Schedule 2H'!B31:D31=0,"",'As-Filed Schedule 2H'!B31:D31)</f>
        <v/>
      </c>
      <c r="C31" s="513"/>
      <c r="D31" s="513"/>
      <c r="F31" s="117">
        <f>'As-Filed Schedule 2H'!F31</f>
        <v>0</v>
      </c>
      <c r="G31" s="314">
        <f>SUMIFS(Adjustments!$G:$G,Adjustments!$H:$H,"2H",Adjustments!$I:$I,'Schedule 2H Adjustments'!$F$12,Adjustments!$J:$J,'Schedule 2H Adjustments'!$A31)</f>
        <v>0</v>
      </c>
      <c r="H31" s="310">
        <f t="shared" si="0"/>
        <v>0</v>
      </c>
      <c r="I31" s="68">
        <f>IFERROR(F31*'As-Filed Schedule 1'!$E$103,0)</f>
        <v>0</v>
      </c>
      <c r="J31" s="311">
        <f>IFERROR(H31*'Adjusted Schedule 1'!$E$104,0)</f>
        <v>0</v>
      </c>
      <c r="K31" s="68">
        <f t="shared" si="1"/>
        <v>0</v>
      </c>
      <c r="L31" s="311">
        <f t="shared" si="2"/>
        <v>0</v>
      </c>
      <c r="N31" s="117">
        <f>'As-Filed Schedule 2H'!J31</f>
        <v>0</v>
      </c>
      <c r="O31" s="314">
        <f>SUMIFS(Adjustments!$G:$G,Adjustments!$H:$H,"2H",Adjustments!$I:$I,'Schedule 2H Adjustments'!$N$12,Adjustments!$J:$J,'Schedule 2H Adjustments'!$A31)</f>
        <v>0</v>
      </c>
      <c r="P31" s="310">
        <f t="shared" si="3"/>
        <v>0</v>
      </c>
      <c r="Q31" s="68">
        <f>IFERROR(N31*'As-Filed Schedule 1'!$E$103,0)</f>
        <v>0</v>
      </c>
      <c r="R31" s="68">
        <f>IFERROR(P31*'Adjusted Schedule 1'!$E$104,0)</f>
        <v>0</v>
      </c>
      <c r="S31" s="68">
        <f t="shared" si="4"/>
        <v>0</v>
      </c>
      <c r="T31" s="311">
        <f t="shared" si="5"/>
        <v>0</v>
      </c>
      <c r="V31" s="120">
        <f>'As-Filed Schedule 2H'!N31</f>
        <v>0</v>
      </c>
      <c r="W31" s="314">
        <f>SUMIFS(Adjustments!$G:$G,Adjustments!$H:$H,"2H",Adjustments!$I:$I,'Schedule 2H Adjustments'!$V$12,Adjustments!$J:$J,'Schedule 2H Adjustments'!$A31)</f>
        <v>0</v>
      </c>
      <c r="X31" s="310">
        <f t="shared" si="6"/>
        <v>0</v>
      </c>
      <c r="Y31" s="120">
        <f>'As-Filed Schedule 2H'!O31</f>
        <v>0</v>
      </c>
      <c r="Z31" s="314">
        <f>SUMIFS(Adjustments!$G:$G,Adjustments!$H:$H,"2H",Adjustments!$I:$I,'Schedule 2H Adjustments'!$Y$12,Adjustments!$J:$J,'Schedule 2H Adjustments'!$A31)</f>
        <v>0</v>
      </c>
      <c r="AA31" s="310">
        <f t="shared" si="7"/>
        <v>0</v>
      </c>
    </row>
    <row r="32" spans="1:27" x14ac:dyDescent="0.35">
      <c r="A32" s="24">
        <v>18</v>
      </c>
      <c r="B32" s="513" t="str">
        <f>IF('As-Filed Schedule 2H'!B32:D32=0,"",'As-Filed Schedule 2H'!B32:D32)</f>
        <v/>
      </c>
      <c r="C32" s="513"/>
      <c r="D32" s="513"/>
      <c r="F32" s="117">
        <f>'As-Filed Schedule 2H'!F32</f>
        <v>0</v>
      </c>
      <c r="G32" s="314">
        <f>SUMIFS(Adjustments!$G:$G,Adjustments!$H:$H,"2H",Adjustments!$I:$I,'Schedule 2H Adjustments'!$F$12,Adjustments!$J:$J,'Schedule 2H Adjustments'!$A32)</f>
        <v>0</v>
      </c>
      <c r="H32" s="310">
        <f t="shared" si="0"/>
        <v>0</v>
      </c>
      <c r="I32" s="68">
        <f>IFERROR(F32*'As-Filed Schedule 1'!$E$103,0)</f>
        <v>0</v>
      </c>
      <c r="J32" s="311">
        <f>IFERROR(H32*'Adjusted Schedule 1'!$E$104,0)</f>
        <v>0</v>
      </c>
      <c r="K32" s="68">
        <f t="shared" si="1"/>
        <v>0</v>
      </c>
      <c r="L32" s="311">
        <f t="shared" si="2"/>
        <v>0</v>
      </c>
      <c r="N32" s="117">
        <f>'As-Filed Schedule 2H'!J32</f>
        <v>0</v>
      </c>
      <c r="O32" s="314">
        <f>SUMIFS(Adjustments!$G:$G,Adjustments!$H:$H,"2H",Adjustments!$I:$I,'Schedule 2H Adjustments'!$N$12,Adjustments!$J:$J,'Schedule 2H Adjustments'!$A32)</f>
        <v>0</v>
      </c>
      <c r="P32" s="310">
        <f t="shared" si="3"/>
        <v>0</v>
      </c>
      <c r="Q32" s="68">
        <f>IFERROR(N32*'As-Filed Schedule 1'!$E$103,0)</f>
        <v>0</v>
      </c>
      <c r="R32" s="68">
        <f>IFERROR(P32*'Adjusted Schedule 1'!$E$104,0)</f>
        <v>0</v>
      </c>
      <c r="S32" s="68">
        <f t="shared" si="4"/>
        <v>0</v>
      </c>
      <c r="T32" s="311">
        <f t="shared" si="5"/>
        <v>0</v>
      </c>
      <c r="V32" s="120">
        <f>'As-Filed Schedule 2H'!N32</f>
        <v>0</v>
      </c>
      <c r="W32" s="314">
        <f>SUMIFS(Adjustments!$G:$G,Adjustments!$H:$H,"2H",Adjustments!$I:$I,'Schedule 2H Adjustments'!$V$12,Adjustments!$J:$J,'Schedule 2H Adjustments'!$A32)</f>
        <v>0</v>
      </c>
      <c r="X32" s="310">
        <f t="shared" si="6"/>
        <v>0</v>
      </c>
      <c r="Y32" s="120">
        <f>'As-Filed Schedule 2H'!O32</f>
        <v>0</v>
      </c>
      <c r="Z32" s="314">
        <f>SUMIFS(Adjustments!$G:$G,Adjustments!$H:$H,"2H",Adjustments!$I:$I,'Schedule 2H Adjustments'!$Y$12,Adjustments!$J:$J,'Schedule 2H Adjustments'!$A32)</f>
        <v>0</v>
      </c>
      <c r="AA32" s="310">
        <f t="shared" si="7"/>
        <v>0</v>
      </c>
    </row>
    <row r="33" spans="1:27" x14ac:dyDescent="0.35">
      <c r="A33" s="24">
        <v>19</v>
      </c>
      <c r="B33" s="513" t="str">
        <f>IF('As-Filed Schedule 2H'!B33:D33=0,"",'As-Filed Schedule 2H'!B33:D33)</f>
        <v/>
      </c>
      <c r="C33" s="513"/>
      <c r="D33" s="513"/>
      <c r="F33" s="117">
        <f>'As-Filed Schedule 2H'!F33</f>
        <v>0</v>
      </c>
      <c r="G33" s="314">
        <f>SUMIFS(Adjustments!$G:$G,Adjustments!$H:$H,"2H",Adjustments!$I:$I,'Schedule 2H Adjustments'!$F$12,Adjustments!$J:$J,'Schedule 2H Adjustments'!$A33)</f>
        <v>0</v>
      </c>
      <c r="H33" s="310">
        <f t="shared" si="0"/>
        <v>0</v>
      </c>
      <c r="I33" s="68">
        <f>IFERROR(F33*'As-Filed Schedule 1'!$E$103,0)</f>
        <v>0</v>
      </c>
      <c r="J33" s="311">
        <f>IFERROR(H33*'Adjusted Schedule 1'!$E$104,0)</f>
        <v>0</v>
      </c>
      <c r="K33" s="68">
        <f t="shared" si="1"/>
        <v>0</v>
      </c>
      <c r="L33" s="311">
        <f t="shared" si="2"/>
        <v>0</v>
      </c>
      <c r="N33" s="117">
        <f>'As-Filed Schedule 2H'!J33</f>
        <v>0</v>
      </c>
      <c r="O33" s="314">
        <f>SUMIFS(Adjustments!$G:$G,Adjustments!$H:$H,"2H",Adjustments!$I:$I,'Schedule 2H Adjustments'!$N$12,Adjustments!$J:$J,'Schedule 2H Adjustments'!$A33)</f>
        <v>0</v>
      </c>
      <c r="P33" s="310">
        <f t="shared" si="3"/>
        <v>0</v>
      </c>
      <c r="Q33" s="68">
        <f>IFERROR(N33*'As-Filed Schedule 1'!$E$103,0)</f>
        <v>0</v>
      </c>
      <c r="R33" s="68">
        <f>IFERROR(P33*'Adjusted Schedule 1'!$E$104,0)</f>
        <v>0</v>
      </c>
      <c r="S33" s="68">
        <f t="shared" si="4"/>
        <v>0</v>
      </c>
      <c r="T33" s="311">
        <f t="shared" si="5"/>
        <v>0</v>
      </c>
      <c r="V33" s="120">
        <f>'As-Filed Schedule 2H'!N33</f>
        <v>0</v>
      </c>
      <c r="W33" s="314">
        <f>SUMIFS(Adjustments!$G:$G,Adjustments!$H:$H,"2H",Adjustments!$I:$I,'Schedule 2H Adjustments'!$V$12,Adjustments!$J:$J,'Schedule 2H Adjustments'!$A33)</f>
        <v>0</v>
      </c>
      <c r="X33" s="310">
        <f t="shared" si="6"/>
        <v>0</v>
      </c>
      <c r="Y33" s="120">
        <f>'As-Filed Schedule 2H'!O33</f>
        <v>0</v>
      </c>
      <c r="Z33" s="314">
        <f>SUMIFS(Adjustments!$G:$G,Adjustments!$H:$H,"2H",Adjustments!$I:$I,'Schedule 2H Adjustments'!$Y$12,Adjustments!$J:$J,'Schedule 2H Adjustments'!$A33)</f>
        <v>0</v>
      </c>
      <c r="AA33" s="310">
        <f t="shared" si="7"/>
        <v>0</v>
      </c>
    </row>
    <row r="34" spans="1:27" x14ac:dyDescent="0.35">
      <c r="A34" s="24">
        <v>20</v>
      </c>
      <c r="B34" s="513" t="str">
        <f>IF('As-Filed Schedule 2H'!B34:D34=0,"",'As-Filed Schedule 2H'!B34:D34)</f>
        <v/>
      </c>
      <c r="C34" s="513"/>
      <c r="D34" s="513"/>
      <c r="F34" s="117">
        <f>'As-Filed Schedule 2H'!F34</f>
        <v>0</v>
      </c>
      <c r="G34" s="314">
        <f>SUMIFS(Adjustments!$G:$G,Adjustments!$H:$H,"2H",Adjustments!$I:$I,'Schedule 2H Adjustments'!$F$12,Adjustments!$J:$J,'Schedule 2H Adjustments'!$A34)</f>
        <v>0</v>
      </c>
      <c r="H34" s="310">
        <f t="shared" si="0"/>
        <v>0</v>
      </c>
      <c r="I34" s="68">
        <f>IFERROR(F34*'As-Filed Schedule 1'!$E$103,0)</f>
        <v>0</v>
      </c>
      <c r="J34" s="311">
        <f>IFERROR(H34*'Adjusted Schedule 1'!$E$104,0)</f>
        <v>0</v>
      </c>
      <c r="K34" s="68">
        <f t="shared" si="1"/>
        <v>0</v>
      </c>
      <c r="L34" s="311">
        <f t="shared" si="2"/>
        <v>0</v>
      </c>
      <c r="N34" s="117">
        <f>'As-Filed Schedule 2H'!J34</f>
        <v>0</v>
      </c>
      <c r="O34" s="314">
        <f>SUMIFS(Adjustments!$G:$G,Adjustments!$H:$H,"2H",Adjustments!$I:$I,'Schedule 2H Adjustments'!$N$12,Adjustments!$J:$J,'Schedule 2H Adjustments'!$A34)</f>
        <v>0</v>
      </c>
      <c r="P34" s="310">
        <f t="shared" si="3"/>
        <v>0</v>
      </c>
      <c r="Q34" s="68">
        <f>IFERROR(N34*'As-Filed Schedule 1'!$E$103,0)</f>
        <v>0</v>
      </c>
      <c r="R34" s="68">
        <f>IFERROR(P34*'Adjusted Schedule 1'!$E$104,0)</f>
        <v>0</v>
      </c>
      <c r="S34" s="68">
        <f t="shared" si="4"/>
        <v>0</v>
      </c>
      <c r="T34" s="311">
        <f t="shared" si="5"/>
        <v>0</v>
      </c>
      <c r="V34" s="120">
        <f>'As-Filed Schedule 2H'!N34</f>
        <v>0</v>
      </c>
      <c r="W34" s="314">
        <f>SUMIFS(Adjustments!$G:$G,Adjustments!$H:$H,"2H",Adjustments!$I:$I,'Schedule 2H Adjustments'!$V$12,Adjustments!$J:$J,'Schedule 2H Adjustments'!$A34)</f>
        <v>0</v>
      </c>
      <c r="X34" s="310">
        <f t="shared" si="6"/>
        <v>0</v>
      </c>
      <c r="Y34" s="120">
        <f>'As-Filed Schedule 2H'!O34</f>
        <v>0</v>
      </c>
      <c r="Z34" s="314">
        <f>SUMIFS(Adjustments!$G:$G,Adjustments!$H:$H,"2H",Adjustments!$I:$I,'Schedule 2H Adjustments'!$Y$12,Adjustments!$J:$J,'Schedule 2H Adjustments'!$A34)</f>
        <v>0</v>
      </c>
      <c r="AA34" s="310">
        <f t="shared" si="7"/>
        <v>0</v>
      </c>
    </row>
    <row r="35" spans="1:27" x14ac:dyDescent="0.35">
      <c r="A35" s="24">
        <v>21</v>
      </c>
      <c r="B35" s="513" t="str">
        <f>IF('As-Filed Schedule 2H'!B35:D35=0,"",'As-Filed Schedule 2H'!B35:D35)</f>
        <v/>
      </c>
      <c r="C35" s="513"/>
      <c r="D35" s="513"/>
      <c r="F35" s="117">
        <f>'As-Filed Schedule 2H'!F35</f>
        <v>0</v>
      </c>
      <c r="G35" s="314">
        <f>SUMIFS(Adjustments!$G:$G,Adjustments!$H:$H,"2H",Adjustments!$I:$I,'Schedule 2H Adjustments'!$F$12,Adjustments!$J:$J,'Schedule 2H Adjustments'!$A35)</f>
        <v>0</v>
      </c>
      <c r="H35" s="310">
        <f t="shared" si="0"/>
        <v>0</v>
      </c>
      <c r="I35" s="68">
        <f>IFERROR(F35*'As-Filed Schedule 1'!$E$103,0)</f>
        <v>0</v>
      </c>
      <c r="J35" s="311">
        <f>IFERROR(H35*'Adjusted Schedule 1'!$E$104,0)</f>
        <v>0</v>
      </c>
      <c r="K35" s="68">
        <f t="shared" si="1"/>
        <v>0</v>
      </c>
      <c r="L35" s="311">
        <f t="shared" si="2"/>
        <v>0</v>
      </c>
      <c r="N35" s="117">
        <f>'As-Filed Schedule 2H'!J35</f>
        <v>0</v>
      </c>
      <c r="O35" s="314">
        <f>SUMIFS(Adjustments!$G:$G,Adjustments!$H:$H,"2H",Adjustments!$I:$I,'Schedule 2H Adjustments'!$N$12,Adjustments!$J:$J,'Schedule 2H Adjustments'!$A35)</f>
        <v>0</v>
      </c>
      <c r="P35" s="310">
        <f t="shared" si="3"/>
        <v>0</v>
      </c>
      <c r="Q35" s="68">
        <f>IFERROR(N35*'As-Filed Schedule 1'!$E$103,0)</f>
        <v>0</v>
      </c>
      <c r="R35" s="68">
        <f>IFERROR(P35*'Adjusted Schedule 1'!$E$104,0)</f>
        <v>0</v>
      </c>
      <c r="S35" s="68">
        <f t="shared" si="4"/>
        <v>0</v>
      </c>
      <c r="T35" s="311">
        <f t="shared" si="5"/>
        <v>0</v>
      </c>
      <c r="V35" s="120">
        <f>'As-Filed Schedule 2H'!N35</f>
        <v>0</v>
      </c>
      <c r="W35" s="314">
        <f>SUMIFS(Adjustments!$G:$G,Adjustments!$H:$H,"2H",Adjustments!$I:$I,'Schedule 2H Adjustments'!$V$12,Adjustments!$J:$J,'Schedule 2H Adjustments'!$A35)</f>
        <v>0</v>
      </c>
      <c r="X35" s="310">
        <f t="shared" si="6"/>
        <v>0</v>
      </c>
      <c r="Y35" s="120">
        <f>'As-Filed Schedule 2H'!O35</f>
        <v>0</v>
      </c>
      <c r="Z35" s="314">
        <f>SUMIFS(Adjustments!$G:$G,Adjustments!$H:$H,"2H",Adjustments!$I:$I,'Schedule 2H Adjustments'!$Y$12,Adjustments!$J:$J,'Schedule 2H Adjustments'!$A35)</f>
        <v>0</v>
      </c>
      <c r="AA35" s="310">
        <f t="shared" si="7"/>
        <v>0</v>
      </c>
    </row>
    <row r="36" spans="1:27" x14ac:dyDescent="0.35">
      <c r="A36" s="24">
        <v>22</v>
      </c>
      <c r="B36" s="513" t="str">
        <f>IF('As-Filed Schedule 2H'!B36:D36=0,"",'As-Filed Schedule 2H'!B36:D36)</f>
        <v/>
      </c>
      <c r="C36" s="513"/>
      <c r="D36" s="513"/>
      <c r="F36" s="117">
        <f>'As-Filed Schedule 2H'!F36</f>
        <v>0</v>
      </c>
      <c r="G36" s="314">
        <f>SUMIFS(Adjustments!$G:$G,Adjustments!$H:$H,"2H",Adjustments!$I:$I,'Schedule 2H Adjustments'!$F$12,Adjustments!$J:$J,'Schedule 2H Adjustments'!$A36)</f>
        <v>0</v>
      </c>
      <c r="H36" s="310">
        <f t="shared" si="0"/>
        <v>0</v>
      </c>
      <c r="I36" s="68">
        <f>IFERROR(F36*'As-Filed Schedule 1'!$E$103,0)</f>
        <v>0</v>
      </c>
      <c r="J36" s="311">
        <f>IFERROR(H36*'Adjusted Schedule 1'!$E$104,0)</f>
        <v>0</v>
      </c>
      <c r="K36" s="68">
        <f t="shared" si="1"/>
        <v>0</v>
      </c>
      <c r="L36" s="311">
        <f t="shared" si="2"/>
        <v>0</v>
      </c>
      <c r="N36" s="117">
        <f>'As-Filed Schedule 2H'!J36</f>
        <v>0</v>
      </c>
      <c r="O36" s="314">
        <f>SUMIFS(Adjustments!$G:$G,Adjustments!$H:$H,"2H",Adjustments!$I:$I,'Schedule 2H Adjustments'!$N$12,Adjustments!$J:$J,'Schedule 2H Adjustments'!$A36)</f>
        <v>0</v>
      </c>
      <c r="P36" s="310">
        <f t="shared" si="3"/>
        <v>0</v>
      </c>
      <c r="Q36" s="68">
        <f>IFERROR(N36*'As-Filed Schedule 1'!$E$103,0)</f>
        <v>0</v>
      </c>
      <c r="R36" s="68">
        <f>IFERROR(P36*'Adjusted Schedule 1'!$E$104,0)</f>
        <v>0</v>
      </c>
      <c r="S36" s="68">
        <f t="shared" si="4"/>
        <v>0</v>
      </c>
      <c r="T36" s="311">
        <f t="shared" si="5"/>
        <v>0</v>
      </c>
      <c r="V36" s="120">
        <f>'As-Filed Schedule 2H'!N36</f>
        <v>0</v>
      </c>
      <c r="W36" s="314">
        <f>SUMIFS(Adjustments!$G:$G,Adjustments!$H:$H,"2H",Adjustments!$I:$I,'Schedule 2H Adjustments'!$V$12,Adjustments!$J:$J,'Schedule 2H Adjustments'!$A36)</f>
        <v>0</v>
      </c>
      <c r="X36" s="310">
        <f t="shared" si="6"/>
        <v>0</v>
      </c>
      <c r="Y36" s="120">
        <f>'As-Filed Schedule 2H'!O36</f>
        <v>0</v>
      </c>
      <c r="Z36" s="314">
        <f>SUMIFS(Adjustments!$G:$G,Adjustments!$H:$H,"2H",Adjustments!$I:$I,'Schedule 2H Adjustments'!$Y$12,Adjustments!$J:$J,'Schedule 2H Adjustments'!$A36)</f>
        <v>0</v>
      </c>
      <c r="AA36" s="310">
        <f t="shared" si="7"/>
        <v>0</v>
      </c>
    </row>
    <row r="37" spans="1:27" x14ac:dyDescent="0.35">
      <c r="A37" s="24">
        <v>23</v>
      </c>
      <c r="B37" s="513" t="str">
        <f>IF('As-Filed Schedule 2H'!B37:D37=0,"",'As-Filed Schedule 2H'!B37:D37)</f>
        <v/>
      </c>
      <c r="C37" s="513"/>
      <c r="D37" s="513"/>
      <c r="F37" s="117">
        <f>'As-Filed Schedule 2H'!F37</f>
        <v>0</v>
      </c>
      <c r="G37" s="314">
        <f>SUMIFS(Adjustments!$G:$G,Adjustments!$H:$H,"2H",Adjustments!$I:$I,'Schedule 2H Adjustments'!$F$12,Adjustments!$J:$J,'Schedule 2H Adjustments'!$A37)</f>
        <v>0</v>
      </c>
      <c r="H37" s="310">
        <f t="shared" si="0"/>
        <v>0</v>
      </c>
      <c r="I37" s="68">
        <f>IFERROR(F37*'As-Filed Schedule 1'!$E$103,0)</f>
        <v>0</v>
      </c>
      <c r="J37" s="311">
        <f>IFERROR(H37*'Adjusted Schedule 1'!$E$104,0)</f>
        <v>0</v>
      </c>
      <c r="K37" s="68">
        <f t="shared" si="1"/>
        <v>0</v>
      </c>
      <c r="L37" s="311">
        <f t="shared" si="2"/>
        <v>0</v>
      </c>
      <c r="N37" s="117">
        <f>'As-Filed Schedule 2H'!J37</f>
        <v>0</v>
      </c>
      <c r="O37" s="314">
        <f>SUMIFS(Adjustments!$G:$G,Adjustments!$H:$H,"2H",Adjustments!$I:$I,'Schedule 2H Adjustments'!$N$12,Adjustments!$J:$J,'Schedule 2H Adjustments'!$A37)</f>
        <v>0</v>
      </c>
      <c r="P37" s="310">
        <f t="shared" si="3"/>
        <v>0</v>
      </c>
      <c r="Q37" s="68">
        <f>IFERROR(N37*'As-Filed Schedule 1'!$E$103,0)</f>
        <v>0</v>
      </c>
      <c r="R37" s="68">
        <f>IFERROR(P37*'Adjusted Schedule 1'!$E$104,0)</f>
        <v>0</v>
      </c>
      <c r="S37" s="68">
        <f t="shared" si="4"/>
        <v>0</v>
      </c>
      <c r="T37" s="311">
        <f t="shared" si="5"/>
        <v>0</v>
      </c>
      <c r="V37" s="120">
        <f>'As-Filed Schedule 2H'!N37</f>
        <v>0</v>
      </c>
      <c r="W37" s="314">
        <f>SUMIFS(Adjustments!$G:$G,Adjustments!$H:$H,"2H",Adjustments!$I:$I,'Schedule 2H Adjustments'!$V$12,Adjustments!$J:$J,'Schedule 2H Adjustments'!$A37)</f>
        <v>0</v>
      </c>
      <c r="X37" s="310">
        <f t="shared" si="6"/>
        <v>0</v>
      </c>
      <c r="Y37" s="120">
        <f>'As-Filed Schedule 2H'!O37</f>
        <v>0</v>
      </c>
      <c r="Z37" s="314">
        <f>SUMIFS(Adjustments!$G:$G,Adjustments!$H:$H,"2H",Adjustments!$I:$I,'Schedule 2H Adjustments'!$Y$12,Adjustments!$J:$J,'Schedule 2H Adjustments'!$A37)</f>
        <v>0</v>
      </c>
      <c r="AA37" s="310">
        <f t="shared" si="7"/>
        <v>0</v>
      </c>
    </row>
    <row r="38" spans="1:27" x14ac:dyDescent="0.35">
      <c r="A38" s="24">
        <v>24</v>
      </c>
      <c r="B38" s="513" t="str">
        <f>IF('As-Filed Schedule 2H'!B38:D38=0,"",'As-Filed Schedule 2H'!B38:D38)</f>
        <v/>
      </c>
      <c r="C38" s="513"/>
      <c r="D38" s="513"/>
      <c r="F38" s="117">
        <f>'As-Filed Schedule 2H'!F38</f>
        <v>0</v>
      </c>
      <c r="G38" s="314">
        <f>SUMIFS(Adjustments!$G:$G,Adjustments!$H:$H,"2H",Adjustments!$I:$I,'Schedule 2H Adjustments'!$F$12,Adjustments!$J:$J,'Schedule 2H Adjustments'!$A38)</f>
        <v>0</v>
      </c>
      <c r="H38" s="310">
        <f t="shared" si="0"/>
        <v>0</v>
      </c>
      <c r="I38" s="68">
        <f>IFERROR(F38*'As-Filed Schedule 1'!$E$103,0)</f>
        <v>0</v>
      </c>
      <c r="J38" s="311">
        <f>IFERROR(H38*'Adjusted Schedule 1'!$E$104,0)</f>
        <v>0</v>
      </c>
      <c r="K38" s="68">
        <f t="shared" si="1"/>
        <v>0</v>
      </c>
      <c r="L38" s="311">
        <f t="shared" si="2"/>
        <v>0</v>
      </c>
      <c r="N38" s="117">
        <f>'As-Filed Schedule 2H'!J38</f>
        <v>0</v>
      </c>
      <c r="O38" s="314">
        <f>SUMIFS(Adjustments!$G:$G,Adjustments!$H:$H,"2H",Adjustments!$I:$I,'Schedule 2H Adjustments'!$N$12,Adjustments!$J:$J,'Schedule 2H Adjustments'!$A38)</f>
        <v>0</v>
      </c>
      <c r="P38" s="310">
        <f t="shared" si="3"/>
        <v>0</v>
      </c>
      <c r="Q38" s="68">
        <f>IFERROR(N38*'As-Filed Schedule 1'!$E$103,0)</f>
        <v>0</v>
      </c>
      <c r="R38" s="68">
        <f>IFERROR(P38*'Adjusted Schedule 1'!$E$104,0)</f>
        <v>0</v>
      </c>
      <c r="S38" s="68">
        <f t="shared" si="4"/>
        <v>0</v>
      </c>
      <c r="T38" s="311">
        <f t="shared" si="5"/>
        <v>0</v>
      </c>
      <c r="V38" s="120">
        <f>'As-Filed Schedule 2H'!N38</f>
        <v>0</v>
      </c>
      <c r="W38" s="314">
        <f>SUMIFS(Adjustments!$G:$G,Adjustments!$H:$H,"2H",Adjustments!$I:$I,'Schedule 2H Adjustments'!$V$12,Adjustments!$J:$J,'Schedule 2H Adjustments'!$A38)</f>
        <v>0</v>
      </c>
      <c r="X38" s="310">
        <f t="shared" si="6"/>
        <v>0</v>
      </c>
      <c r="Y38" s="120">
        <f>'As-Filed Schedule 2H'!O38</f>
        <v>0</v>
      </c>
      <c r="Z38" s="314">
        <f>SUMIFS(Adjustments!$G:$G,Adjustments!$H:$H,"2H",Adjustments!$I:$I,'Schedule 2H Adjustments'!$Y$12,Adjustments!$J:$J,'Schedule 2H Adjustments'!$A38)</f>
        <v>0</v>
      </c>
      <c r="AA38" s="310">
        <f t="shared" si="7"/>
        <v>0</v>
      </c>
    </row>
    <row r="39" spans="1:27" x14ac:dyDescent="0.35">
      <c r="A39" s="24">
        <v>25</v>
      </c>
      <c r="B39" s="513" t="str">
        <f>IF('As-Filed Schedule 2H'!B39:D39=0,"",'As-Filed Schedule 2H'!B39:D39)</f>
        <v/>
      </c>
      <c r="C39" s="513"/>
      <c r="D39" s="513"/>
      <c r="F39" s="117">
        <f>'As-Filed Schedule 2H'!F39</f>
        <v>0</v>
      </c>
      <c r="G39" s="314">
        <f>SUMIFS(Adjustments!$G:$G,Adjustments!$H:$H,"2H",Adjustments!$I:$I,'Schedule 2H Adjustments'!$F$12,Adjustments!$J:$J,'Schedule 2H Adjustments'!$A39)</f>
        <v>0</v>
      </c>
      <c r="H39" s="310">
        <f t="shared" si="0"/>
        <v>0</v>
      </c>
      <c r="I39" s="68">
        <f>IFERROR(F39*'As-Filed Schedule 1'!$E$103,0)</f>
        <v>0</v>
      </c>
      <c r="J39" s="311">
        <f>IFERROR(H39*'Adjusted Schedule 1'!$E$104,0)</f>
        <v>0</v>
      </c>
      <c r="K39" s="68">
        <f t="shared" si="1"/>
        <v>0</v>
      </c>
      <c r="L39" s="311">
        <f t="shared" si="2"/>
        <v>0</v>
      </c>
      <c r="N39" s="117">
        <f>'As-Filed Schedule 2H'!J39</f>
        <v>0</v>
      </c>
      <c r="O39" s="314">
        <f>SUMIFS(Adjustments!$G:$G,Adjustments!$H:$H,"2H",Adjustments!$I:$I,'Schedule 2H Adjustments'!$N$12,Adjustments!$J:$J,'Schedule 2H Adjustments'!$A39)</f>
        <v>0</v>
      </c>
      <c r="P39" s="310">
        <f t="shared" si="3"/>
        <v>0</v>
      </c>
      <c r="Q39" s="68">
        <f>IFERROR(N39*'As-Filed Schedule 1'!$E$103,0)</f>
        <v>0</v>
      </c>
      <c r="R39" s="68">
        <f>IFERROR(P39*'Adjusted Schedule 1'!$E$104,0)</f>
        <v>0</v>
      </c>
      <c r="S39" s="68">
        <f t="shared" si="4"/>
        <v>0</v>
      </c>
      <c r="T39" s="311">
        <f t="shared" si="5"/>
        <v>0</v>
      </c>
      <c r="V39" s="120">
        <f>'As-Filed Schedule 2H'!N39</f>
        <v>0</v>
      </c>
      <c r="W39" s="314">
        <f>SUMIFS(Adjustments!$G:$G,Adjustments!$H:$H,"2H",Adjustments!$I:$I,'Schedule 2H Adjustments'!$V$12,Adjustments!$J:$J,'Schedule 2H Adjustments'!$A39)</f>
        <v>0</v>
      </c>
      <c r="X39" s="310">
        <f t="shared" si="6"/>
        <v>0</v>
      </c>
      <c r="Y39" s="120">
        <f>'As-Filed Schedule 2H'!O39</f>
        <v>0</v>
      </c>
      <c r="Z39" s="314">
        <f>SUMIFS(Adjustments!$G:$G,Adjustments!$H:$H,"2H",Adjustments!$I:$I,'Schedule 2H Adjustments'!$Y$12,Adjustments!$J:$J,'Schedule 2H Adjustments'!$A39)</f>
        <v>0</v>
      </c>
      <c r="AA39" s="310">
        <f t="shared" si="7"/>
        <v>0</v>
      </c>
    </row>
    <row r="40" spans="1:27" x14ac:dyDescent="0.35">
      <c r="A40" s="24">
        <v>26</v>
      </c>
      <c r="B40" s="513" t="str">
        <f>IF('As-Filed Schedule 2H'!B40:D40=0,"",'As-Filed Schedule 2H'!B40:D40)</f>
        <v/>
      </c>
      <c r="C40" s="513"/>
      <c r="D40" s="513"/>
      <c r="F40" s="117">
        <f>'As-Filed Schedule 2H'!F40</f>
        <v>0</v>
      </c>
      <c r="G40" s="314">
        <f>SUMIFS(Adjustments!$G:$G,Adjustments!$H:$H,"2H",Adjustments!$I:$I,'Schedule 2H Adjustments'!$F$12,Adjustments!$J:$J,'Schedule 2H Adjustments'!$A40)</f>
        <v>0</v>
      </c>
      <c r="H40" s="310">
        <f t="shared" si="0"/>
        <v>0</v>
      </c>
      <c r="I40" s="68">
        <f>IFERROR(F40*'As-Filed Schedule 1'!$E$103,0)</f>
        <v>0</v>
      </c>
      <c r="J40" s="311">
        <f>IFERROR(H40*'Adjusted Schedule 1'!$E$104,0)</f>
        <v>0</v>
      </c>
      <c r="K40" s="68">
        <f t="shared" si="1"/>
        <v>0</v>
      </c>
      <c r="L40" s="311">
        <f t="shared" si="2"/>
        <v>0</v>
      </c>
      <c r="N40" s="117">
        <f>'As-Filed Schedule 2H'!J40</f>
        <v>0</v>
      </c>
      <c r="O40" s="314">
        <f>SUMIFS(Adjustments!$G:$G,Adjustments!$H:$H,"2H",Adjustments!$I:$I,'Schedule 2H Adjustments'!$N$12,Adjustments!$J:$J,'Schedule 2H Adjustments'!$A40)</f>
        <v>0</v>
      </c>
      <c r="P40" s="310">
        <f t="shared" si="3"/>
        <v>0</v>
      </c>
      <c r="Q40" s="68">
        <f>IFERROR(N40*'As-Filed Schedule 1'!$E$103,0)</f>
        <v>0</v>
      </c>
      <c r="R40" s="68">
        <f>IFERROR(P40*'Adjusted Schedule 1'!$E$104,0)</f>
        <v>0</v>
      </c>
      <c r="S40" s="68">
        <f t="shared" si="4"/>
        <v>0</v>
      </c>
      <c r="T40" s="311">
        <f t="shared" si="5"/>
        <v>0</v>
      </c>
      <c r="V40" s="120">
        <f>'As-Filed Schedule 2H'!N40</f>
        <v>0</v>
      </c>
      <c r="W40" s="314">
        <f>SUMIFS(Adjustments!$G:$G,Adjustments!$H:$H,"2H",Adjustments!$I:$I,'Schedule 2H Adjustments'!$V$12,Adjustments!$J:$J,'Schedule 2H Adjustments'!$A40)</f>
        <v>0</v>
      </c>
      <c r="X40" s="310">
        <f t="shared" si="6"/>
        <v>0</v>
      </c>
      <c r="Y40" s="120">
        <f>'As-Filed Schedule 2H'!O40</f>
        <v>0</v>
      </c>
      <c r="Z40" s="314">
        <f>SUMIFS(Adjustments!$G:$G,Adjustments!$H:$H,"2H",Adjustments!$I:$I,'Schedule 2H Adjustments'!$Y$12,Adjustments!$J:$J,'Schedule 2H Adjustments'!$A40)</f>
        <v>0</v>
      </c>
      <c r="AA40" s="310">
        <f t="shared" si="7"/>
        <v>0</v>
      </c>
    </row>
    <row r="41" spans="1:27" x14ac:dyDescent="0.35">
      <c r="A41" s="24">
        <v>27</v>
      </c>
      <c r="B41" s="513" t="str">
        <f>IF('As-Filed Schedule 2H'!B41:D41=0,"",'As-Filed Schedule 2H'!B41:D41)</f>
        <v/>
      </c>
      <c r="C41" s="513"/>
      <c r="D41" s="513"/>
      <c r="F41" s="117">
        <f>'As-Filed Schedule 2H'!F41</f>
        <v>0</v>
      </c>
      <c r="G41" s="314">
        <f>SUMIFS(Adjustments!$G:$G,Adjustments!$H:$H,"2H",Adjustments!$I:$I,'Schedule 2H Adjustments'!$F$12,Adjustments!$J:$J,'Schedule 2H Adjustments'!$A41)</f>
        <v>0</v>
      </c>
      <c r="H41" s="310">
        <f t="shared" si="0"/>
        <v>0</v>
      </c>
      <c r="I41" s="68">
        <f>IFERROR(F41*'As-Filed Schedule 1'!$E$103,0)</f>
        <v>0</v>
      </c>
      <c r="J41" s="311">
        <f>IFERROR(H41*'Adjusted Schedule 1'!$E$104,0)</f>
        <v>0</v>
      </c>
      <c r="K41" s="68">
        <f t="shared" si="1"/>
        <v>0</v>
      </c>
      <c r="L41" s="311">
        <f t="shared" si="2"/>
        <v>0</v>
      </c>
      <c r="N41" s="117">
        <f>'As-Filed Schedule 2H'!J41</f>
        <v>0</v>
      </c>
      <c r="O41" s="314">
        <f>SUMIFS(Adjustments!$G:$G,Adjustments!$H:$H,"2H",Adjustments!$I:$I,'Schedule 2H Adjustments'!$N$12,Adjustments!$J:$J,'Schedule 2H Adjustments'!$A41)</f>
        <v>0</v>
      </c>
      <c r="P41" s="310">
        <f t="shared" si="3"/>
        <v>0</v>
      </c>
      <c r="Q41" s="68">
        <f>IFERROR(N41*'As-Filed Schedule 1'!$E$103,0)</f>
        <v>0</v>
      </c>
      <c r="R41" s="68">
        <f>IFERROR(P41*'Adjusted Schedule 1'!$E$104,0)</f>
        <v>0</v>
      </c>
      <c r="S41" s="68">
        <f t="shared" si="4"/>
        <v>0</v>
      </c>
      <c r="T41" s="311">
        <f t="shared" si="5"/>
        <v>0</v>
      </c>
      <c r="V41" s="120">
        <f>'As-Filed Schedule 2H'!N41</f>
        <v>0</v>
      </c>
      <c r="W41" s="314">
        <f>SUMIFS(Adjustments!$G:$G,Adjustments!$H:$H,"2H",Adjustments!$I:$I,'Schedule 2H Adjustments'!$V$12,Adjustments!$J:$J,'Schedule 2H Adjustments'!$A41)</f>
        <v>0</v>
      </c>
      <c r="X41" s="310">
        <f t="shared" si="6"/>
        <v>0</v>
      </c>
      <c r="Y41" s="120">
        <f>'As-Filed Schedule 2H'!O41</f>
        <v>0</v>
      </c>
      <c r="Z41" s="314">
        <f>SUMIFS(Adjustments!$G:$G,Adjustments!$H:$H,"2H",Adjustments!$I:$I,'Schedule 2H Adjustments'!$Y$12,Adjustments!$J:$J,'Schedule 2H Adjustments'!$A41)</f>
        <v>0</v>
      </c>
      <c r="AA41" s="310">
        <f t="shared" si="7"/>
        <v>0</v>
      </c>
    </row>
    <row r="42" spans="1:27" x14ac:dyDescent="0.35">
      <c r="A42" s="24">
        <v>28</v>
      </c>
      <c r="B42" s="513" t="str">
        <f>IF('As-Filed Schedule 2H'!B42:D42=0,"",'As-Filed Schedule 2H'!B42:D42)</f>
        <v/>
      </c>
      <c r="C42" s="513"/>
      <c r="D42" s="513"/>
      <c r="F42" s="117">
        <f>'As-Filed Schedule 2H'!F42</f>
        <v>0</v>
      </c>
      <c r="G42" s="314">
        <f>SUMIFS(Adjustments!$G:$G,Adjustments!$H:$H,"2H",Adjustments!$I:$I,'Schedule 2H Adjustments'!$F$12,Adjustments!$J:$J,'Schedule 2H Adjustments'!$A42)</f>
        <v>0</v>
      </c>
      <c r="H42" s="310">
        <f t="shared" si="0"/>
        <v>0</v>
      </c>
      <c r="I42" s="68">
        <f>IFERROR(F42*'As-Filed Schedule 1'!$E$103,0)</f>
        <v>0</v>
      </c>
      <c r="J42" s="311">
        <f>IFERROR(H42*'Adjusted Schedule 1'!$E$104,0)</f>
        <v>0</v>
      </c>
      <c r="K42" s="68">
        <f t="shared" si="1"/>
        <v>0</v>
      </c>
      <c r="L42" s="311">
        <f t="shared" si="2"/>
        <v>0</v>
      </c>
      <c r="N42" s="117">
        <f>'As-Filed Schedule 2H'!J42</f>
        <v>0</v>
      </c>
      <c r="O42" s="314">
        <f>SUMIFS(Adjustments!$G:$G,Adjustments!$H:$H,"2H",Adjustments!$I:$I,'Schedule 2H Adjustments'!$N$12,Adjustments!$J:$J,'Schedule 2H Adjustments'!$A42)</f>
        <v>0</v>
      </c>
      <c r="P42" s="310">
        <f t="shared" si="3"/>
        <v>0</v>
      </c>
      <c r="Q42" s="68">
        <f>IFERROR(N42*'As-Filed Schedule 1'!$E$103,0)</f>
        <v>0</v>
      </c>
      <c r="R42" s="68">
        <f>IFERROR(P42*'Adjusted Schedule 1'!$E$104,0)</f>
        <v>0</v>
      </c>
      <c r="S42" s="68">
        <f t="shared" si="4"/>
        <v>0</v>
      </c>
      <c r="T42" s="311">
        <f t="shared" si="5"/>
        <v>0</v>
      </c>
      <c r="V42" s="120">
        <f>'As-Filed Schedule 2H'!N42</f>
        <v>0</v>
      </c>
      <c r="W42" s="314">
        <f>SUMIFS(Adjustments!$G:$G,Adjustments!$H:$H,"2H",Adjustments!$I:$I,'Schedule 2H Adjustments'!$V$12,Adjustments!$J:$J,'Schedule 2H Adjustments'!$A42)</f>
        <v>0</v>
      </c>
      <c r="X42" s="310">
        <f t="shared" si="6"/>
        <v>0</v>
      </c>
      <c r="Y42" s="120">
        <f>'As-Filed Schedule 2H'!O42</f>
        <v>0</v>
      </c>
      <c r="Z42" s="314">
        <f>SUMIFS(Adjustments!$G:$G,Adjustments!$H:$H,"2H",Adjustments!$I:$I,'Schedule 2H Adjustments'!$Y$12,Adjustments!$J:$J,'Schedule 2H Adjustments'!$A42)</f>
        <v>0</v>
      </c>
      <c r="AA42" s="310">
        <f t="shared" si="7"/>
        <v>0</v>
      </c>
    </row>
    <row r="43" spans="1:27" x14ac:dyDescent="0.35">
      <c r="A43" s="24">
        <v>29</v>
      </c>
      <c r="B43" s="513" t="str">
        <f>IF('As-Filed Schedule 2H'!B43:D43=0,"",'As-Filed Schedule 2H'!B43:D43)</f>
        <v/>
      </c>
      <c r="C43" s="513"/>
      <c r="D43" s="513"/>
      <c r="F43" s="117">
        <f>'As-Filed Schedule 2H'!F43</f>
        <v>0</v>
      </c>
      <c r="G43" s="314">
        <f>SUMIFS(Adjustments!$G:$G,Adjustments!$H:$H,"2H",Adjustments!$I:$I,'Schedule 2H Adjustments'!$F$12,Adjustments!$J:$J,'Schedule 2H Adjustments'!$A43)</f>
        <v>0</v>
      </c>
      <c r="H43" s="310">
        <f t="shared" si="0"/>
        <v>0</v>
      </c>
      <c r="I43" s="68">
        <f>IFERROR(F43*'As-Filed Schedule 1'!$E$103,0)</f>
        <v>0</v>
      </c>
      <c r="J43" s="311">
        <f>IFERROR(H43*'Adjusted Schedule 1'!$E$104,0)</f>
        <v>0</v>
      </c>
      <c r="K43" s="68">
        <f t="shared" si="1"/>
        <v>0</v>
      </c>
      <c r="L43" s="311">
        <f t="shared" si="2"/>
        <v>0</v>
      </c>
      <c r="N43" s="117">
        <f>'As-Filed Schedule 2H'!J43</f>
        <v>0</v>
      </c>
      <c r="O43" s="314">
        <f>SUMIFS(Adjustments!$G:$G,Adjustments!$H:$H,"2H",Adjustments!$I:$I,'Schedule 2H Adjustments'!$N$12,Adjustments!$J:$J,'Schedule 2H Adjustments'!$A43)</f>
        <v>0</v>
      </c>
      <c r="P43" s="310">
        <f t="shared" si="3"/>
        <v>0</v>
      </c>
      <c r="Q43" s="68">
        <f>IFERROR(N43*'As-Filed Schedule 1'!$E$103,0)</f>
        <v>0</v>
      </c>
      <c r="R43" s="68">
        <f>IFERROR(P43*'Adjusted Schedule 1'!$E$104,0)</f>
        <v>0</v>
      </c>
      <c r="S43" s="68">
        <f t="shared" si="4"/>
        <v>0</v>
      </c>
      <c r="T43" s="311">
        <f t="shared" si="5"/>
        <v>0</v>
      </c>
      <c r="V43" s="120">
        <f>'As-Filed Schedule 2H'!N43</f>
        <v>0</v>
      </c>
      <c r="W43" s="314">
        <f>SUMIFS(Adjustments!$G:$G,Adjustments!$H:$H,"2H",Adjustments!$I:$I,'Schedule 2H Adjustments'!$V$12,Adjustments!$J:$J,'Schedule 2H Adjustments'!$A43)</f>
        <v>0</v>
      </c>
      <c r="X43" s="310">
        <f t="shared" si="6"/>
        <v>0</v>
      </c>
      <c r="Y43" s="120">
        <f>'As-Filed Schedule 2H'!O43</f>
        <v>0</v>
      </c>
      <c r="Z43" s="314">
        <f>SUMIFS(Adjustments!$G:$G,Adjustments!$H:$H,"2H",Adjustments!$I:$I,'Schedule 2H Adjustments'!$Y$12,Adjustments!$J:$J,'Schedule 2H Adjustments'!$A43)</f>
        <v>0</v>
      </c>
      <c r="AA43" s="310">
        <f t="shared" si="7"/>
        <v>0</v>
      </c>
    </row>
    <row r="44" spans="1:27" x14ac:dyDescent="0.35">
      <c r="A44" s="24">
        <v>30</v>
      </c>
      <c r="B44" s="513" t="str">
        <f>IF('As-Filed Schedule 2H'!B44:D44=0,"",'As-Filed Schedule 2H'!B44:D44)</f>
        <v/>
      </c>
      <c r="C44" s="513"/>
      <c r="D44" s="513"/>
      <c r="F44" s="117">
        <f>'As-Filed Schedule 2H'!F44</f>
        <v>0</v>
      </c>
      <c r="G44" s="314">
        <f>SUMIFS(Adjustments!$G:$G,Adjustments!$H:$H,"2H",Adjustments!$I:$I,'Schedule 2H Adjustments'!$F$12,Adjustments!$J:$J,'Schedule 2H Adjustments'!$A44)</f>
        <v>0</v>
      </c>
      <c r="H44" s="310">
        <f t="shared" si="0"/>
        <v>0</v>
      </c>
      <c r="I44" s="68">
        <f>IFERROR(F44*'As-Filed Schedule 1'!$E$103,0)</f>
        <v>0</v>
      </c>
      <c r="J44" s="311">
        <f>IFERROR(H44*'Adjusted Schedule 1'!$E$104,0)</f>
        <v>0</v>
      </c>
      <c r="K44" s="68">
        <f t="shared" si="1"/>
        <v>0</v>
      </c>
      <c r="L44" s="311">
        <f t="shared" si="2"/>
        <v>0</v>
      </c>
      <c r="N44" s="117">
        <f>'As-Filed Schedule 2H'!J44</f>
        <v>0</v>
      </c>
      <c r="O44" s="314">
        <f>SUMIFS(Adjustments!$G:$G,Adjustments!$H:$H,"2H",Adjustments!$I:$I,'Schedule 2H Adjustments'!$N$12,Adjustments!$J:$J,'Schedule 2H Adjustments'!$A44)</f>
        <v>0</v>
      </c>
      <c r="P44" s="310">
        <f t="shared" si="3"/>
        <v>0</v>
      </c>
      <c r="Q44" s="68">
        <f>IFERROR(N44*'As-Filed Schedule 1'!$E$103,0)</f>
        <v>0</v>
      </c>
      <c r="R44" s="68">
        <f>IFERROR(P44*'Adjusted Schedule 1'!$E$104,0)</f>
        <v>0</v>
      </c>
      <c r="S44" s="68">
        <f t="shared" si="4"/>
        <v>0</v>
      </c>
      <c r="T44" s="311">
        <f t="shared" si="5"/>
        <v>0</v>
      </c>
      <c r="V44" s="120">
        <f>'As-Filed Schedule 2H'!N44</f>
        <v>0</v>
      </c>
      <c r="W44" s="314">
        <f>SUMIFS(Adjustments!$G:$G,Adjustments!$H:$H,"2H",Adjustments!$I:$I,'Schedule 2H Adjustments'!$V$12,Adjustments!$J:$J,'Schedule 2H Adjustments'!$A44)</f>
        <v>0</v>
      </c>
      <c r="X44" s="310">
        <f t="shared" si="6"/>
        <v>0</v>
      </c>
      <c r="Y44" s="120">
        <f>'As-Filed Schedule 2H'!O44</f>
        <v>0</v>
      </c>
      <c r="Z44" s="314">
        <f>SUMIFS(Adjustments!$G:$G,Adjustments!$H:$H,"2H",Adjustments!$I:$I,'Schedule 2H Adjustments'!$Y$12,Adjustments!$J:$J,'Schedule 2H Adjustments'!$A44)</f>
        <v>0</v>
      </c>
      <c r="AA44" s="310">
        <f t="shared" si="7"/>
        <v>0</v>
      </c>
    </row>
    <row r="45" spans="1:27" x14ac:dyDescent="0.35">
      <c r="A45" s="24">
        <v>31</v>
      </c>
      <c r="B45" s="513" t="str">
        <f>IF('As-Filed Schedule 2H'!B45:D45=0,"",'As-Filed Schedule 2H'!B45:D45)</f>
        <v/>
      </c>
      <c r="C45" s="513"/>
      <c r="D45" s="513"/>
      <c r="F45" s="117">
        <f>'As-Filed Schedule 2H'!F45</f>
        <v>0</v>
      </c>
      <c r="G45" s="314">
        <f>SUMIFS(Adjustments!$G:$G,Adjustments!$H:$H,"2H",Adjustments!$I:$I,'Schedule 2H Adjustments'!$F$12,Adjustments!$J:$J,'Schedule 2H Adjustments'!$A45)</f>
        <v>0</v>
      </c>
      <c r="H45" s="310">
        <f t="shared" si="0"/>
        <v>0</v>
      </c>
      <c r="I45" s="68">
        <f>IFERROR(F45*'As-Filed Schedule 1'!$E$103,0)</f>
        <v>0</v>
      </c>
      <c r="J45" s="311">
        <f>IFERROR(H45*'Adjusted Schedule 1'!$E$104,0)</f>
        <v>0</v>
      </c>
      <c r="K45" s="68">
        <f t="shared" si="1"/>
        <v>0</v>
      </c>
      <c r="L45" s="311">
        <f t="shared" si="2"/>
        <v>0</v>
      </c>
      <c r="N45" s="117">
        <f>'As-Filed Schedule 2H'!J45</f>
        <v>0</v>
      </c>
      <c r="O45" s="314">
        <f>SUMIFS(Adjustments!$G:$G,Adjustments!$H:$H,"2H",Adjustments!$I:$I,'Schedule 2H Adjustments'!$N$12,Adjustments!$J:$J,'Schedule 2H Adjustments'!$A45)</f>
        <v>0</v>
      </c>
      <c r="P45" s="310">
        <f t="shared" si="3"/>
        <v>0</v>
      </c>
      <c r="Q45" s="68">
        <f>IFERROR(N45*'As-Filed Schedule 1'!$E$103,0)</f>
        <v>0</v>
      </c>
      <c r="R45" s="68">
        <f>IFERROR(P45*'Adjusted Schedule 1'!$E$104,0)</f>
        <v>0</v>
      </c>
      <c r="S45" s="68">
        <f t="shared" si="4"/>
        <v>0</v>
      </c>
      <c r="T45" s="311">
        <f t="shared" si="5"/>
        <v>0</v>
      </c>
      <c r="V45" s="120">
        <f>'As-Filed Schedule 2H'!N45</f>
        <v>0</v>
      </c>
      <c r="W45" s="314">
        <f>SUMIFS(Adjustments!$G:$G,Adjustments!$H:$H,"2H",Adjustments!$I:$I,'Schedule 2H Adjustments'!$V$12,Adjustments!$J:$J,'Schedule 2H Adjustments'!$A45)</f>
        <v>0</v>
      </c>
      <c r="X45" s="310">
        <f t="shared" si="6"/>
        <v>0</v>
      </c>
      <c r="Y45" s="120">
        <f>'As-Filed Schedule 2H'!O45</f>
        <v>0</v>
      </c>
      <c r="Z45" s="314">
        <f>SUMIFS(Adjustments!$G:$G,Adjustments!$H:$H,"2H",Adjustments!$I:$I,'Schedule 2H Adjustments'!$Y$12,Adjustments!$J:$J,'Schedule 2H Adjustments'!$A45)</f>
        <v>0</v>
      </c>
      <c r="AA45" s="310">
        <f t="shared" si="7"/>
        <v>0</v>
      </c>
    </row>
    <row r="46" spans="1:27" x14ac:dyDescent="0.35">
      <c r="A46" s="24">
        <v>32</v>
      </c>
      <c r="B46" s="513" t="str">
        <f>IF('As-Filed Schedule 2H'!B46:D46=0,"",'As-Filed Schedule 2H'!B46:D46)</f>
        <v/>
      </c>
      <c r="C46" s="513"/>
      <c r="D46" s="513"/>
      <c r="F46" s="117">
        <f>'As-Filed Schedule 2H'!F46</f>
        <v>0</v>
      </c>
      <c r="G46" s="314">
        <f>SUMIFS(Adjustments!$G:$G,Adjustments!$H:$H,"2H",Adjustments!$I:$I,'Schedule 2H Adjustments'!$F$12,Adjustments!$J:$J,'Schedule 2H Adjustments'!$A46)</f>
        <v>0</v>
      </c>
      <c r="H46" s="310">
        <f t="shared" si="0"/>
        <v>0</v>
      </c>
      <c r="I46" s="68">
        <f>IFERROR(F46*'As-Filed Schedule 1'!$E$103,0)</f>
        <v>0</v>
      </c>
      <c r="J46" s="311">
        <f>IFERROR(H46*'Adjusted Schedule 1'!$E$104,0)</f>
        <v>0</v>
      </c>
      <c r="K46" s="68">
        <f t="shared" si="1"/>
        <v>0</v>
      </c>
      <c r="L46" s="311">
        <f t="shared" si="2"/>
        <v>0</v>
      </c>
      <c r="N46" s="117">
        <f>'As-Filed Schedule 2H'!J46</f>
        <v>0</v>
      </c>
      <c r="O46" s="314">
        <f>SUMIFS(Adjustments!$G:$G,Adjustments!$H:$H,"2H",Adjustments!$I:$I,'Schedule 2H Adjustments'!$N$12,Adjustments!$J:$J,'Schedule 2H Adjustments'!$A46)</f>
        <v>0</v>
      </c>
      <c r="P46" s="310">
        <f t="shared" si="3"/>
        <v>0</v>
      </c>
      <c r="Q46" s="68">
        <f>IFERROR(N46*'As-Filed Schedule 1'!$E$103,0)</f>
        <v>0</v>
      </c>
      <c r="R46" s="68">
        <f>IFERROR(P46*'Adjusted Schedule 1'!$E$104,0)</f>
        <v>0</v>
      </c>
      <c r="S46" s="68">
        <f t="shared" si="4"/>
        <v>0</v>
      </c>
      <c r="T46" s="311">
        <f t="shared" si="5"/>
        <v>0</v>
      </c>
      <c r="V46" s="120">
        <f>'As-Filed Schedule 2H'!N46</f>
        <v>0</v>
      </c>
      <c r="W46" s="314">
        <f>SUMIFS(Adjustments!$G:$G,Adjustments!$H:$H,"2H",Adjustments!$I:$I,'Schedule 2H Adjustments'!$V$12,Adjustments!$J:$J,'Schedule 2H Adjustments'!$A46)</f>
        <v>0</v>
      </c>
      <c r="X46" s="310">
        <f t="shared" si="6"/>
        <v>0</v>
      </c>
      <c r="Y46" s="120">
        <f>'As-Filed Schedule 2H'!O46</f>
        <v>0</v>
      </c>
      <c r="Z46" s="314">
        <f>SUMIFS(Adjustments!$G:$G,Adjustments!$H:$H,"2H",Adjustments!$I:$I,'Schedule 2H Adjustments'!$Y$12,Adjustments!$J:$J,'Schedule 2H Adjustments'!$A46)</f>
        <v>0</v>
      </c>
      <c r="AA46" s="310">
        <f t="shared" si="7"/>
        <v>0</v>
      </c>
    </row>
    <row r="47" spans="1:27" x14ac:dyDescent="0.35">
      <c r="A47" s="24">
        <v>33</v>
      </c>
      <c r="B47" s="513" t="str">
        <f>IF('As-Filed Schedule 2H'!B47:D47=0,"",'As-Filed Schedule 2H'!B47:D47)</f>
        <v/>
      </c>
      <c r="C47" s="513"/>
      <c r="D47" s="513"/>
      <c r="F47" s="117">
        <f>'As-Filed Schedule 2H'!F47</f>
        <v>0</v>
      </c>
      <c r="G47" s="314">
        <f>SUMIFS(Adjustments!$G:$G,Adjustments!$H:$H,"2H",Adjustments!$I:$I,'Schedule 2H Adjustments'!$F$12,Adjustments!$J:$J,'Schedule 2H Adjustments'!$A47)</f>
        <v>0</v>
      </c>
      <c r="H47" s="310">
        <f t="shared" si="0"/>
        <v>0</v>
      </c>
      <c r="I47" s="68">
        <f>IFERROR(F47*'As-Filed Schedule 1'!$E$103,0)</f>
        <v>0</v>
      </c>
      <c r="J47" s="311">
        <f>IFERROR(H47*'Adjusted Schedule 1'!$E$104,0)</f>
        <v>0</v>
      </c>
      <c r="K47" s="68">
        <f t="shared" si="1"/>
        <v>0</v>
      </c>
      <c r="L47" s="311">
        <f t="shared" si="2"/>
        <v>0</v>
      </c>
      <c r="N47" s="117">
        <f>'As-Filed Schedule 2H'!J47</f>
        <v>0</v>
      </c>
      <c r="O47" s="314">
        <f>SUMIFS(Adjustments!$G:$G,Adjustments!$H:$H,"2H",Adjustments!$I:$I,'Schedule 2H Adjustments'!$N$12,Adjustments!$J:$J,'Schedule 2H Adjustments'!$A47)</f>
        <v>0</v>
      </c>
      <c r="P47" s="310">
        <f t="shared" si="3"/>
        <v>0</v>
      </c>
      <c r="Q47" s="68">
        <f>IFERROR(N47*'As-Filed Schedule 1'!$E$103,0)</f>
        <v>0</v>
      </c>
      <c r="R47" s="68">
        <f>IFERROR(P47*'Adjusted Schedule 1'!$E$104,0)</f>
        <v>0</v>
      </c>
      <c r="S47" s="68">
        <f t="shared" si="4"/>
        <v>0</v>
      </c>
      <c r="T47" s="311">
        <f t="shared" si="5"/>
        <v>0</v>
      </c>
      <c r="V47" s="120">
        <f>'As-Filed Schedule 2H'!N47</f>
        <v>0</v>
      </c>
      <c r="W47" s="314">
        <f>SUMIFS(Adjustments!$G:$G,Adjustments!$H:$H,"2H",Adjustments!$I:$I,'Schedule 2H Adjustments'!$V$12,Adjustments!$J:$J,'Schedule 2H Adjustments'!$A47)</f>
        <v>0</v>
      </c>
      <c r="X47" s="310">
        <f t="shared" si="6"/>
        <v>0</v>
      </c>
      <c r="Y47" s="120">
        <f>'As-Filed Schedule 2H'!O47</f>
        <v>0</v>
      </c>
      <c r="Z47" s="314">
        <f>SUMIFS(Adjustments!$G:$G,Adjustments!$H:$H,"2H",Adjustments!$I:$I,'Schedule 2H Adjustments'!$Y$12,Adjustments!$J:$J,'Schedule 2H Adjustments'!$A47)</f>
        <v>0</v>
      </c>
      <c r="AA47" s="310">
        <f t="shared" si="7"/>
        <v>0</v>
      </c>
    </row>
    <row r="48" spans="1:27" x14ac:dyDescent="0.35">
      <c r="A48" s="24">
        <v>34</v>
      </c>
      <c r="B48" s="513" t="str">
        <f>IF('As-Filed Schedule 2H'!B48:D48=0,"",'As-Filed Schedule 2H'!B48:D48)</f>
        <v/>
      </c>
      <c r="C48" s="513"/>
      <c r="D48" s="513"/>
      <c r="F48" s="117">
        <f>'As-Filed Schedule 2H'!F48</f>
        <v>0</v>
      </c>
      <c r="G48" s="314">
        <f>SUMIFS(Adjustments!$G:$G,Adjustments!$H:$H,"2H",Adjustments!$I:$I,'Schedule 2H Adjustments'!$F$12,Adjustments!$J:$J,'Schedule 2H Adjustments'!$A48)</f>
        <v>0</v>
      </c>
      <c r="H48" s="310">
        <f t="shared" si="0"/>
        <v>0</v>
      </c>
      <c r="I48" s="68">
        <f>IFERROR(F48*'As-Filed Schedule 1'!$E$103,0)</f>
        <v>0</v>
      </c>
      <c r="J48" s="311">
        <f>IFERROR(H48*'Adjusted Schedule 1'!$E$104,0)</f>
        <v>0</v>
      </c>
      <c r="K48" s="68">
        <f t="shared" si="1"/>
        <v>0</v>
      </c>
      <c r="L48" s="311">
        <f t="shared" si="2"/>
        <v>0</v>
      </c>
      <c r="N48" s="117">
        <f>'As-Filed Schedule 2H'!J48</f>
        <v>0</v>
      </c>
      <c r="O48" s="314">
        <f>SUMIFS(Adjustments!$G:$G,Adjustments!$H:$H,"2H",Adjustments!$I:$I,'Schedule 2H Adjustments'!$N$12,Adjustments!$J:$J,'Schedule 2H Adjustments'!$A48)</f>
        <v>0</v>
      </c>
      <c r="P48" s="310">
        <f t="shared" si="3"/>
        <v>0</v>
      </c>
      <c r="Q48" s="68">
        <f>IFERROR(N48*'As-Filed Schedule 1'!$E$103,0)</f>
        <v>0</v>
      </c>
      <c r="R48" s="68">
        <f>IFERROR(P48*'Adjusted Schedule 1'!$E$104,0)</f>
        <v>0</v>
      </c>
      <c r="S48" s="68">
        <f t="shared" si="4"/>
        <v>0</v>
      </c>
      <c r="T48" s="311">
        <f t="shared" si="5"/>
        <v>0</v>
      </c>
      <c r="V48" s="120">
        <f>'As-Filed Schedule 2H'!N48</f>
        <v>0</v>
      </c>
      <c r="W48" s="314">
        <f>SUMIFS(Adjustments!$G:$G,Adjustments!$H:$H,"2H",Adjustments!$I:$I,'Schedule 2H Adjustments'!$V$12,Adjustments!$J:$J,'Schedule 2H Adjustments'!$A48)</f>
        <v>0</v>
      </c>
      <c r="X48" s="310">
        <f t="shared" si="6"/>
        <v>0</v>
      </c>
      <c r="Y48" s="120">
        <f>'As-Filed Schedule 2H'!O48</f>
        <v>0</v>
      </c>
      <c r="Z48" s="314">
        <f>SUMIFS(Adjustments!$G:$G,Adjustments!$H:$H,"2H",Adjustments!$I:$I,'Schedule 2H Adjustments'!$Y$12,Adjustments!$J:$J,'Schedule 2H Adjustments'!$A48)</f>
        <v>0</v>
      </c>
      <c r="AA48" s="310">
        <f t="shared" si="7"/>
        <v>0</v>
      </c>
    </row>
    <row r="49" spans="1:27" x14ac:dyDescent="0.35">
      <c r="A49" s="24">
        <v>35</v>
      </c>
      <c r="B49" s="513" t="str">
        <f>IF('As-Filed Schedule 2H'!B49:D49=0,"",'As-Filed Schedule 2H'!B49:D49)</f>
        <v/>
      </c>
      <c r="C49" s="513"/>
      <c r="D49" s="513"/>
      <c r="F49" s="117">
        <f>'As-Filed Schedule 2H'!F49</f>
        <v>0</v>
      </c>
      <c r="G49" s="314">
        <f>SUMIFS(Adjustments!$G:$G,Adjustments!$H:$H,"2H",Adjustments!$I:$I,'Schedule 2H Adjustments'!$F$12,Adjustments!$J:$J,'Schedule 2H Adjustments'!$A49)</f>
        <v>0</v>
      </c>
      <c r="H49" s="310">
        <f t="shared" si="0"/>
        <v>0</v>
      </c>
      <c r="I49" s="68">
        <f>IFERROR(F49*'As-Filed Schedule 1'!$E$103,0)</f>
        <v>0</v>
      </c>
      <c r="J49" s="311">
        <f>IFERROR(H49*'Adjusted Schedule 1'!$E$104,0)</f>
        <v>0</v>
      </c>
      <c r="K49" s="68">
        <f t="shared" si="1"/>
        <v>0</v>
      </c>
      <c r="L49" s="311">
        <f t="shared" si="2"/>
        <v>0</v>
      </c>
      <c r="N49" s="117">
        <f>'As-Filed Schedule 2H'!J49</f>
        <v>0</v>
      </c>
      <c r="O49" s="314">
        <f>SUMIFS(Adjustments!$G:$G,Adjustments!$H:$H,"2H",Adjustments!$I:$I,'Schedule 2H Adjustments'!$N$12,Adjustments!$J:$J,'Schedule 2H Adjustments'!$A49)</f>
        <v>0</v>
      </c>
      <c r="P49" s="310">
        <f t="shared" si="3"/>
        <v>0</v>
      </c>
      <c r="Q49" s="68">
        <f>IFERROR(N49*'As-Filed Schedule 1'!$E$103,0)</f>
        <v>0</v>
      </c>
      <c r="R49" s="68">
        <f>IFERROR(P49*'Adjusted Schedule 1'!$E$104,0)</f>
        <v>0</v>
      </c>
      <c r="S49" s="68">
        <f t="shared" si="4"/>
        <v>0</v>
      </c>
      <c r="T49" s="311">
        <f t="shared" si="5"/>
        <v>0</v>
      </c>
      <c r="V49" s="120">
        <f>'As-Filed Schedule 2H'!N49</f>
        <v>0</v>
      </c>
      <c r="W49" s="314">
        <f>SUMIFS(Adjustments!$G:$G,Adjustments!$H:$H,"2H",Adjustments!$I:$I,'Schedule 2H Adjustments'!$V$12,Adjustments!$J:$J,'Schedule 2H Adjustments'!$A49)</f>
        <v>0</v>
      </c>
      <c r="X49" s="310">
        <f t="shared" si="6"/>
        <v>0</v>
      </c>
      <c r="Y49" s="120">
        <f>'As-Filed Schedule 2H'!O49</f>
        <v>0</v>
      </c>
      <c r="Z49" s="314">
        <f>SUMIFS(Adjustments!$G:$G,Adjustments!$H:$H,"2H",Adjustments!$I:$I,'Schedule 2H Adjustments'!$Y$12,Adjustments!$J:$J,'Schedule 2H Adjustments'!$A49)</f>
        <v>0</v>
      </c>
      <c r="AA49" s="310">
        <f t="shared" si="7"/>
        <v>0</v>
      </c>
    </row>
    <row r="50" spans="1:27" x14ac:dyDescent="0.35">
      <c r="A50" s="24">
        <v>36</v>
      </c>
      <c r="B50" s="513" t="str">
        <f>IF('As-Filed Schedule 2H'!B50:D50=0,"",'As-Filed Schedule 2H'!B50:D50)</f>
        <v/>
      </c>
      <c r="C50" s="513"/>
      <c r="D50" s="513"/>
      <c r="F50" s="117">
        <f>'As-Filed Schedule 2H'!F50</f>
        <v>0</v>
      </c>
      <c r="G50" s="314">
        <f>SUMIFS(Adjustments!$G:$G,Adjustments!$H:$H,"2H",Adjustments!$I:$I,'Schedule 2H Adjustments'!$F$12,Adjustments!$J:$J,'Schedule 2H Adjustments'!$A50)</f>
        <v>0</v>
      </c>
      <c r="H50" s="310">
        <f t="shared" si="0"/>
        <v>0</v>
      </c>
      <c r="I50" s="68">
        <f>IFERROR(F50*'As-Filed Schedule 1'!$E$103,0)</f>
        <v>0</v>
      </c>
      <c r="J50" s="311">
        <f>IFERROR(H50*'Adjusted Schedule 1'!$E$104,0)</f>
        <v>0</v>
      </c>
      <c r="K50" s="68">
        <f t="shared" si="1"/>
        <v>0</v>
      </c>
      <c r="L50" s="311">
        <f t="shared" si="2"/>
        <v>0</v>
      </c>
      <c r="N50" s="117">
        <f>'As-Filed Schedule 2H'!J50</f>
        <v>0</v>
      </c>
      <c r="O50" s="314">
        <f>SUMIFS(Adjustments!$G:$G,Adjustments!$H:$H,"2H",Adjustments!$I:$I,'Schedule 2H Adjustments'!$N$12,Adjustments!$J:$J,'Schedule 2H Adjustments'!$A50)</f>
        <v>0</v>
      </c>
      <c r="P50" s="310">
        <f t="shared" si="3"/>
        <v>0</v>
      </c>
      <c r="Q50" s="68">
        <f>IFERROR(N50*'As-Filed Schedule 1'!$E$103,0)</f>
        <v>0</v>
      </c>
      <c r="R50" s="68">
        <f>IFERROR(P50*'Adjusted Schedule 1'!$E$104,0)</f>
        <v>0</v>
      </c>
      <c r="S50" s="68">
        <f t="shared" si="4"/>
        <v>0</v>
      </c>
      <c r="T50" s="311">
        <f t="shared" si="5"/>
        <v>0</v>
      </c>
      <c r="V50" s="120">
        <f>'As-Filed Schedule 2H'!N50</f>
        <v>0</v>
      </c>
      <c r="W50" s="314">
        <f>SUMIFS(Adjustments!$G:$G,Adjustments!$H:$H,"2H",Adjustments!$I:$I,'Schedule 2H Adjustments'!$V$12,Adjustments!$J:$J,'Schedule 2H Adjustments'!$A50)</f>
        <v>0</v>
      </c>
      <c r="X50" s="310">
        <f t="shared" si="6"/>
        <v>0</v>
      </c>
      <c r="Y50" s="120">
        <f>'As-Filed Schedule 2H'!O50</f>
        <v>0</v>
      </c>
      <c r="Z50" s="314">
        <f>SUMIFS(Adjustments!$G:$G,Adjustments!$H:$H,"2H",Adjustments!$I:$I,'Schedule 2H Adjustments'!$Y$12,Adjustments!$J:$J,'Schedule 2H Adjustments'!$A50)</f>
        <v>0</v>
      </c>
      <c r="AA50" s="310">
        <f t="shared" si="7"/>
        <v>0</v>
      </c>
    </row>
    <row r="51" spans="1:27" x14ac:dyDescent="0.35">
      <c r="A51" s="24">
        <v>37</v>
      </c>
      <c r="B51" s="513" t="str">
        <f>IF('As-Filed Schedule 2H'!B51:D51=0,"",'As-Filed Schedule 2H'!B51:D51)</f>
        <v/>
      </c>
      <c r="C51" s="513"/>
      <c r="D51" s="513"/>
      <c r="F51" s="117">
        <f>'As-Filed Schedule 2H'!F51</f>
        <v>0</v>
      </c>
      <c r="G51" s="314">
        <f>SUMIFS(Adjustments!$G:$G,Adjustments!$H:$H,"2H",Adjustments!$I:$I,'Schedule 2H Adjustments'!$F$12,Adjustments!$J:$J,'Schedule 2H Adjustments'!$A51)</f>
        <v>0</v>
      </c>
      <c r="H51" s="310">
        <f t="shared" si="0"/>
        <v>0</v>
      </c>
      <c r="I51" s="68">
        <f>IFERROR(F51*'As-Filed Schedule 1'!$E$103,0)</f>
        <v>0</v>
      </c>
      <c r="J51" s="311">
        <f>IFERROR(H51*'Adjusted Schedule 1'!$E$104,0)</f>
        <v>0</v>
      </c>
      <c r="K51" s="68">
        <f t="shared" si="1"/>
        <v>0</v>
      </c>
      <c r="L51" s="311">
        <f t="shared" si="2"/>
        <v>0</v>
      </c>
      <c r="N51" s="117">
        <f>'As-Filed Schedule 2H'!J51</f>
        <v>0</v>
      </c>
      <c r="O51" s="314">
        <f>SUMIFS(Adjustments!$G:$G,Adjustments!$H:$H,"2H",Adjustments!$I:$I,'Schedule 2H Adjustments'!$N$12,Adjustments!$J:$J,'Schedule 2H Adjustments'!$A51)</f>
        <v>0</v>
      </c>
      <c r="P51" s="310">
        <f t="shared" si="3"/>
        <v>0</v>
      </c>
      <c r="Q51" s="68">
        <f>IFERROR(N51*'As-Filed Schedule 1'!$E$103,0)</f>
        <v>0</v>
      </c>
      <c r="R51" s="68">
        <f>IFERROR(P51*'Adjusted Schedule 1'!$E$104,0)</f>
        <v>0</v>
      </c>
      <c r="S51" s="68">
        <f t="shared" si="4"/>
        <v>0</v>
      </c>
      <c r="T51" s="311">
        <f t="shared" si="5"/>
        <v>0</v>
      </c>
      <c r="V51" s="120">
        <f>'As-Filed Schedule 2H'!N51</f>
        <v>0</v>
      </c>
      <c r="W51" s="314">
        <f>SUMIFS(Adjustments!$G:$G,Adjustments!$H:$H,"2H",Adjustments!$I:$I,'Schedule 2H Adjustments'!$V$12,Adjustments!$J:$J,'Schedule 2H Adjustments'!$A51)</f>
        <v>0</v>
      </c>
      <c r="X51" s="310">
        <f t="shared" si="6"/>
        <v>0</v>
      </c>
      <c r="Y51" s="120">
        <f>'As-Filed Schedule 2H'!O51</f>
        <v>0</v>
      </c>
      <c r="Z51" s="314">
        <f>SUMIFS(Adjustments!$G:$G,Adjustments!$H:$H,"2H",Adjustments!$I:$I,'Schedule 2H Adjustments'!$Y$12,Adjustments!$J:$J,'Schedule 2H Adjustments'!$A51)</f>
        <v>0</v>
      </c>
      <c r="AA51" s="310">
        <f t="shared" si="7"/>
        <v>0</v>
      </c>
    </row>
    <row r="52" spans="1:27" x14ac:dyDescent="0.35">
      <c r="A52" s="24">
        <v>38</v>
      </c>
      <c r="B52" s="513" t="str">
        <f>IF('As-Filed Schedule 2H'!B52:D52=0,"",'As-Filed Schedule 2H'!B52:D52)</f>
        <v/>
      </c>
      <c r="C52" s="513"/>
      <c r="D52" s="513"/>
      <c r="F52" s="117">
        <f>'As-Filed Schedule 2H'!F52</f>
        <v>0</v>
      </c>
      <c r="G52" s="314">
        <f>SUMIFS(Adjustments!$G:$G,Adjustments!$H:$H,"2H",Adjustments!$I:$I,'Schedule 2H Adjustments'!$F$12,Adjustments!$J:$J,'Schedule 2H Adjustments'!$A52)</f>
        <v>0</v>
      </c>
      <c r="H52" s="310">
        <f t="shared" si="0"/>
        <v>0</v>
      </c>
      <c r="I52" s="68">
        <f>IFERROR(F52*'As-Filed Schedule 1'!$E$103,0)</f>
        <v>0</v>
      </c>
      <c r="J52" s="311">
        <f>IFERROR(H52*'Adjusted Schedule 1'!$E$104,0)</f>
        <v>0</v>
      </c>
      <c r="K52" s="68">
        <f t="shared" si="1"/>
        <v>0</v>
      </c>
      <c r="L52" s="311">
        <f t="shared" si="2"/>
        <v>0</v>
      </c>
      <c r="N52" s="117">
        <f>'As-Filed Schedule 2H'!J52</f>
        <v>0</v>
      </c>
      <c r="O52" s="314">
        <f>SUMIFS(Adjustments!$G:$G,Adjustments!$H:$H,"2H",Adjustments!$I:$I,'Schedule 2H Adjustments'!$N$12,Adjustments!$J:$J,'Schedule 2H Adjustments'!$A52)</f>
        <v>0</v>
      </c>
      <c r="P52" s="310">
        <f t="shared" si="3"/>
        <v>0</v>
      </c>
      <c r="Q52" s="68">
        <f>IFERROR(N52*'As-Filed Schedule 1'!$E$103,0)</f>
        <v>0</v>
      </c>
      <c r="R52" s="68">
        <f>IFERROR(P52*'Adjusted Schedule 1'!$E$104,0)</f>
        <v>0</v>
      </c>
      <c r="S52" s="68">
        <f t="shared" si="4"/>
        <v>0</v>
      </c>
      <c r="T52" s="311">
        <f t="shared" si="5"/>
        <v>0</v>
      </c>
      <c r="V52" s="120">
        <f>'As-Filed Schedule 2H'!N52</f>
        <v>0</v>
      </c>
      <c r="W52" s="314">
        <f>SUMIFS(Adjustments!$G:$G,Adjustments!$H:$H,"2H",Adjustments!$I:$I,'Schedule 2H Adjustments'!$V$12,Adjustments!$J:$J,'Schedule 2H Adjustments'!$A52)</f>
        <v>0</v>
      </c>
      <c r="X52" s="310">
        <f t="shared" si="6"/>
        <v>0</v>
      </c>
      <c r="Y52" s="120">
        <f>'As-Filed Schedule 2H'!O52</f>
        <v>0</v>
      </c>
      <c r="Z52" s="314">
        <f>SUMIFS(Adjustments!$G:$G,Adjustments!$H:$H,"2H",Adjustments!$I:$I,'Schedule 2H Adjustments'!$Y$12,Adjustments!$J:$J,'Schedule 2H Adjustments'!$A52)</f>
        <v>0</v>
      </c>
      <c r="AA52" s="310">
        <f t="shared" si="7"/>
        <v>0</v>
      </c>
    </row>
    <row r="53" spans="1:27" x14ac:dyDescent="0.35">
      <c r="A53" s="24">
        <v>39</v>
      </c>
      <c r="B53" s="513" t="str">
        <f>IF('As-Filed Schedule 2H'!B53:D53=0,"",'As-Filed Schedule 2H'!B53:D53)</f>
        <v/>
      </c>
      <c r="C53" s="513"/>
      <c r="D53" s="513"/>
      <c r="F53" s="117">
        <f>'As-Filed Schedule 2H'!F53</f>
        <v>0</v>
      </c>
      <c r="G53" s="314">
        <f>SUMIFS(Adjustments!$G:$G,Adjustments!$H:$H,"2H",Adjustments!$I:$I,'Schedule 2H Adjustments'!$F$12,Adjustments!$J:$J,'Schedule 2H Adjustments'!$A53)</f>
        <v>0</v>
      </c>
      <c r="H53" s="310">
        <f t="shared" si="0"/>
        <v>0</v>
      </c>
      <c r="I53" s="68">
        <f>IFERROR(F53*'As-Filed Schedule 1'!$E$103,0)</f>
        <v>0</v>
      </c>
      <c r="J53" s="311">
        <f>IFERROR(H53*'Adjusted Schedule 1'!$E$104,0)</f>
        <v>0</v>
      </c>
      <c r="K53" s="68">
        <f t="shared" si="1"/>
        <v>0</v>
      </c>
      <c r="L53" s="311">
        <f t="shared" si="2"/>
        <v>0</v>
      </c>
      <c r="N53" s="117">
        <f>'As-Filed Schedule 2H'!J53</f>
        <v>0</v>
      </c>
      <c r="O53" s="314">
        <f>SUMIFS(Adjustments!$G:$G,Adjustments!$H:$H,"2H",Adjustments!$I:$I,'Schedule 2H Adjustments'!$N$12,Adjustments!$J:$J,'Schedule 2H Adjustments'!$A53)</f>
        <v>0</v>
      </c>
      <c r="P53" s="310">
        <f t="shared" si="3"/>
        <v>0</v>
      </c>
      <c r="Q53" s="68">
        <f>IFERROR(N53*'As-Filed Schedule 1'!$E$103,0)</f>
        <v>0</v>
      </c>
      <c r="R53" s="68">
        <f>IFERROR(P53*'Adjusted Schedule 1'!$E$104,0)</f>
        <v>0</v>
      </c>
      <c r="S53" s="68">
        <f t="shared" si="4"/>
        <v>0</v>
      </c>
      <c r="T53" s="311">
        <f t="shared" si="5"/>
        <v>0</v>
      </c>
      <c r="V53" s="120">
        <f>'As-Filed Schedule 2H'!N53</f>
        <v>0</v>
      </c>
      <c r="W53" s="314">
        <f>SUMIFS(Adjustments!$G:$G,Adjustments!$H:$H,"2H",Adjustments!$I:$I,'Schedule 2H Adjustments'!$V$12,Adjustments!$J:$J,'Schedule 2H Adjustments'!$A53)</f>
        <v>0</v>
      </c>
      <c r="X53" s="310">
        <f t="shared" si="6"/>
        <v>0</v>
      </c>
      <c r="Y53" s="120">
        <f>'As-Filed Schedule 2H'!O53</f>
        <v>0</v>
      </c>
      <c r="Z53" s="314">
        <f>SUMIFS(Adjustments!$G:$G,Adjustments!$H:$H,"2H",Adjustments!$I:$I,'Schedule 2H Adjustments'!$Y$12,Adjustments!$J:$J,'Schedule 2H Adjustments'!$A53)</f>
        <v>0</v>
      </c>
      <c r="AA53" s="310">
        <f t="shared" si="7"/>
        <v>0</v>
      </c>
    </row>
    <row r="54" spans="1:27" x14ac:dyDescent="0.35">
      <c r="A54" s="24">
        <v>40</v>
      </c>
      <c r="B54" s="513" t="str">
        <f>IF('As-Filed Schedule 2H'!B54:D54=0,"",'As-Filed Schedule 2H'!B54:D54)</f>
        <v/>
      </c>
      <c r="C54" s="513"/>
      <c r="D54" s="513"/>
      <c r="F54" s="117">
        <f>'As-Filed Schedule 2H'!F54</f>
        <v>0</v>
      </c>
      <c r="G54" s="314">
        <f>SUMIFS(Adjustments!$G:$G,Adjustments!$H:$H,"2H",Adjustments!$I:$I,'Schedule 2H Adjustments'!$F$12,Adjustments!$J:$J,'Schedule 2H Adjustments'!$A54)</f>
        <v>0</v>
      </c>
      <c r="H54" s="310">
        <f t="shared" si="0"/>
        <v>0</v>
      </c>
      <c r="I54" s="68">
        <f>IFERROR(F54*'As-Filed Schedule 1'!$E$103,0)</f>
        <v>0</v>
      </c>
      <c r="J54" s="311">
        <f>IFERROR(H54*'Adjusted Schedule 1'!$E$104,0)</f>
        <v>0</v>
      </c>
      <c r="K54" s="68">
        <f t="shared" si="1"/>
        <v>0</v>
      </c>
      <c r="L54" s="311">
        <f t="shared" si="2"/>
        <v>0</v>
      </c>
      <c r="N54" s="117">
        <f>'As-Filed Schedule 2H'!J54</f>
        <v>0</v>
      </c>
      <c r="O54" s="314">
        <f>SUMIFS(Adjustments!$G:$G,Adjustments!$H:$H,"2H",Adjustments!$I:$I,'Schedule 2H Adjustments'!$N$12,Adjustments!$J:$J,'Schedule 2H Adjustments'!$A54)</f>
        <v>0</v>
      </c>
      <c r="P54" s="310">
        <f t="shared" si="3"/>
        <v>0</v>
      </c>
      <c r="Q54" s="68">
        <f>IFERROR(N54*'As-Filed Schedule 1'!$E$103,0)</f>
        <v>0</v>
      </c>
      <c r="R54" s="68">
        <f>IFERROR(P54*'Adjusted Schedule 1'!$E$104,0)</f>
        <v>0</v>
      </c>
      <c r="S54" s="68">
        <f t="shared" si="4"/>
        <v>0</v>
      </c>
      <c r="T54" s="311">
        <f t="shared" si="5"/>
        <v>0</v>
      </c>
      <c r="V54" s="120">
        <f>'As-Filed Schedule 2H'!N54</f>
        <v>0</v>
      </c>
      <c r="W54" s="314">
        <f>SUMIFS(Adjustments!$G:$G,Adjustments!$H:$H,"2H",Adjustments!$I:$I,'Schedule 2H Adjustments'!$V$12,Adjustments!$J:$J,'Schedule 2H Adjustments'!$A54)</f>
        <v>0</v>
      </c>
      <c r="X54" s="310">
        <f t="shared" si="6"/>
        <v>0</v>
      </c>
      <c r="Y54" s="120">
        <f>'As-Filed Schedule 2H'!O54</f>
        <v>0</v>
      </c>
      <c r="Z54" s="314">
        <f>SUMIFS(Adjustments!$G:$G,Adjustments!$H:$H,"2H",Adjustments!$I:$I,'Schedule 2H Adjustments'!$Y$12,Adjustments!$J:$J,'Schedule 2H Adjustments'!$A54)</f>
        <v>0</v>
      </c>
      <c r="AA54" s="310">
        <f t="shared" si="7"/>
        <v>0</v>
      </c>
    </row>
    <row r="55" spans="1:27" x14ac:dyDescent="0.35">
      <c r="A55" s="24">
        <v>41</v>
      </c>
      <c r="B55" s="513" t="str">
        <f>IF('As-Filed Schedule 2H'!B55:D55=0,"",'As-Filed Schedule 2H'!B55:D55)</f>
        <v/>
      </c>
      <c r="C55" s="513"/>
      <c r="D55" s="513"/>
      <c r="F55" s="117">
        <f>'As-Filed Schedule 2H'!F55</f>
        <v>0</v>
      </c>
      <c r="G55" s="314">
        <f>SUMIFS(Adjustments!$G:$G,Adjustments!$H:$H,"2H",Adjustments!$I:$I,'Schedule 2H Adjustments'!$F$12,Adjustments!$J:$J,'Schedule 2H Adjustments'!$A55)</f>
        <v>0</v>
      </c>
      <c r="H55" s="310">
        <f t="shared" si="0"/>
        <v>0</v>
      </c>
      <c r="I55" s="68">
        <f>IFERROR(F55*'As-Filed Schedule 1'!$E$103,0)</f>
        <v>0</v>
      </c>
      <c r="J55" s="311">
        <f>IFERROR(H55*'Adjusted Schedule 1'!$E$104,0)</f>
        <v>0</v>
      </c>
      <c r="K55" s="68">
        <f t="shared" si="1"/>
        <v>0</v>
      </c>
      <c r="L55" s="311">
        <f t="shared" si="2"/>
        <v>0</v>
      </c>
      <c r="N55" s="117">
        <f>'As-Filed Schedule 2H'!J55</f>
        <v>0</v>
      </c>
      <c r="O55" s="314">
        <f>SUMIFS(Adjustments!$G:$G,Adjustments!$H:$H,"2H",Adjustments!$I:$I,'Schedule 2H Adjustments'!$N$12,Adjustments!$J:$J,'Schedule 2H Adjustments'!$A55)</f>
        <v>0</v>
      </c>
      <c r="P55" s="310">
        <f t="shared" si="3"/>
        <v>0</v>
      </c>
      <c r="Q55" s="68">
        <f>IFERROR(N55*'As-Filed Schedule 1'!$E$103,0)</f>
        <v>0</v>
      </c>
      <c r="R55" s="68">
        <f>IFERROR(P55*'Adjusted Schedule 1'!$E$104,0)</f>
        <v>0</v>
      </c>
      <c r="S55" s="68">
        <f t="shared" si="4"/>
        <v>0</v>
      </c>
      <c r="T55" s="311">
        <f t="shared" si="5"/>
        <v>0</v>
      </c>
      <c r="V55" s="120">
        <f>'As-Filed Schedule 2H'!N55</f>
        <v>0</v>
      </c>
      <c r="W55" s="314">
        <f>SUMIFS(Adjustments!$G:$G,Adjustments!$H:$H,"2H",Adjustments!$I:$I,'Schedule 2H Adjustments'!$V$12,Adjustments!$J:$J,'Schedule 2H Adjustments'!$A55)</f>
        <v>0</v>
      </c>
      <c r="X55" s="310">
        <f t="shared" si="6"/>
        <v>0</v>
      </c>
      <c r="Y55" s="120">
        <f>'As-Filed Schedule 2H'!O55</f>
        <v>0</v>
      </c>
      <c r="Z55" s="314">
        <f>SUMIFS(Adjustments!$G:$G,Adjustments!$H:$H,"2H",Adjustments!$I:$I,'Schedule 2H Adjustments'!$Y$12,Adjustments!$J:$J,'Schedule 2H Adjustments'!$A55)</f>
        <v>0</v>
      </c>
      <c r="AA55" s="310">
        <f t="shared" si="7"/>
        <v>0</v>
      </c>
    </row>
    <row r="56" spans="1:27" x14ac:dyDescent="0.35">
      <c r="A56" s="24">
        <v>42</v>
      </c>
      <c r="B56" s="513" t="str">
        <f>IF('As-Filed Schedule 2H'!B56:D56=0,"",'As-Filed Schedule 2H'!B56:D56)</f>
        <v/>
      </c>
      <c r="C56" s="513"/>
      <c r="D56" s="513"/>
      <c r="F56" s="117">
        <f>'As-Filed Schedule 2H'!F56</f>
        <v>0</v>
      </c>
      <c r="G56" s="314">
        <f>SUMIFS(Adjustments!$G:$G,Adjustments!$H:$H,"2H",Adjustments!$I:$I,'Schedule 2H Adjustments'!$F$12,Adjustments!$J:$J,'Schedule 2H Adjustments'!$A56)</f>
        <v>0</v>
      </c>
      <c r="H56" s="310">
        <f t="shared" si="0"/>
        <v>0</v>
      </c>
      <c r="I56" s="68">
        <f>IFERROR(F56*'As-Filed Schedule 1'!$E$103,0)</f>
        <v>0</v>
      </c>
      <c r="J56" s="311">
        <f>IFERROR(H56*'Adjusted Schedule 1'!$E$104,0)</f>
        <v>0</v>
      </c>
      <c r="K56" s="68">
        <f t="shared" si="1"/>
        <v>0</v>
      </c>
      <c r="L56" s="311">
        <f t="shared" si="2"/>
        <v>0</v>
      </c>
      <c r="N56" s="117">
        <f>'As-Filed Schedule 2H'!J56</f>
        <v>0</v>
      </c>
      <c r="O56" s="314">
        <f>SUMIFS(Adjustments!$G:$G,Adjustments!$H:$H,"2H",Adjustments!$I:$I,'Schedule 2H Adjustments'!$N$12,Adjustments!$J:$J,'Schedule 2H Adjustments'!$A56)</f>
        <v>0</v>
      </c>
      <c r="P56" s="310">
        <f t="shared" si="3"/>
        <v>0</v>
      </c>
      <c r="Q56" s="68">
        <f>IFERROR(N56*'As-Filed Schedule 1'!$E$103,0)</f>
        <v>0</v>
      </c>
      <c r="R56" s="68">
        <f>IFERROR(P56*'Adjusted Schedule 1'!$E$104,0)</f>
        <v>0</v>
      </c>
      <c r="S56" s="68">
        <f t="shared" si="4"/>
        <v>0</v>
      </c>
      <c r="T56" s="311">
        <f t="shared" si="5"/>
        <v>0</v>
      </c>
      <c r="V56" s="120">
        <f>'As-Filed Schedule 2H'!N56</f>
        <v>0</v>
      </c>
      <c r="W56" s="314">
        <f>SUMIFS(Adjustments!$G:$G,Adjustments!$H:$H,"2H",Adjustments!$I:$I,'Schedule 2H Adjustments'!$V$12,Adjustments!$J:$J,'Schedule 2H Adjustments'!$A56)</f>
        <v>0</v>
      </c>
      <c r="X56" s="310">
        <f t="shared" si="6"/>
        <v>0</v>
      </c>
      <c r="Y56" s="120">
        <f>'As-Filed Schedule 2H'!O56</f>
        <v>0</v>
      </c>
      <c r="Z56" s="314">
        <f>SUMIFS(Adjustments!$G:$G,Adjustments!$H:$H,"2H",Adjustments!$I:$I,'Schedule 2H Adjustments'!$Y$12,Adjustments!$J:$J,'Schedule 2H Adjustments'!$A56)</f>
        <v>0</v>
      </c>
      <c r="AA56" s="310">
        <f t="shared" si="7"/>
        <v>0</v>
      </c>
    </row>
    <row r="57" spans="1:27" x14ac:dyDescent="0.35">
      <c r="A57" s="24">
        <v>43</v>
      </c>
      <c r="B57" s="513" t="str">
        <f>IF('As-Filed Schedule 2H'!B57:D57=0,"",'As-Filed Schedule 2H'!B57:D57)</f>
        <v/>
      </c>
      <c r="C57" s="513"/>
      <c r="D57" s="513"/>
      <c r="F57" s="117">
        <f>'As-Filed Schedule 2H'!F57</f>
        <v>0</v>
      </c>
      <c r="G57" s="314">
        <f>SUMIFS(Adjustments!$G:$G,Adjustments!$H:$H,"2H",Adjustments!$I:$I,'Schedule 2H Adjustments'!$F$12,Adjustments!$J:$J,'Schedule 2H Adjustments'!$A57)</f>
        <v>0</v>
      </c>
      <c r="H57" s="310">
        <f t="shared" si="0"/>
        <v>0</v>
      </c>
      <c r="I57" s="68">
        <f>IFERROR(F57*'As-Filed Schedule 1'!$E$103,0)</f>
        <v>0</v>
      </c>
      <c r="J57" s="311">
        <f>IFERROR(H57*'Adjusted Schedule 1'!$E$104,0)</f>
        <v>0</v>
      </c>
      <c r="K57" s="68">
        <f t="shared" si="1"/>
        <v>0</v>
      </c>
      <c r="L57" s="311">
        <f t="shared" si="2"/>
        <v>0</v>
      </c>
      <c r="N57" s="117">
        <f>'As-Filed Schedule 2H'!J57</f>
        <v>0</v>
      </c>
      <c r="O57" s="314">
        <f>SUMIFS(Adjustments!$G:$G,Adjustments!$H:$H,"2H",Adjustments!$I:$I,'Schedule 2H Adjustments'!$N$12,Adjustments!$J:$J,'Schedule 2H Adjustments'!$A57)</f>
        <v>0</v>
      </c>
      <c r="P57" s="310">
        <f t="shared" si="3"/>
        <v>0</v>
      </c>
      <c r="Q57" s="68">
        <f>IFERROR(N57*'As-Filed Schedule 1'!$E$103,0)</f>
        <v>0</v>
      </c>
      <c r="R57" s="68">
        <f>IFERROR(P57*'Adjusted Schedule 1'!$E$104,0)</f>
        <v>0</v>
      </c>
      <c r="S57" s="68">
        <f t="shared" si="4"/>
        <v>0</v>
      </c>
      <c r="T57" s="311">
        <f t="shared" si="5"/>
        <v>0</v>
      </c>
      <c r="V57" s="120">
        <f>'As-Filed Schedule 2H'!N57</f>
        <v>0</v>
      </c>
      <c r="W57" s="314">
        <f>SUMIFS(Adjustments!$G:$G,Adjustments!$H:$H,"2H",Adjustments!$I:$I,'Schedule 2H Adjustments'!$V$12,Adjustments!$J:$J,'Schedule 2H Adjustments'!$A57)</f>
        <v>0</v>
      </c>
      <c r="X57" s="310">
        <f t="shared" si="6"/>
        <v>0</v>
      </c>
      <c r="Y57" s="120">
        <f>'As-Filed Schedule 2H'!O57</f>
        <v>0</v>
      </c>
      <c r="Z57" s="314">
        <f>SUMIFS(Adjustments!$G:$G,Adjustments!$H:$H,"2H",Adjustments!$I:$I,'Schedule 2H Adjustments'!$Y$12,Adjustments!$J:$J,'Schedule 2H Adjustments'!$A57)</f>
        <v>0</v>
      </c>
      <c r="AA57" s="310">
        <f t="shared" si="7"/>
        <v>0</v>
      </c>
    </row>
    <row r="58" spans="1:27" x14ac:dyDescent="0.35">
      <c r="A58" s="24">
        <v>44</v>
      </c>
      <c r="B58" s="513" t="str">
        <f>IF('As-Filed Schedule 2H'!B58:D58=0,"",'As-Filed Schedule 2H'!B58:D58)</f>
        <v/>
      </c>
      <c r="C58" s="513"/>
      <c r="D58" s="513"/>
      <c r="F58" s="117">
        <f>'As-Filed Schedule 2H'!F58</f>
        <v>0</v>
      </c>
      <c r="G58" s="314">
        <f>SUMIFS(Adjustments!$G:$G,Adjustments!$H:$H,"2H",Adjustments!$I:$I,'Schedule 2H Adjustments'!$F$12,Adjustments!$J:$J,'Schedule 2H Adjustments'!$A58)</f>
        <v>0</v>
      </c>
      <c r="H58" s="310">
        <f t="shared" si="0"/>
        <v>0</v>
      </c>
      <c r="I58" s="68">
        <f>IFERROR(F58*'As-Filed Schedule 1'!$E$103,0)</f>
        <v>0</v>
      </c>
      <c r="J58" s="311">
        <f>IFERROR(H58*'Adjusted Schedule 1'!$E$104,0)</f>
        <v>0</v>
      </c>
      <c r="K58" s="68">
        <f t="shared" si="1"/>
        <v>0</v>
      </c>
      <c r="L58" s="311">
        <f t="shared" si="2"/>
        <v>0</v>
      </c>
      <c r="N58" s="117">
        <f>'As-Filed Schedule 2H'!J58</f>
        <v>0</v>
      </c>
      <c r="O58" s="314">
        <f>SUMIFS(Adjustments!$G:$G,Adjustments!$H:$H,"2H",Adjustments!$I:$I,'Schedule 2H Adjustments'!$N$12,Adjustments!$J:$J,'Schedule 2H Adjustments'!$A58)</f>
        <v>0</v>
      </c>
      <c r="P58" s="310">
        <f t="shared" si="3"/>
        <v>0</v>
      </c>
      <c r="Q58" s="68">
        <f>IFERROR(N58*'As-Filed Schedule 1'!$E$103,0)</f>
        <v>0</v>
      </c>
      <c r="R58" s="68">
        <f>IFERROR(P58*'Adjusted Schedule 1'!$E$104,0)</f>
        <v>0</v>
      </c>
      <c r="S58" s="68">
        <f t="shared" si="4"/>
        <v>0</v>
      </c>
      <c r="T58" s="311">
        <f t="shared" si="5"/>
        <v>0</v>
      </c>
      <c r="V58" s="120">
        <f>'As-Filed Schedule 2H'!N58</f>
        <v>0</v>
      </c>
      <c r="W58" s="314">
        <f>SUMIFS(Adjustments!$G:$G,Adjustments!$H:$H,"2H",Adjustments!$I:$I,'Schedule 2H Adjustments'!$V$12,Adjustments!$J:$J,'Schedule 2H Adjustments'!$A58)</f>
        <v>0</v>
      </c>
      <c r="X58" s="310">
        <f t="shared" si="6"/>
        <v>0</v>
      </c>
      <c r="Y58" s="120">
        <f>'As-Filed Schedule 2H'!O58</f>
        <v>0</v>
      </c>
      <c r="Z58" s="314">
        <f>SUMIFS(Adjustments!$G:$G,Adjustments!$H:$H,"2H",Adjustments!$I:$I,'Schedule 2H Adjustments'!$Y$12,Adjustments!$J:$J,'Schedule 2H Adjustments'!$A58)</f>
        <v>0</v>
      </c>
      <c r="AA58" s="310">
        <f t="shared" si="7"/>
        <v>0</v>
      </c>
    </row>
    <row r="59" spans="1:27" x14ac:dyDescent="0.35">
      <c r="A59" s="24">
        <v>45</v>
      </c>
      <c r="B59" s="513" t="str">
        <f>IF('As-Filed Schedule 2H'!B59:D59=0,"",'As-Filed Schedule 2H'!B59:D59)</f>
        <v/>
      </c>
      <c r="C59" s="513"/>
      <c r="D59" s="513"/>
      <c r="F59" s="117">
        <f>'As-Filed Schedule 2H'!F59</f>
        <v>0</v>
      </c>
      <c r="G59" s="314">
        <f>SUMIFS(Adjustments!$G:$G,Adjustments!$H:$H,"2H",Adjustments!$I:$I,'Schedule 2H Adjustments'!$F$12,Adjustments!$J:$J,'Schedule 2H Adjustments'!$A59)</f>
        <v>0</v>
      </c>
      <c r="H59" s="310">
        <f t="shared" si="0"/>
        <v>0</v>
      </c>
      <c r="I59" s="68">
        <f>IFERROR(F59*'As-Filed Schedule 1'!$E$103,0)</f>
        <v>0</v>
      </c>
      <c r="J59" s="311">
        <f>IFERROR(H59*'Adjusted Schedule 1'!$E$104,0)</f>
        <v>0</v>
      </c>
      <c r="K59" s="68">
        <f t="shared" si="1"/>
        <v>0</v>
      </c>
      <c r="L59" s="311">
        <f t="shared" si="2"/>
        <v>0</v>
      </c>
      <c r="N59" s="117">
        <f>'As-Filed Schedule 2H'!J59</f>
        <v>0</v>
      </c>
      <c r="O59" s="314">
        <f>SUMIFS(Adjustments!$G:$G,Adjustments!$H:$H,"2H",Adjustments!$I:$I,'Schedule 2H Adjustments'!$N$12,Adjustments!$J:$J,'Schedule 2H Adjustments'!$A59)</f>
        <v>0</v>
      </c>
      <c r="P59" s="310">
        <f t="shared" si="3"/>
        <v>0</v>
      </c>
      <c r="Q59" s="68">
        <f>IFERROR(N59*'As-Filed Schedule 1'!$E$103,0)</f>
        <v>0</v>
      </c>
      <c r="R59" s="68">
        <f>IFERROR(P59*'Adjusted Schedule 1'!$E$104,0)</f>
        <v>0</v>
      </c>
      <c r="S59" s="68">
        <f t="shared" si="4"/>
        <v>0</v>
      </c>
      <c r="T59" s="311">
        <f t="shared" si="5"/>
        <v>0</v>
      </c>
      <c r="V59" s="120">
        <f>'As-Filed Schedule 2H'!N59</f>
        <v>0</v>
      </c>
      <c r="W59" s="314">
        <f>SUMIFS(Adjustments!$G:$G,Adjustments!$H:$H,"2H",Adjustments!$I:$I,'Schedule 2H Adjustments'!$V$12,Adjustments!$J:$J,'Schedule 2H Adjustments'!$A59)</f>
        <v>0</v>
      </c>
      <c r="X59" s="310">
        <f t="shared" si="6"/>
        <v>0</v>
      </c>
      <c r="Y59" s="120">
        <f>'As-Filed Schedule 2H'!O59</f>
        <v>0</v>
      </c>
      <c r="Z59" s="314">
        <f>SUMIFS(Adjustments!$G:$G,Adjustments!$H:$H,"2H",Adjustments!$I:$I,'Schedule 2H Adjustments'!$Y$12,Adjustments!$J:$J,'Schedule 2H Adjustments'!$A59)</f>
        <v>0</v>
      </c>
      <c r="AA59" s="310">
        <f t="shared" si="7"/>
        <v>0</v>
      </c>
    </row>
    <row r="60" spans="1:27" x14ac:dyDescent="0.35">
      <c r="A60" s="24">
        <v>46</v>
      </c>
      <c r="B60" s="513" t="str">
        <f>IF('As-Filed Schedule 2H'!B60:D60=0,"",'As-Filed Schedule 2H'!B60:D60)</f>
        <v/>
      </c>
      <c r="C60" s="513"/>
      <c r="D60" s="513"/>
      <c r="F60" s="117">
        <f>'As-Filed Schedule 2H'!F60</f>
        <v>0</v>
      </c>
      <c r="G60" s="314">
        <f>SUMIFS(Adjustments!$G:$G,Adjustments!$H:$H,"2H",Adjustments!$I:$I,'Schedule 2H Adjustments'!$F$12,Adjustments!$J:$J,'Schedule 2H Adjustments'!$A60)</f>
        <v>0</v>
      </c>
      <c r="H60" s="310">
        <f t="shared" si="0"/>
        <v>0</v>
      </c>
      <c r="I60" s="68">
        <f>IFERROR(F60*'As-Filed Schedule 1'!$E$103,0)</f>
        <v>0</v>
      </c>
      <c r="J60" s="311">
        <f>IFERROR(H60*'Adjusted Schedule 1'!$E$104,0)</f>
        <v>0</v>
      </c>
      <c r="K60" s="68">
        <f t="shared" si="1"/>
        <v>0</v>
      </c>
      <c r="L60" s="311">
        <f t="shared" si="2"/>
        <v>0</v>
      </c>
      <c r="N60" s="117">
        <f>'As-Filed Schedule 2H'!J60</f>
        <v>0</v>
      </c>
      <c r="O60" s="314">
        <f>SUMIFS(Adjustments!$G:$G,Adjustments!$H:$H,"2H",Adjustments!$I:$I,'Schedule 2H Adjustments'!$N$12,Adjustments!$J:$J,'Schedule 2H Adjustments'!$A60)</f>
        <v>0</v>
      </c>
      <c r="P60" s="310">
        <f t="shared" si="3"/>
        <v>0</v>
      </c>
      <c r="Q60" s="68">
        <f>IFERROR(N60*'As-Filed Schedule 1'!$E$103,0)</f>
        <v>0</v>
      </c>
      <c r="R60" s="68">
        <f>IFERROR(P60*'Adjusted Schedule 1'!$E$104,0)</f>
        <v>0</v>
      </c>
      <c r="S60" s="68">
        <f t="shared" si="4"/>
        <v>0</v>
      </c>
      <c r="T60" s="311">
        <f t="shared" si="5"/>
        <v>0</v>
      </c>
      <c r="V60" s="120">
        <f>'As-Filed Schedule 2H'!N60</f>
        <v>0</v>
      </c>
      <c r="W60" s="314">
        <f>SUMIFS(Adjustments!$G:$G,Adjustments!$H:$H,"2H",Adjustments!$I:$I,'Schedule 2H Adjustments'!$V$12,Adjustments!$J:$J,'Schedule 2H Adjustments'!$A60)</f>
        <v>0</v>
      </c>
      <c r="X60" s="310">
        <f t="shared" si="6"/>
        <v>0</v>
      </c>
      <c r="Y60" s="120">
        <f>'As-Filed Schedule 2H'!O60</f>
        <v>0</v>
      </c>
      <c r="Z60" s="314">
        <f>SUMIFS(Adjustments!$G:$G,Adjustments!$H:$H,"2H",Adjustments!$I:$I,'Schedule 2H Adjustments'!$Y$12,Adjustments!$J:$J,'Schedule 2H Adjustments'!$A60)</f>
        <v>0</v>
      </c>
      <c r="AA60" s="310">
        <f t="shared" si="7"/>
        <v>0</v>
      </c>
    </row>
    <row r="61" spans="1:27" x14ac:dyDescent="0.35">
      <c r="A61" s="24">
        <v>47</v>
      </c>
      <c r="B61" s="513" t="str">
        <f>IF('As-Filed Schedule 2H'!B61:D61=0,"",'As-Filed Schedule 2H'!B61:D61)</f>
        <v/>
      </c>
      <c r="C61" s="513"/>
      <c r="D61" s="513"/>
      <c r="F61" s="117">
        <f>'As-Filed Schedule 2H'!F61</f>
        <v>0</v>
      </c>
      <c r="G61" s="314">
        <f>SUMIFS(Adjustments!$G:$G,Adjustments!$H:$H,"2H",Adjustments!$I:$I,'Schedule 2H Adjustments'!$F$12,Adjustments!$J:$J,'Schedule 2H Adjustments'!$A61)</f>
        <v>0</v>
      </c>
      <c r="H61" s="310">
        <f t="shared" si="0"/>
        <v>0</v>
      </c>
      <c r="I61" s="68">
        <f>IFERROR(F61*'As-Filed Schedule 1'!$E$103,0)</f>
        <v>0</v>
      </c>
      <c r="J61" s="311">
        <f>IFERROR(H61*'Adjusted Schedule 1'!$E$104,0)</f>
        <v>0</v>
      </c>
      <c r="K61" s="68">
        <f t="shared" si="1"/>
        <v>0</v>
      </c>
      <c r="L61" s="311">
        <f t="shared" si="2"/>
        <v>0</v>
      </c>
      <c r="N61" s="117">
        <f>'As-Filed Schedule 2H'!J61</f>
        <v>0</v>
      </c>
      <c r="O61" s="314">
        <f>SUMIFS(Adjustments!$G:$G,Adjustments!$H:$H,"2H",Adjustments!$I:$I,'Schedule 2H Adjustments'!$N$12,Adjustments!$J:$J,'Schedule 2H Adjustments'!$A61)</f>
        <v>0</v>
      </c>
      <c r="P61" s="310">
        <f t="shared" si="3"/>
        <v>0</v>
      </c>
      <c r="Q61" s="68">
        <f>IFERROR(N61*'As-Filed Schedule 1'!$E$103,0)</f>
        <v>0</v>
      </c>
      <c r="R61" s="68">
        <f>IFERROR(P61*'Adjusted Schedule 1'!$E$104,0)</f>
        <v>0</v>
      </c>
      <c r="S61" s="68">
        <f t="shared" si="4"/>
        <v>0</v>
      </c>
      <c r="T61" s="311">
        <f t="shared" si="5"/>
        <v>0</v>
      </c>
      <c r="V61" s="120">
        <f>'As-Filed Schedule 2H'!N61</f>
        <v>0</v>
      </c>
      <c r="W61" s="314">
        <f>SUMIFS(Adjustments!$G:$G,Adjustments!$H:$H,"2H",Adjustments!$I:$I,'Schedule 2H Adjustments'!$V$12,Adjustments!$J:$J,'Schedule 2H Adjustments'!$A61)</f>
        <v>0</v>
      </c>
      <c r="X61" s="310">
        <f t="shared" si="6"/>
        <v>0</v>
      </c>
      <c r="Y61" s="120">
        <f>'As-Filed Schedule 2H'!O61</f>
        <v>0</v>
      </c>
      <c r="Z61" s="314">
        <f>SUMIFS(Adjustments!$G:$G,Adjustments!$H:$H,"2H",Adjustments!$I:$I,'Schedule 2H Adjustments'!$Y$12,Adjustments!$J:$J,'Schedule 2H Adjustments'!$A61)</f>
        <v>0</v>
      </c>
      <c r="AA61" s="310">
        <f t="shared" si="7"/>
        <v>0</v>
      </c>
    </row>
    <row r="62" spans="1:27" x14ac:dyDescent="0.35">
      <c r="A62" s="24">
        <v>48</v>
      </c>
      <c r="B62" s="513" t="str">
        <f>IF('As-Filed Schedule 2H'!B62:D62=0,"",'As-Filed Schedule 2H'!B62:D62)</f>
        <v/>
      </c>
      <c r="C62" s="513"/>
      <c r="D62" s="513"/>
      <c r="F62" s="117">
        <f>'As-Filed Schedule 2H'!F62</f>
        <v>0</v>
      </c>
      <c r="G62" s="314">
        <f>SUMIFS(Adjustments!$G:$G,Adjustments!$H:$H,"2H",Adjustments!$I:$I,'Schedule 2H Adjustments'!$F$12,Adjustments!$J:$J,'Schedule 2H Adjustments'!$A62)</f>
        <v>0</v>
      </c>
      <c r="H62" s="310">
        <f t="shared" si="0"/>
        <v>0</v>
      </c>
      <c r="I62" s="68">
        <f>IFERROR(F62*'As-Filed Schedule 1'!$E$103,0)</f>
        <v>0</v>
      </c>
      <c r="J62" s="311">
        <f>IFERROR(H62*'Adjusted Schedule 1'!$E$104,0)</f>
        <v>0</v>
      </c>
      <c r="K62" s="68">
        <f t="shared" si="1"/>
        <v>0</v>
      </c>
      <c r="L62" s="311">
        <f t="shared" si="2"/>
        <v>0</v>
      </c>
      <c r="N62" s="117">
        <f>'As-Filed Schedule 2H'!J62</f>
        <v>0</v>
      </c>
      <c r="O62" s="314">
        <f>SUMIFS(Adjustments!$G:$G,Adjustments!$H:$H,"2H",Adjustments!$I:$I,'Schedule 2H Adjustments'!$N$12,Adjustments!$J:$J,'Schedule 2H Adjustments'!$A62)</f>
        <v>0</v>
      </c>
      <c r="P62" s="310">
        <f t="shared" si="3"/>
        <v>0</v>
      </c>
      <c r="Q62" s="68">
        <f>IFERROR(N62*'As-Filed Schedule 1'!$E$103,0)</f>
        <v>0</v>
      </c>
      <c r="R62" s="68">
        <f>IFERROR(P62*'Adjusted Schedule 1'!$E$104,0)</f>
        <v>0</v>
      </c>
      <c r="S62" s="68">
        <f t="shared" si="4"/>
        <v>0</v>
      </c>
      <c r="T62" s="311">
        <f t="shared" si="5"/>
        <v>0</v>
      </c>
      <c r="V62" s="120">
        <f>'As-Filed Schedule 2H'!N62</f>
        <v>0</v>
      </c>
      <c r="W62" s="314">
        <f>SUMIFS(Adjustments!$G:$G,Adjustments!$H:$H,"2H",Adjustments!$I:$I,'Schedule 2H Adjustments'!$V$12,Adjustments!$J:$J,'Schedule 2H Adjustments'!$A62)</f>
        <v>0</v>
      </c>
      <c r="X62" s="310">
        <f t="shared" si="6"/>
        <v>0</v>
      </c>
      <c r="Y62" s="120">
        <f>'As-Filed Schedule 2H'!O62</f>
        <v>0</v>
      </c>
      <c r="Z62" s="314">
        <f>SUMIFS(Adjustments!$G:$G,Adjustments!$H:$H,"2H",Adjustments!$I:$I,'Schedule 2H Adjustments'!$Y$12,Adjustments!$J:$J,'Schedule 2H Adjustments'!$A62)</f>
        <v>0</v>
      </c>
      <c r="AA62" s="310">
        <f t="shared" si="7"/>
        <v>0</v>
      </c>
    </row>
    <row r="63" spans="1:27" x14ac:dyDescent="0.35">
      <c r="A63" s="24">
        <v>49</v>
      </c>
      <c r="B63" s="513" t="str">
        <f>IF('As-Filed Schedule 2H'!B63:D63=0,"",'As-Filed Schedule 2H'!B63:D63)</f>
        <v/>
      </c>
      <c r="C63" s="513"/>
      <c r="D63" s="513"/>
      <c r="F63" s="117">
        <f>'As-Filed Schedule 2H'!F63</f>
        <v>0</v>
      </c>
      <c r="G63" s="314">
        <f>SUMIFS(Adjustments!$G:$G,Adjustments!$H:$H,"2H",Adjustments!$I:$I,'Schedule 2H Adjustments'!$F$12,Adjustments!$J:$J,'Schedule 2H Adjustments'!$A63)</f>
        <v>0</v>
      </c>
      <c r="H63" s="310">
        <f t="shared" si="0"/>
        <v>0</v>
      </c>
      <c r="I63" s="68">
        <f>IFERROR(F63*'As-Filed Schedule 1'!$E$103,0)</f>
        <v>0</v>
      </c>
      <c r="J63" s="311">
        <f>IFERROR(H63*'Adjusted Schedule 1'!$E$104,0)</f>
        <v>0</v>
      </c>
      <c r="K63" s="68">
        <f t="shared" si="1"/>
        <v>0</v>
      </c>
      <c r="L63" s="311">
        <f t="shared" si="2"/>
        <v>0</v>
      </c>
      <c r="N63" s="117">
        <f>'As-Filed Schedule 2H'!J63</f>
        <v>0</v>
      </c>
      <c r="O63" s="314">
        <f>SUMIFS(Adjustments!$G:$G,Adjustments!$H:$H,"2H",Adjustments!$I:$I,'Schedule 2H Adjustments'!$N$12,Adjustments!$J:$J,'Schedule 2H Adjustments'!$A63)</f>
        <v>0</v>
      </c>
      <c r="P63" s="310">
        <f t="shared" si="3"/>
        <v>0</v>
      </c>
      <c r="Q63" s="68">
        <f>IFERROR(N63*'As-Filed Schedule 1'!$E$103,0)</f>
        <v>0</v>
      </c>
      <c r="R63" s="68">
        <f>IFERROR(P63*'Adjusted Schedule 1'!$E$104,0)</f>
        <v>0</v>
      </c>
      <c r="S63" s="68">
        <f t="shared" si="4"/>
        <v>0</v>
      </c>
      <c r="T63" s="311">
        <f t="shared" si="5"/>
        <v>0</v>
      </c>
      <c r="V63" s="120">
        <f>'As-Filed Schedule 2H'!N63</f>
        <v>0</v>
      </c>
      <c r="W63" s="314">
        <f>SUMIFS(Adjustments!$G:$G,Adjustments!$H:$H,"2H",Adjustments!$I:$I,'Schedule 2H Adjustments'!$V$12,Adjustments!$J:$J,'Schedule 2H Adjustments'!$A63)</f>
        <v>0</v>
      </c>
      <c r="X63" s="310">
        <f t="shared" si="6"/>
        <v>0</v>
      </c>
      <c r="Y63" s="120">
        <f>'As-Filed Schedule 2H'!O63</f>
        <v>0</v>
      </c>
      <c r="Z63" s="314">
        <f>SUMIFS(Adjustments!$G:$G,Adjustments!$H:$H,"2H",Adjustments!$I:$I,'Schedule 2H Adjustments'!$Y$12,Adjustments!$J:$J,'Schedule 2H Adjustments'!$A63)</f>
        <v>0</v>
      </c>
      <c r="AA63" s="310">
        <f t="shared" si="7"/>
        <v>0</v>
      </c>
    </row>
    <row r="64" spans="1:27" x14ac:dyDescent="0.35">
      <c r="A64" s="24">
        <v>50</v>
      </c>
      <c r="B64" s="513" t="str">
        <f>IF('As-Filed Schedule 2H'!B64:D64=0,"",'As-Filed Schedule 2H'!B64:D64)</f>
        <v/>
      </c>
      <c r="C64" s="513"/>
      <c r="D64" s="513"/>
      <c r="F64" s="117">
        <f>'As-Filed Schedule 2H'!F64</f>
        <v>0</v>
      </c>
      <c r="G64" s="314">
        <f>SUMIFS(Adjustments!$G:$G,Adjustments!$H:$H,"2H",Adjustments!$I:$I,'Schedule 2H Adjustments'!$F$12,Adjustments!$J:$J,'Schedule 2H Adjustments'!$A64)</f>
        <v>0</v>
      </c>
      <c r="H64" s="310">
        <f t="shared" si="0"/>
        <v>0</v>
      </c>
      <c r="I64" s="68">
        <f>IFERROR(F64*'As-Filed Schedule 1'!$E$103,0)</f>
        <v>0</v>
      </c>
      <c r="J64" s="311">
        <f>IFERROR(H64*'Adjusted Schedule 1'!$E$104,0)</f>
        <v>0</v>
      </c>
      <c r="K64" s="68">
        <f t="shared" si="1"/>
        <v>0</v>
      </c>
      <c r="L64" s="311">
        <f t="shared" si="2"/>
        <v>0</v>
      </c>
      <c r="N64" s="117">
        <f>'As-Filed Schedule 2H'!J64</f>
        <v>0</v>
      </c>
      <c r="O64" s="314">
        <f>SUMIFS(Adjustments!$G:$G,Adjustments!$H:$H,"2H",Adjustments!$I:$I,'Schedule 2H Adjustments'!$N$12,Adjustments!$J:$J,'Schedule 2H Adjustments'!$A64)</f>
        <v>0</v>
      </c>
      <c r="P64" s="310">
        <f t="shared" si="3"/>
        <v>0</v>
      </c>
      <c r="Q64" s="68">
        <f>IFERROR(N64*'As-Filed Schedule 1'!$E$103,0)</f>
        <v>0</v>
      </c>
      <c r="R64" s="68">
        <f>IFERROR(P64*'Adjusted Schedule 1'!$E$104,0)</f>
        <v>0</v>
      </c>
      <c r="S64" s="68">
        <f t="shared" si="4"/>
        <v>0</v>
      </c>
      <c r="T64" s="311">
        <f t="shared" si="5"/>
        <v>0</v>
      </c>
      <c r="V64" s="120">
        <f>'As-Filed Schedule 2H'!N64</f>
        <v>0</v>
      </c>
      <c r="W64" s="314">
        <f>SUMIFS(Adjustments!$G:$G,Adjustments!$H:$H,"2H",Adjustments!$I:$I,'Schedule 2H Adjustments'!$V$12,Adjustments!$J:$J,'Schedule 2H Adjustments'!$A64)</f>
        <v>0</v>
      </c>
      <c r="X64" s="310">
        <f t="shared" si="6"/>
        <v>0</v>
      </c>
      <c r="Y64" s="120">
        <f>'As-Filed Schedule 2H'!O64</f>
        <v>0</v>
      </c>
      <c r="Z64" s="314">
        <f>SUMIFS(Adjustments!$G:$G,Adjustments!$H:$H,"2H",Adjustments!$I:$I,'Schedule 2H Adjustments'!$Y$12,Adjustments!$J:$J,'Schedule 2H Adjustments'!$A64)</f>
        <v>0</v>
      </c>
      <c r="AA64" s="310">
        <f t="shared" si="7"/>
        <v>0</v>
      </c>
    </row>
    <row r="65" spans="1:27" x14ac:dyDescent="0.35">
      <c r="A65" s="24">
        <v>51</v>
      </c>
      <c r="B65" s="513" t="str">
        <f>IF('As-Filed Schedule 2H'!B65:D65=0,"",'As-Filed Schedule 2H'!B65:D65)</f>
        <v/>
      </c>
      <c r="C65" s="513"/>
      <c r="D65" s="513"/>
      <c r="F65" s="117">
        <f>'As-Filed Schedule 2H'!F65</f>
        <v>0</v>
      </c>
      <c r="G65" s="314">
        <f>SUMIFS(Adjustments!$G:$G,Adjustments!$H:$H,"2H",Adjustments!$I:$I,'Schedule 2H Adjustments'!$F$12,Adjustments!$J:$J,'Schedule 2H Adjustments'!$A65)</f>
        <v>0</v>
      </c>
      <c r="H65" s="310">
        <f t="shared" si="0"/>
        <v>0</v>
      </c>
      <c r="I65" s="68">
        <f>IFERROR(F65*'As-Filed Schedule 1'!$E$103,0)</f>
        <v>0</v>
      </c>
      <c r="J65" s="311">
        <f>IFERROR(H65*'Adjusted Schedule 1'!$E$104,0)</f>
        <v>0</v>
      </c>
      <c r="K65" s="68">
        <f t="shared" si="1"/>
        <v>0</v>
      </c>
      <c r="L65" s="311">
        <f t="shared" si="2"/>
        <v>0</v>
      </c>
      <c r="N65" s="117">
        <f>'As-Filed Schedule 2H'!J65</f>
        <v>0</v>
      </c>
      <c r="O65" s="314">
        <f>SUMIFS(Adjustments!$G:$G,Adjustments!$H:$H,"2H",Adjustments!$I:$I,'Schedule 2H Adjustments'!$N$12,Adjustments!$J:$J,'Schedule 2H Adjustments'!$A65)</f>
        <v>0</v>
      </c>
      <c r="P65" s="310">
        <f t="shared" si="3"/>
        <v>0</v>
      </c>
      <c r="Q65" s="68">
        <f>IFERROR(N65*'As-Filed Schedule 1'!$E$103,0)</f>
        <v>0</v>
      </c>
      <c r="R65" s="68">
        <f>IFERROR(P65*'Adjusted Schedule 1'!$E$104,0)</f>
        <v>0</v>
      </c>
      <c r="S65" s="68">
        <f t="shared" si="4"/>
        <v>0</v>
      </c>
      <c r="T65" s="311">
        <f t="shared" si="5"/>
        <v>0</v>
      </c>
      <c r="V65" s="120">
        <f>'As-Filed Schedule 2H'!N65</f>
        <v>0</v>
      </c>
      <c r="W65" s="314">
        <f>SUMIFS(Adjustments!$G:$G,Adjustments!$H:$H,"2H",Adjustments!$I:$I,'Schedule 2H Adjustments'!$V$12,Adjustments!$J:$J,'Schedule 2H Adjustments'!$A65)</f>
        <v>0</v>
      </c>
      <c r="X65" s="310">
        <f t="shared" si="6"/>
        <v>0</v>
      </c>
      <c r="Y65" s="120">
        <f>'As-Filed Schedule 2H'!O65</f>
        <v>0</v>
      </c>
      <c r="Z65" s="314">
        <f>SUMIFS(Adjustments!$G:$G,Adjustments!$H:$H,"2H",Adjustments!$I:$I,'Schedule 2H Adjustments'!$Y$12,Adjustments!$J:$J,'Schedule 2H Adjustments'!$A65)</f>
        <v>0</v>
      </c>
      <c r="AA65" s="310">
        <f t="shared" si="7"/>
        <v>0</v>
      </c>
    </row>
    <row r="66" spans="1:27" x14ac:dyDescent="0.35">
      <c r="A66" s="24">
        <v>52</v>
      </c>
      <c r="B66" s="513" t="str">
        <f>IF('As-Filed Schedule 2H'!B66:D66=0,"",'As-Filed Schedule 2H'!B66:D66)</f>
        <v/>
      </c>
      <c r="C66" s="513"/>
      <c r="D66" s="513"/>
      <c r="F66" s="117">
        <f>'As-Filed Schedule 2H'!F66</f>
        <v>0</v>
      </c>
      <c r="G66" s="314">
        <f>SUMIFS(Adjustments!$G:$G,Adjustments!$H:$H,"2H",Adjustments!$I:$I,'Schedule 2H Adjustments'!$F$12,Adjustments!$J:$J,'Schedule 2H Adjustments'!$A66)</f>
        <v>0</v>
      </c>
      <c r="H66" s="310">
        <f t="shared" si="0"/>
        <v>0</v>
      </c>
      <c r="I66" s="68">
        <f>IFERROR(F66*'As-Filed Schedule 1'!$E$103,0)</f>
        <v>0</v>
      </c>
      <c r="J66" s="311">
        <f>IFERROR(H66*'Adjusted Schedule 1'!$E$104,0)</f>
        <v>0</v>
      </c>
      <c r="K66" s="68">
        <f t="shared" si="1"/>
        <v>0</v>
      </c>
      <c r="L66" s="311">
        <f t="shared" si="2"/>
        <v>0</v>
      </c>
      <c r="N66" s="117">
        <f>'As-Filed Schedule 2H'!J66</f>
        <v>0</v>
      </c>
      <c r="O66" s="314">
        <f>SUMIFS(Adjustments!$G:$G,Adjustments!$H:$H,"2H",Adjustments!$I:$I,'Schedule 2H Adjustments'!$N$12,Adjustments!$J:$J,'Schedule 2H Adjustments'!$A66)</f>
        <v>0</v>
      </c>
      <c r="P66" s="310">
        <f t="shared" si="3"/>
        <v>0</v>
      </c>
      <c r="Q66" s="68">
        <f>IFERROR(N66*'As-Filed Schedule 1'!$E$103,0)</f>
        <v>0</v>
      </c>
      <c r="R66" s="68">
        <f>IFERROR(P66*'Adjusted Schedule 1'!$E$104,0)</f>
        <v>0</v>
      </c>
      <c r="S66" s="68">
        <f t="shared" si="4"/>
        <v>0</v>
      </c>
      <c r="T66" s="311">
        <f t="shared" si="5"/>
        <v>0</v>
      </c>
      <c r="V66" s="120">
        <f>'As-Filed Schedule 2H'!N66</f>
        <v>0</v>
      </c>
      <c r="W66" s="314">
        <f>SUMIFS(Adjustments!$G:$G,Adjustments!$H:$H,"2H",Adjustments!$I:$I,'Schedule 2H Adjustments'!$V$12,Adjustments!$J:$J,'Schedule 2H Adjustments'!$A66)</f>
        <v>0</v>
      </c>
      <c r="X66" s="310">
        <f t="shared" si="6"/>
        <v>0</v>
      </c>
      <c r="Y66" s="120">
        <f>'As-Filed Schedule 2H'!O66</f>
        <v>0</v>
      </c>
      <c r="Z66" s="314">
        <f>SUMIFS(Adjustments!$G:$G,Adjustments!$H:$H,"2H",Adjustments!$I:$I,'Schedule 2H Adjustments'!$Y$12,Adjustments!$J:$J,'Schedule 2H Adjustments'!$A66)</f>
        <v>0</v>
      </c>
      <c r="AA66" s="310">
        <f t="shared" si="7"/>
        <v>0</v>
      </c>
    </row>
    <row r="67" spans="1:27" x14ac:dyDescent="0.35">
      <c r="A67" s="24">
        <v>53</v>
      </c>
      <c r="B67" s="513" t="str">
        <f>IF('As-Filed Schedule 2H'!B67:D67=0,"",'As-Filed Schedule 2H'!B67:D67)</f>
        <v/>
      </c>
      <c r="C67" s="513"/>
      <c r="D67" s="513"/>
      <c r="F67" s="117">
        <f>'As-Filed Schedule 2H'!F67</f>
        <v>0</v>
      </c>
      <c r="G67" s="314">
        <f>SUMIFS(Adjustments!$G:$G,Adjustments!$H:$H,"2H",Adjustments!$I:$I,'Schedule 2H Adjustments'!$F$12,Adjustments!$J:$J,'Schedule 2H Adjustments'!$A67)</f>
        <v>0</v>
      </c>
      <c r="H67" s="310">
        <f t="shared" si="0"/>
        <v>0</v>
      </c>
      <c r="I67" s="68">
        <f>IFERROR(F67*'As-Filed Schedule 1'!$E$103,0)</f>
        <v>0</v>
      </c>
      <c r="J67" s="311">
        <f>IFERROR(H67*'Adjusted Schedule 1'!$E$104,0)</f>
        <v>0</v>
      </c>
      <c r="K67" s="68">
        <f t="shared" si="1"/>
        <v>0</v>
      </c>
      <c r="L67" s="311">
        <f t="shared" si="2"/>
        <v>0</v>
      </c>
      <c r="N67" s="117">
        <f>'As-Filed Schedule 2H'!J67</f>
        <v>0</v>
      </c>
      <c r="O67" s="314">
        <f>SUMIFS(Adjustments!$G:$G,Adjustments!$H:$H,"2H",Adjustments!$I:$I,'Schedule 2H Adjustments'!$N$12,Adjustments!$J:$J,'Schedule 2H Adjustments'!$A67)</f>
        <v>0</v>
      </c>
      <c r="P67" s="310">
        <f t="shared" si="3"/>
        <v>0</v>
      </c>
      <c r="Q67" s="68">
        <f>IFERROR(N67*'As-Filed Schedule 1'!$E$103,0)</f>
        <v>0</v>
      </c>
      <c r="R67" s="68">
        <f>IFERROR(P67*'Adjusted Schedule 1'!$E$104,0)</f>
        <v>0</v>
      </c>
      <c r="S67" s="68">
        <f t="shared" si="4"/>
        <v>0</v>
      </c>
      <c r="T67" s="311">
        <f t="shared" si="5"/>
        <v>0</v>
      </c>
      <c r="V67" s="120">
        <f>'As-Filed Schedule 2H'!N67</f>
        <v>0</v>
      </c>
      <c r="W67" s="314">
        <f>SUMIFS(Adjustments!$G:$G,Adjustments!$H:$H,"2H",Adjustments!$I:$I,'Schedule 2H Adjustments'!$V$12,Adjustments!$J:$J,'Schedule 2H Adjustments'!$A67)</f>
        <v>0</v>
      </c>
      <c r="X67" s="310">
        <f t="shared" si="6"/>
        <v>0</v>
      </c>
      <c r="Y67" s="120">
        <f>'As-Filed Schedule 2H'!O67</f>
        <v>0</v>
      </c>
      <c r="Z67" s="314">
        <f>SUMIFS(Adjustments!$G:$G,Adjustments!$H:$H,"2H",Adjustments!$I:$I,'Schedule 2H Adjustments'!$Y$12,Adjustments!$J:$J,'Schedule 2H Adjustments'!$A67)</f>
        <v>0</v>
      </c>
      <c r="AA67" s="310">
        <f t="shared" si="7"/>
        <v>0</v>
      </c>
    </row>
    <row r="68" spans="1:27" x14ac:dyDescent="0.35">
      <c r="A68" s="24">
        <v>54</v>
      </c>
      <c r="B68" s="513" t="str">
        <f>IF('As-Filed Schedule 2H'!B68:D68=0,"",'As-Filed Schedule 2H'!B68:D68)</f>
        <v/>
      </c>
      <c r="C68" s="513"/>
      <c r="D68" s="513"/>
      <c r="F68" s="117">
        <f>'As-Filed Schedule 2H'!F68</f>
        <v>0</v>
      </c>
      <c r="G68" s="314">
        <f>SUMIFS(Adjustments!$G:$G,Adjustments!$H:$H,"2H",Adjustments!$I:$I,'Schedule 2H Adjustments'!$F$12,Adjustments!$J:$J,'Schedule 2H Adjustments'!$A68)</f>
        <v>0</v>
      </c>
      <c r="H68" s="310">
        <f t="shared" si="0"/>
        <v>0</v>
      </c>
      <c r="I68" s="68">
        <f>IFERROR(F68*'As-Filed Schedule 1'!$E$103,0)</f>
        <v>0</v>
      </c>
      <c r="J68" s="311">
        <f>IFERROR(H68*'Adjusted Schedule 1'!$E$104,0)</f>
        <v>0</v>
      </c>
      <c r="K68" s="68">
        <f t="shared" si="1"/>
        <v>0</v>
      </c>
      <c r="L68" s="311">
        <f t="shared" si="2"/>
        <v>0</v>
      </c>
      <c r="N68" s="117">
        <f>'As-Filed Schedule 2H'!J68</f>
        <v>0</v>
      </c>
      <c r="O68" s="314">
        <f>SUMIFS(Adjustments!$G:$G,Adjustments!$H:$H,"2H",Adjustments!$I:$I,'Schedule 2H Adjustments'!$N$12,Adjustments!$J:$J,'Schedule 2H Adjustments'!$A68)</f>
        <v>0</v>
      </c>
      <c r="P68" s="310">
        <f t="shared" si="3"/>
        <v>0</v>
      </c>
      <c r="Q68" s="68">
        <f>IFERROR(N68*'As-Filed Schedule 1'!$E$103,0)</f>
        <v>0</v>
      </c>
      <c r="R68" s="68">
        <f>IFERROR(P68*'Adjusted Schedule 1'!$E$104,0)</f>
        <v>0</v>
      </c>
      <c r="S68" s="68">
        <f t="shared" si="4"/>
        <v>0</v>
      </c>
      <c r="T68" s="311">
        <f t="shared" si="5"/>
        <v>0</v>
      </c>
      <c r="V68" s="120">
        <f>'As-Filed Schedule 2H'!N68</f>
        <v>0</v>
      </c>
      <c r="W68" s="314">
        <f>SUMIFS(Adjustments!$G:$G,Adjustments!$H:$H,"2H",Adjustments!$I:$I,'Schedule 2H Adjustments'!$V$12,Adjustments!$J:$J,'Schedule 2H Adjustments'!$A68)</f>
        <v>0</v>
      </c>
      <c r="X68" s="310">
        <f t="shared" si="6"/>
        <v>0</v>
      </c>
      <c r="Y68" s="120">
        <f>'As-Filed Schedule 2H'!O68</f>
        <v>0</v>
      </c>
      <c r="Z68" s="314">
        <f>SUMIFS(Adjustments!$G:$G,Adjustments!$H:$H,"2H",Adjustments!$I:$I,'Schedule 2H Adjustments'!$Y$12,Adjustments!$J:$J,'Schedule 2H Adjustments'!$A68)</f>
        <v>0</v>
      </c>
      <c r="AA68" s="310">
        <f t="shared" si="7"/>
        <v>0</v>
      </c>
    </row>
    <row r="69" spans="1:27" x14ac:dyDescent="0.35">
      <c r="A69" s="24">
        <v>55</v>
      </c>
      <c r="B69" s="513" t="str">
        <f>IF('As-Filed Schedule 2H'!B69:D69=0,"",'As-Filed Schedule 2H'!B69:D69)</f>
        <v/>
      </c>
      <c r="C69" s="513"/>
      <c r="D69" s="513"/>
      <c r="F69" s="117">
        <f>'As-Filed Schedule 2H'!F69</f>
        <v>0</v>
      </c>
      <c r="G69" s="314">
        <f>SUMIFS(Adjustments!$G:$G,Adjustments!$H:$H,"2H",Adjustments!$I:$I,'Schedule 2H Adjustments'!$F$12,Adjustments!$J:$J,'Schedule 2H Adjustments'!$A69)</f>
        <v>0</v>
      </c>
      <c r="H69" s="310">
        <f t="shared" si="0"/>
        <v>0</v>
      </c>
      <c r="I69" s="68">
        <f>IFERROR(F69*'As-Filed Schedule 1'!$E$103,0)</f>
        <v>0</v>
      </c>
      <c r="J69" s="311">
        <f>IFERROR(H69*'Adjusted Schedule 1'!$E$104,0)</f>
        <v>0</v>
      </c>
      <c r="K69" s="68">
        <f t="shared" si="1"/>
        <v>0</v>
      </c>
      <c r="L69" s="311">
        <f t="shared" si="2"/>
        <v>0</v>
      </c>
      <c r="N69" s="117">
        <f>'As-Filed Schedule 2H'!J69</f>
        <v>0</v>
      </c>
      <c r="O69" s="314">
        <f>SUMIFS(Adjustments!$G:$G,Adjustments!$H:$H,"2H",Adjustments!$I:$I,'Schedule 2H Adjustments'!$N$12,Adjustments!$J:$J,'Schedule 2H Adjustments'!$A69)</f>
        <v>0</v>
      </c>
      <c r="P69" s="310">
        <f t="shared" si="3"/>
        <v>0</v>
      </c>
      <c r="Q69" s="68">
        <f>IFERROR(N69*'As-Filed Schedule 1'!$E$103,0)</f>
        <v>0</v>
      </c>
      <c r="R69" s="68">
        <f>IFERROR(P69*'Adjusted Schedule 1'!$E$104,0)</f>
        <v>0</v>
      </c>
      <c r="S69" s="68">
        <f t="shared" si="4"/>
        <v>0</v>
      </c>
      <c r="T69" s="311">
        <f t="shared" si="5"/>
        <v>0</v>
      </c>
      <c r="V69" s="120">
        <f>'As-Filed Schedule 2H'!N69</f>
        <v>0</v>
      </c>
      <c r="W69" s="314">
        <f>SUMIFS(Adjustments!$G:$G,Adjustments!$H:$H,"2H",Adjustments!$I:$I,'Schedule 2H Adjustments'!$V$12,Adjustments!$J:$J,'Schedule 2H Adjustments'!$A69)</f>
        <v>0</v>
      </c>
      <c r="X69" s="310">
        <f t="shared" si="6"/>
        <v>0</v>
      </c>
      <c r="Y69" s="120">
        <f>'As-Filed Schedule 2H'!O69</f>
        <v>0</v>
      </c>
      <c r="Z69" s="314">
        <f>SUMIFS(Adjustments!$G:$G,Adjustments!$H:$H,"2H",Adjustments!$I:$I,'Schedule 2H Adjustments'!$Y$12,Adjustments!$J:$J,'Schedule 2H Adjustments'!$A69)</f>
        <v>0</v>
      </c>
      <c r="AA69" s="310">
        <f t="shared" si="7"/>
        <v>0</v>
      </c>
    </row>
    <row r="70" spans="1:27" x14ac:dyDescent="0.35">
      <c r="A70" s="24">
        <v>56</v>
      </c>
      <c r="B70" s="513" t="str">
        <f>IF('As-Filed Schedule 2H'!B70:D70=0,"",'As-Filed Schedule 2H'!B70:D70)</f>
        <v/>
      </c>
      <c r="C70" s="513"/>
      <c r="D70" s="513"/>
      <c r="F70" s="117">
        <f>'As-Filed Schedule 2H'!F70</f>
        <v>0</v>
      </c>
      <c r="G70" s="314">
        <f>SUMIFS(Adjustments!$G:$G,Adjustments!$H:$H,"2H",Adjustments!$I:$I,'Schedule 2H Adjustments'!$F$12,Adjustments!$J:$J,'Schedule 2H Adjustments'!$A70)</f>
        <v>0</v>
      </c>
      <c r="H70" s="310">
        <f t="shared" si="0"/>
        <v>0</v>
      </c>
      <c r="I70" s="68">
        <f>IFERROR(F70*'As-Filed Schedule 1'!$E$103,0)</f>
        <v>0</v>
      </c>
      <c r="J70" s="311">
        <f>IFERROR(H70*'Adjusted Schedule 1'!$E$104,0)</f>
        <v>0</v>
      </c>
      <c r="K70" s="68">
        <f t="shared" si="1"/>
        <v>0</v>
      </c>
      <c r="L70" s="311">
        <f t="shared" si="2"/>
        <v>0</v>
      </c>
      <c r="N70" s="117">
        <f>'As-Filed Schedule 2H'!J70</f>
        <v>0</v>
      </c>
      <c r="O70" s="314">
        <f>SUMIFS(Adjustments!$G:$G,Adjustments!$H:$H,"2H",Adjustments!$I:$I,'Schedule 2H Adjustments'!$N$12,Adjustments!$J:$J,'Schedule 2H Adjustments'!$A70)</f>
        <v>0</v>
      </c>
      <c r="P70" s="310">
        <f t="shared" si="3"/>
        <v>0</v>
      </c>
      <c r="Q70" s="68">
        <f>IFERROR(N70*'As-Filed Schedule 1'!$E$103,0)</f>
        <v>0</v>
      </c>
      <c r="R70" s="68">
        <f>IFERROR(P70*'Adjusted Schedule 1'!$E$104,0)</f>
        <v>0</v>
      </c>
      <c r="S70" s="68">
        <f t="shared" si="4"/>
        <v>0</v>
      </c>
      <c r="T70" s="311">
        <f t="shared" si="5"/>
        <v>0</v>
      </c>
      <c r="V70" s="120">
        <f>'As-Filed Schedule 2H'!N70</f>
        <v>0</v>
      </c>
      <c r="W70" s="314">
        <f>SUMIFS(Adjustments!$G:$G,Adjustments!$H:$H,"2H",Adjustments!$I:$I,'Schedule 2H Adjustments'!$V$12,Adjustments!$J:$J,'Schedule 2H Adjustments'!$A70)</f>
        <v>0</v>
      </c>
      <c r="X70" s="310">
        <f t="shared" si="6"/>
        <v>0</v>
      </c>
      <c r="Y70" s="120">
        <f>'As-Filed Schedule 2H'!O70</f>
        <v>0</v>
      </c>
      <c r="Z70" s="314">
        <f>SUMIFS(Adjustments!$G:$G,Adjustments!$H:$H,"2H",Adjustments!$I:$I,'Schedule 2H Adjustments'!$Y$12,Adjustments!$J:$J,'Schedule 2H Adjustments'!$A70)</f>
        <v>0</v>
      </c>
      <c r="AA70" s="310">
        <f t="shared" si="7"/>
        <v>0</v>
      </c>
    </row>
    <row r="71" spans="1:27" x14ac:dyDescent="0.35">
      <c r="A71" s="24">
        <v>57</v>
      </c>
      <c r="B71" s="513" t="str">
        <f>IF('As-Filed Schedule 2H'!B71:D71=0,"",'As-Filed Schedule 2H'!B71:D71)</f>
        <v/>
      </c>
      <c r="C71" s="513"/>
      <c r="D71" s="513"/>
      <c r="F71" s="117">
        <f>'As-Filed Schedule 2H'!F71</f>
        <v>0</v>
      </c>
      <c r="G71" s="314">
        <f>SUMIFS(Adjustments!$G:$G,Adjustments!$H:$H,"2H",Adjustments!$I:$I,'Schedule 2H Adjustments'!$F$12,Adjustments!$J:$J,'Schedule 2H Adjustments'!$A71)</f>
        <v>0</v>
      </c>
      <c r="H71" s="310">
        <f t="shared" si="0"/>
        <v>0</v>
      </c>
      <c r="I71" s="68">
        <f>IFERROR(F71*'As-Filed Schedule 1'!$E$103,0)</f>
        <v>0</v>
      </c>
      <c r="J71" s="311">
        <f>IFERROR(H71*'Adjusted Schedule 1'!$E$104,0)</f>
        <v>0</v>
      </c>
      <c r="K71" s="68">
        <f t="shared" si="1"/>
        <v>0</v>
      </c>
      <c r="L71" s="311">
        <f t="shared" si="2"/>
        <v>0</v>
      </c>
      <c r="N71" s="117">
        <f>'As-Filed Schedule 2H'!J71</f>
        <v>0</v>
      </c>
      <c r="O71" s="314">
        <f>SUMIFS(Adjustments!$G:$G,Adjustments!$H:$H,"2H",Adjustments!$I:$I,'Schedule 2H Adjustments'!$N$12,Adjustments!$J:$J,'Schedule 2H Adjustments'!$A71)</f>
        <v>0</v>
      </c>
      <c r="P71" s="310">
        <f t="shared" si="3"/>
        <v>0</v>
      </c>
      <c r="Q71" s="68">
        <f>IFERROR(N71*'As-Filed Schedule 1'!$E$103,0)</f>
        <v>0</v>
      </c>
      <c r="R71" s="68">
        <f>IFERROR(P71*'Adjusted Schedule 1'!$E$104,0)</f>
        <v>0</v>
      </c>
      <c r="S71" s="68">
        <f t="shared" si="4"/>
        <v>0</v>
      </c>
      <c r="T71" s="311">
        <f t="shared" si="5"/>
        <v>0</v>
      </c>
      <c r="V71" s="120">
        <f>'As-Filed Schedule 2H'!N71</f>
        <v>0</v>
      </c>
      <c r="W71" s="314">
        <f>SUMIFS(Adjustments!$G:$G,Adjustments!$H:$H,"2H",Adjustments!$I:$I,'Schedule 2H Adjustments'!$V$12,Adjustments!$J:$J,'Schedule 2H Adjustments'!$A71)</f>
        <v>0</v>
      </c>
      <c r="X71" s="310">
        <f t="shared" si="6"/>
        <v>0</v>
      </c>
      <c r="Y71" s="120">
        <f>'As-Filed Schedule 2H'!O71</f>
        <v>0</v>
      </c>
      <c r="Z71" s="314">
        <f>SUMIFS(Adjustments!$G:$G,Adjustments!$H:$H,"2H",Adjustments!$I:$I,'Schedule 2H Adjustments'!$Y$12,Adjustments!$J:$J,'Schedule 2H Adjustments'!$A71)</f>
        <v>0</v>
      </c>
      <c r="AA71" s="310">
        <f t="shared" si="7"/>
        <v>0</v>
      </c>
    </row>
    <row r="72" spans="1:27" x14ac:dyDescent="0.35">
      <c r="A72" s="24">
        <v>58</v>
      </c>
      <c r="B72" s="513" t="str">
        <f>IF('As-Filed Schedule 2H'!B72:D72=0,"",'As-Filed Schedule 2H'!B72:D72)</f>
        <v/>
      </c>
      <c r="C72" s="513"/>
      <c r="D72" s="513"/>
      <c r="F72" s="117">
        <f>'As-Filed Schedule 2H'!F72</f>
        <v>0</v>
      </c>
      <c r="G72" s="314">
        <f>SUMIFS(Adjustments!$G:$G,Adjustments!$H:$H,"2H",Adjustments!$I:$I,'Schedule 2H Adjustments'!$F$12,Adjustments!$J:$J,'Schedule 2H Adjustments'!$A72)</f>
        <v>0</v>
      </c>
      <c r="H72" s="310">
        <f t="shared" si="0"/>
        <v>0</v>
      </c>
      <c r="I72" s="68">
        <f>IFERROR(F72*'As-Filed Schedule 1'!$E$103,0)</f>
        <v>0</v>
      </c>
      <c r="J72" s="311">
        <f>IFERROR(H72*'Adjusted Schedule 1'!$E$104,0)</f>
        <v>0</v>
      </c>
      <c r="K72" s="68">
        <f t="shared" si="1"/>
        <v>0</v>
      </c>
      <c r="L72" s="311">
        <f t="shared" si="2"/>
        <v>0</v>
      </c>
      <c r="N72" s="117">
        <f>'As-Filed Schedule 2H'!J72</f>
        <v>0</v>
      </c>
      <c r="O72" s="314">
        <f>SUMIFS(Adjustments!$G:$G,Adjustments!$H:$H,"2H",Adjustments!$I:$I,'Schedule 2H Adjustments'!$N$12,Adjustments!$J:$J,'Schedule 2H Adjustments'!$A72)</f>
        <v>0</v>
      </c>
      <c r="P72" s="310">
        <f t="shared" si="3"/>
        <v>0</v>
      </c>
      <c r="Q72" s="68">
        <f>IFERROR(N72*'As-Filed Schedule 1'!$E$103,0)</f>
        <v>0</v>
      </c>
      <c r="R72" s="68">
        <f>IFERROR(P72*'Adjusted Schedule 1'!$E$104,0)</f>
        <v>0</v>
      </c>
      <c r="S72" s="68">
        <f t="shared" si="4"/>
        <v>0</v>
      </c>
      <c r="T72" s="311">
        <f t="shared" si="5"/>
        <v>0</v>
      </c>
      <c r="V72" s="120">
        <f>'As-Filed Schedule 2H'!N72</f>
        <v>0</v>
      </c>
      <c r="W72" s="314">
        <f>SUMIFS(Adjustments!$G:$G,Adjustments!$H:$H,"2H",Adjustments!$I:$I,'Schedule 2H Adjustments'!$V$12,Adjustments!$J:$J,'Schedule 2H Adjustments'!$A72)</f>
        <v>0</v>
      </c>
      <c r="X72" s="310">
        <f t="shared" si="6"/>
        <v>0</v>
      </c>
      <c r="Y72" s="120">
        <f>'As-Filed Schedule 2H'!O72</f>
        <v>0</v>
      </c>
      <c r="Z72" s="314">
        <f>SUMIFS(Adjustments!$G:$G,Adjustments!$H:$H,"2H",Adjustments!$I:$I,'Schedule 2H Adjustments'!$Y$12,Adjustments!$J:$J,'Schedule 2H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494" t="s">
        <v>843</v>
      </c>
      <c r="B3" s="494"/>
      <c r="C3" s="494"/>
      <c r="D3" s="494"/>
      <c r="E3" s="494"/>
      <c r="F3" s="494"/>
      <c r="G3" s="494"/>
      <c r="H3" s="494"/>
      <c r="I3" s="494"/>
      <c r="J3" s="494"/>
      <c r="K3" s="494"/>
      <c r="L3" s="322"/>
    </row>
    <row r="5" spans="1:27" x14ac:dyDescent="0.35">
      <c r="A5" s="1" t="s">
        <v>773</v>
      </c>
      <c r="C5" s="421" t="str">
        <f>Results!$C$6</f>
        <v>Health Solutions</v>
      </c>
    </row>
    <row r="6" spans="1:27" x14ac:dyDescent="0.35">
      <c r="A6" s="1" t="s">
        <v>0</v>
      </c>
      <c r="C6" s="35">
        <f>Results!$C$7</f>
        <v>45473</v>
      </c>
      <c r="F6" s="35"/>
      <c r="G6" s="320"/>
      <c r="H6" s="60"/>
    </row>
    <row r="8" spans="1:27" x14ac:dyDescent="0.35">
      <c r="A8" s="1" t="s">
        <v>253</v>
      </c>
      <c r="B8" s="1" t="s">
        <v>822</v>
      </c>
      <c r="C8" s="1"/>
      <c r="F8" s="119" t="str">
        <f>'As-Filed Schedule 2I'!F8</f>
        <v>Yes/No</v>
      </c>
      <c r="G8" s="41" t="s">
        <v>259</v>
      </c>
    </row>
    <row r="10" spans="1:27" x14ac:dyDescent="0.35">
      <c r="A10" s="1" t="s">
        <v>254</v>
      </c>
      <c r="B10" s="1" t="s">
        <v>256</v>
      </c>
      <c r="C10" s="1"/>
    </row>
    <row r="12" spans="1:27" x14ac:dyDescent="0.35">
      <c r="B12" s="508">
        <v>1</v>
      </c>
      <c r="C12" s="508"/>
      <c r="D12" s="508"/>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09" t="s">
        <v>255</v>
      </c>
      <c r="C13" s="509"/>
      <c r="D13" s="509"/>
      <c r="F13" s="511" t="s">
        <v>261</v>
      </c>
      <c r="G13" s="516"/>
      <c r="H13" s="516"/>
      <c r="I13" s="516"/>
      <c r="J13" s="516"/>
      <c r="K13" s="516"/>
      <c r="L13" s="512"/>
      <c r="N13" s="511" t="s">
        <v>262</v>
      </c>
      <c r="O13" s="516"/>
      <c r="P13" s="516"/>
      <c r="Q13" s="516"/>
      <c r="R13" s="516"/>
      <c r="S13" s="516"/>
      <c r="T13" s="512"/>
      <c r="V13" s="510" t="s">
        <v>250</v>
      </c>
      <c r="W13" s="568" t="s">
        <v>620</v>
      </c>
      <c r="X13" s="569" t="s">
        <v>621</v>
      </c>
      <c r="Y13" s="510" t="s">
        <v>312</v>
      </c>
      <c r="Z13" s="568" t="s">
        <v>630</v>
      </c>
      <c r="AA13" s="569" t="s">
        <v>631</v>
      </c>
    </row>
    <row r="14" spans="1:27" ht="55.5" customHeight="1" x14ac:dyDescent="0.35">
      <c r="B14" s="509"/>
      <c r="C14" s="509"/>
      <c r="D14" s="509"/>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0"/>
      <c r="W14" s="568"/>
      <c r="X14" s="569"/>
      <c r="Y14" s="510"/>
      <c r="Z14" s="568"/>
      <c r="AA14" s="569"/>
    </row>
    <row r="15" spans="1:27" x14ac:dyDescent="0.35">
      <c r="A15" s="24">
        <v>1</v>
      </c>
      <c r="B15" s="513" t="str">
        <f>IF('As-Filed Schedule 2I'!B15:D15=0,"",'As-Filed Schedule 2I'!B15:D15)</f>
        <v/>
      </c>
      <c r="C15" s="513"/>
      <c r="D15" s="513"/>
      <c r="F15" s="117">
        <f>'As-Filed Schedule 2I'!F15</f>
        <v>0</v>
      </c>
      <c r="G15" s="314">
        <f>SUMIFS(Adjustments!$G:$G,Adjustments!$H:$H,"2I",Adjustments!$I:$I,'Schedule 2I Adjustments'!$F$12,Adjustments!$J:$J,'Schedule 2I Adjustments'!$A15)</f>
        <v>0</v>
      </c>
      <c r="H15" s="310">
        <f>SUM(F15:G15)</f>
        <v>0</v>
      </c>
      <c r="I15" s="68">
        <f>IFERROR(F15*'As-Filed Schedule 1'!$E$103,0)</f>
        <v>0</v>
      </c>
      <c r="J15" s="311">
        <f>IFERROR(H15*'Adjusted Schedule 1'!$E$104,0)</f>
        <v>0</v>
      </c>
      <c r="K15" s="68">
        <f>SUM(F15,I15)</f>
        <v>0</v>
      </c>
      <c r="L15" s="311">
        <f>SUM(H15,J15)</f>
        <v>0</v>
      </c>
      <c r="N15" s="117">
        <f>'As-Filed Schedule 2I'!J15</f>
        <v>0</v>
      </c>
      <c r="O15" s="314">
        <f>SUMIFS(Adjustments!$G:$G,Adjustments!$H:$H,"2I",Adjustments!$I:$I,'Schedule 2I Adjustments'!$N$12,Adjustments!$J:$J,'Schedule 2I Adjustments'!$A15)</f>
        <v>0</v>
      </c>
      <c r="P15" s="310">
        <f>SUM(N15:O15)</f>
        <v>0</v>
      </c>
      <c r="Q15" s="68">
        <f>IFERROR(N15*'As-Filed Schedule 1'!$E$103,0)</f>
        <v>0</v>
      </c>
      <c r="R15" s="68">
        <f>IFERROR(P15*'Adjusted Schedule 1'!$E$104,0)</f>
        <v>0</v>
      </c>
      <c r="S15" s="68">
        <f>SUM(N15,Q15)</f>
        <v>0</v>
      </c>
      <c r="T15" s="311">
        <f>SUM(P15,R15)</f>
        <v>0</v>
      </c>
      <c r="V15" s="120">
        <f>'As-Filed Schedule 2I'!N15</f>
        <v>0</v>
      </c>
      <c r="W15" s="314">
        <f>SUMIFS(Adjustments!$G:$G,Adjustments!$H:$H,"2I",Adjustments!$I:$I,'Schedule 2I Adjustments'!$V$12,Adjustments!$J:$J,'Schedule 2I Adjustments'!$A15)</f>
        <v>0</v>
      </c>
      <c r="X15" s="310">
        <f>SUM(V15:W15)</f>
        <v>0</v>
      </c>
      <c r="Y15" s="120">
        <f>'As-Filed Schedule 2I'!O15</f>
        <v>0</v>
      </c>
      <c r="Z15" s="314">
        <f>SUMIFS(Adjustments!$G:$G,Adjustments!$H:$H,"2I",Adjustments!$I:$I,'Schedule 2I Adjustments'!$Y$12,Adjustments!$J:$J,'Schedule 2I Adjustments'!$A15)</f>
        <v>0</v>
      </c>
      <c r="AA15" s="310">
        <f>SUM(Y15:Z15)</f>
        <v>0</v>
      </c>
    </row>
    <row r="16" spans="1:27" x14ac:dyDescent="0.35">
      <c r="A16" s="24">
        <v>2</v>
      </c>
      <c r="B16" s="513" t="str">
        <f>IF('As-Filed Schedule 2I'!B16:D16=0,"",'As-Filed Schedule 2I'!B16:D16)</f>
        <v/>
      </c>
      <c r="C16" s="513"/>
      <c r="D16" s="513"/>
      <c r="F16" s="117">
        <f>'As-Filed Schedule 2I'!F16</f>
        <v>0</v>
      </c>
      <c r="G16" s="314">
        <f>SUMIFS(Adjustments!$G:$G,Adjustments!$H:$H,"2I",Adjustments!$I:$I,'Schedule 2I Adjustments'!$F$12,Adjustments!$J:$J,'Schedule 2I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2I'!J16</f>
        <v>0</v>
      </c>
      <c r="O16" s="314">
        <f>SUMIFS(Adjustments!$G:$G,Adjustments!$H:$H,"2I",Adjustments!$I:$I,'Schedule 2I Adjustments'!$N$12,Adjustments!$J:$J,'Schedule 2I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2I'!N16</f>
        <v>0</v>
      </c>
      <c r="W16" s="314">
        <f>SUMIFS(Adjustments!$G:$G,Adjustments!$H:$H,"2I",Adjustments!$I:$I,'Schedule 2I Adjustments'!$V$12,Adjustments!$J:$J,'Schedule 2I Adjustments'!$A16)</f>
        <v>0</v>
      </c>
      <c r="X16" s="310">
        <f t="shared" ref="X16:X72" si="6">SUM(V16:W16)</f>
        <v>0</v>
      </c>
      <c r="Y16" s="120">
        <f>'As-Filed Schedule 2I'!O16</f>
        <v>0</v>
      </c>
      <c r="Z16" s="314">
        <f>SUMIFS(Adjustments!$G:$G,Adjustments!$H:$H,"2I",Adjustments!$I:$I,'Schedule 2I Adjustments'!$Y$12,Adjustments!$J:$J,'Schedule 2I Adjustments'!$A16)</f>
        <v>0</v>
      </c>
      <c r="AA16" s="310">
        <f t="shared" ref="AA16:AA72" si="7">SUM(Y16:Z16)</f>
        <v>0</v>
      </c>
    </row>
    <row r="17" spans="1:27" x14ac:dyDescent="0.35">
      <c r="A17" s="24">
        <v>3</v>
      </c>
      <c r="B17" s="513" t="str">
        <f>IF('As-Filed Schedule 2I'!B17:D17=0,"",'As-Filed Schedule 2I'!B17:D17)</f>
        <v/>
      </c>
      <c r="C17" s="513"/>
      <c r="D17" s="513"/>
      <c r="F17" s="117">
        <f>'As-Filed Schedule 2I'!F17</f>
        <v>0</v>
      </c>
      <c r="G17" s="314">
        <f>SUMIFS(Adjustments!$G:$G,Adjustments!$H:$H,"2I",Adjustments!$I:$I,'Schedule 2I Adjustments'!$F$12,Adjustments!$J:$J,'Schedule 2I Adjustments'!$A17)</f>
        <v>0</v>
      </c>
      <c r="H17" s="310">
        <f t="shared" si="0"/>
        <v>0</v>
      </c>
      <c r="I17" s="68">
        <f>IFERROR(F17*'As-Filed Schedule 1'!$E$103,0)</f>
        <v>0</v>
      </c>
      <c r="J17" s="311">
        <f>IFERROR(H17*'Adjusted Schedule 1'!$E$104,0)</f>
        <v>0</v>
      </c>
      <c r="K17" s="68">
        <f t="shared" si="1"/>
        <v>0</v>
      </c>
      <c r="L17" s="311">
        <f t="shared" si="2"/>
        <v>0</v>
      </c>
      <c r="N17" s="117">
        <f>'As-Filed Schedule 2I'!J17</f>
        <v>0</v>
      </c>
      <c r="O17" s="314">
        <f>SUMIFS(Adjustments!$G:$G,Adjustments!$H:$H,"2I",Adjustments!$I:$I,'Schedule 2I Adjustments'!$N$12,Adjustments!$J:$J,'Schedule 2I Adjustments'!$A17)</f>
        <v>0</v>
      </c>
      <c r="P17" s="310">
        <f t="shared" si="3"/>
        <v>0</v>
      </c>
      <c r="Q17" s="68">
        <f>IFERROR(N17*'As-Filed Schedule 1'!$E$103,0)</f>
        <v>0</v>
      </c>
      <c r="R17" s="68">
        <f>IFERROR(P17*'Adjusted Schedule 1'!$E$104,0)</f>
        <v>0</v>
      </c>
      <c r="S17" s="68">
        <f t="shared" si="4"/>
        <v>0</v>
      </c>
      <c r="T17" s="311">
        <f t="shared" si="5"/>
        <v>0</v>
      </c>
      <c r="V17" s="120">
        <f>'As-Filed Schedule 2I'!N17</f>
        <v>0</v>
      </c>
      <c r="W17" s="314">
        <f>SUMIFS(Adjustments!$G:$G,Adjustments!$H:$H,"2I",Adjustments!$I:$I,'Schedule 2I Adjustments'!$V$12,Adjustments!$J:$J,'Schedule 2I Adjustments'!$A17)</f>
        <v>0</v>
      </c>
      <c r="X17" s="310">
        <f t="shared" si="6"/>
        <v>0</v>
      </c>
      <c r="Y17" s="120">
        <f>'As-Filed Schedule 2I'!O17</f>
        <v>0</v>
      </c>
      <c r="Z17" s="314">
        <f>SUMIFS(Adjustments!$G:$G,Adjustments!$H:$H,"2I",Adjustments!$I:$I,'Schedule 2I Adjustments'!$Y$12,Adjustments!$J:$J,'Schedule 2I Adjustments'!$A17)</f>
        <v>0</v>
      </c>
      <c r="AA17" s="310">
        <f t="shared" si="7"/>
        <v>0</v>
      </c>
    </row>
    <row r="18" spans="1:27" x14ac:dyDescent="0.35">
      <c r="A18" s="24">
        <v>4</v>
      </c>
      <c r="B18" s="513" t="str">
        <f>IF('As-Filed Schedule 2I'!B18:D18=0,"",'As-Filed Schedule 2I'!B18:D18)</f>
        <v/>
      </c>
      <c r="C18" s="513"/>
      <c r="D18" s="513"/>
      <c r="F18" s="117">
        <f>'As-Filed Schedule 2I'!F18</f>
        <v>0</v>
      </c>
      <c r="G18" s="314">
        <f>SUMIFS(Adjustments!$G:$G,Adjustments!$H:$H,"2I",Adjustments!$I:$I,'Schedule 2I Adjustments'!$F$12,Adjustments!$J:$J,'Schedule 2I Adjustments'!$A18)</f>
        <v>0</v>
      </c>
      <c r="H18" s="310">
        <f t="shared" si="0"/>
        <v>0</v>
      </c>
      <c r="I18" s="68">
        <f>IFERROR(F18*'As-Filed Schedule 1'!$E$103,0)</f>
        <v>0</v>
      </c>
      <c r="J18" s="311">
        <f>IFERROR(H18*'Adjusted Schedule 1'!$E$104,0)</f>
        <v>0</v>
      </c>
      <c r="K18" s="68">
        <f>SUM(F18,I18)</f>
        <v>0</v>
      </c>
      <c r="L18" s="311">
        <f>SUM(H18,J18)</f>
        <v>0</v>
      </c>
      <c r="N18" s="117">
        <f>'As-Filed Schedule 2I'!J18</f>
        <v>0</v>
      </c>
      <c r="O18" s="314">
        <f>SUMIFS(Adjustments!$G:$G,Adjustments!$H:$H,"2I",Adjustments!$I:$I,'Schedule 2I Adjustments'!$N$12,Adjustments!$J:$J,'Schedule 2I Adjustments'!$A18)</f>
        <v>0</v>
      </c>
      <c r="P18" s="310">
        <f t="shared" si="3"/>
        <v>0</v>
      </c>
      <c r="Q18" s="68">
        <f>IFERROR(N18*'As-Filed Schedule 1'!$E$103,0)</f>
        <v>0</v>
      </c>
      <c r="R18" s="68">
        <f>IFERROR(P18*'Adjusted Schedule 1'!$E$104,0)</f>
        <v>0</v>
      </c>
      <c r="S18" s="68">
        <f t="shared" si="4"/>
        <v>0</v>
      </c>
      <c r="T18" s="311">
        <f t="shared" si="5"/>
        <v>0</v>
      </c>
      <c r="V18" s="120">
        <f>'As-Filed Schedule 2I'!N18</f>
        <v>0</v>
      </c>
      <c r="W18" s="314">
        <f>SUMIFS(Adjustments!$G:$G,Adjustments!$H:$H,"2I",Adjustments!$I:$I,'Schedule 2I Adjustments'!$V$12,Adjustments!$J:$J,'Schedule 2I Adjustments'!$A18)</f>
        <v>0</v>
      </c>
      <c r="X18" s="310">
        <f t="shared" si="6"/>
        <v>0</v>
      </c>
      <c r="Y18" s="120">
        <f>'As-Filed Schedule 2I'!O18</f>
        <v>0</v>
      </c>
      <c r="Z18" s="314">
        <f>SUMIFS(Adjustments!$G:$G,Adjustments!$H:$H,"2I",Adjustments!$I:$I,'Schedule 2I Adjustments'!$Y$12,Adjustments!$J:$J,'Schedule 2I Adjustments'!$A18)</f>
        <v>0</v>
      </c>
      <c r="AA18" s="310">
        <f t="shared" si="7"/>
        <v>0</v>
      </c>
    </row>
    <row r="19" spans="1:27" x14ac:dyDescent="0.35">
      <c r="A19" s="24">
        <v>5</v>
      </c>
      <c r="B19" s="513" t="str">
        <f>IF('As-Filed Schedule 2I'!B19:D19=0,"",'As-Filed Schedule 2I'!B19:D19)</f>
        <v/>
      </c>
      <c r="C19" s="513"/>
      <c r="D19" s="513"/>
      <c r="F19" s="117">
        <f>'As-Filed Schedule 2I'!F19</f>
        <v>0</v>
      </c>
      <c r="G19" s="314">
        <f>SUMIFS(Adjustments!$G:$G,Adjustments!$H:$H,"2I",Adjustments!$I:$I,'Schedule 2I Adjustments'!$F$12,Adjustments!$J:$J,'Schedule 2I Adjustments'!$A19)</f>
        <v>0</v>
      </c>
      <c r="H19" s="310">
        <f t="shared" si="0"/>
        <v>0</v>
      </c>
      <c r="I19" s="68">
        <f>IFERROR(F19*'As-Filed Schedule 1'!$E$103,0)</f>
        <v>0</v>
      </c>
      <c r="J19" s="311">
        <f>IFERROR(H19*'Adjusted Schedule 1'!$E$104,0)</f>
        <v>0</v>
      </c>
      <c r="K19" s="68">
        <f t="shared" si="1"/>
        <v>0</v>
      </c>
      <c r="L19" s="311">
        <f>SUM(H19,J19)</f>
        <v>0</v>
      </c>
      <c r="N19" s="117">
        <f>'As-Filed Schedule 2I'!J19</f>
        <v>0</v>
      </c>
      <c r="O19" s="314">
        <f>SUMIFS(Adjustments!$G:$G,Adjustments!$H:$H,"2I",Adjustments!$I:$I,'Schedule 2I Adjustments'!$N$12,Adjustments!$J:$J,'Schedule 2I Adjustments'!$A19)</f>
        <v>0</v>
      </c>
      <c r="P19" s="310">
        <f t="shared" si="3"/>
        <v>0</v>
      </c>
      <c r="Q19" s="68">
        <f>IFERROR(N19*'As-Filed Schedule 1'!$E$103,0)</f>
        <v>0</v>
      </c>
      <c r="R19" s="68">
        <f>IFERROR(P19*'Adjusted Schedule 1'!$E$104,0)</f>
        <v>0</v>
      </c>
      <c r="S19" s="68">
        <f t="shared" si="4"/>
        <v>0</v>
      </c>
      <c r="T19" s="311">
        <f t="shared" si="5"/>
        <v>0</v>
      </c>
      <c r="V19" s="120">
        <f>'As-Filed Schedule 2I'!N19</f>
        <v>0</v>
      </c>
      <c r="W19" s="314">
        <f>SUMIFS(Adjustments!$G:$G,Adjustments!$H:$H,"2I",Adjustments!$I:$I,'Schedule 2I Adjustments'!$V$12,Adjustments!$J:$J,'Schedule 2I Adjustments'!$A19)</f>
        <v>0</v>
      </c>
      <c r="X19" s="310">
        <f t="shared" si="6"/>
        <v>0</v>
      </c>
      <c r="Y19" s="120">
        <f>'As-Filed Schedule 2I'!O19</f>
        <v>0</v>
      </c>
      <c r="Z19" s="314">
        <f>SUMIFS(Adjustments!$G:$G,Adjustments!$H:$H,"2I",Adjustments!$I:$I,'Schedule 2I Adjustments'!$Y$12,Adjustments!$J:$J,'Schedule 2I Adjustments'!$A19)</f>
        <v>0</v>
      </c>
      <c r="AA19" s="310">
        <f t="shared" si="7"/>
        <v>0</v>
      </c>
    </row>
    <row r="20" spans="1:27" x14ac:dyDescent="0.35">
      <c r="A20" s="24">
        <v>6</v>
      </c>
      <c r="B20" s="513" t="str">
        <f>IF('As-Filed Schedule 2I'!B20:D20=0,"",'As-Filed Schedule 2I'!B20:D20)</f>
        <v/>
      </c>
      <c r="C20" s="513"/>
      <c r="D20" s="513"/>
      <c r="F20" s="117">
        <f>'As-Filed Schedule 2I'!F20</f>
        <v>0</v>
      </c>
      <c r="G20" s="314">
        <f>SUMIFS(Adjustments!$G:$G,Adjustments!$H:$H,"2I",Adjustments!$I:$I,'Schedule 2I Adjustments'!$F$12,Adjustments!$J:$J,'Schedule 2I Adjustments'!$A20)</f>
        <v>0</v>
      </c>
      <c r="H20" s="310">
        <f t="shared" si="0"/>
        <v>0</v>
      </c>
      <c r="I20" s="68">
        <f>IFERROR(F20*'As-Filed Schedule 1'!$E$103,0)</f>
        <v>0</v>
      </c>
      <c r="J20" s="311">
        <f>IFERROR(H20*'Adjusted Schedule 1'!$E$104,0)</f>
        <v>0</v>
      </c>
      <c r="K20" s="68">
        <f>SUM(F20,I20)</f>
        <v>0</v>
      </c>
      <c r="L20" s="311">
        <f t="shared" si="2"/>
        <v>0</v>
      </c>
      <c r="N20" s="117">
        <f>'As-Filed Schedule 2I'!J20</f>
        <v>0</v>
      </c>
      <c r="O20" s="314">
        <f>SUMIFS(Adjustments!$G:$G,Adjustments!$H:$H,"2I",Adjustments!$I:$I,'Schedule 2I Adjustments'!$N$12,Adjustments!$J:$J,'Schedule 2I Adjustments'!$A20)</f>
        <v>0</v>
      </c>
      <c r="P20" s="310">
        <f t="shared" si="3"/>
        <v>0</v>
      </c>
      <c r="Q20" s="68">
        <f>IFERROR(N20*'As-Filed Schedule 1'!$E$103,0)</f>
        <v>0</v>
      </c>
      <c r="R20" s="68">
        <f>IFERROR(P20*'Adjusted Schedule 1'!$E$104,0)</f>
        <v>0</v>
      </c>
      <c r="S20" s="68">
        <f t="shared" si="4"/>
        <v>0</v>
      </c>
      <c r="T20" s="311">
        <f t="shared" si="5"/>
        <v>0</v>
      </c>
      <c r="V20" s="120">
        <f>'As-Filed Schedule 2I'!N20</f>
        <v>0</v>
      </c>
      <c r="W20" s="314">
        <f>SUMIFS(Adjustments!$G:$G,Adjustments!$H:$H,"2I",Adjustments!$I:$I,'Schedule 2I Adjustments'!$V$12,Adjustments!$J:$J,'Schedule 2I Adjustments'!$A20)</f>
        <v>0</v>
      </c>
      <c r="X20" s="310">
        <f t="shared" si="6"/>
        <v>0</v>
      </c>
      <c r="Y20" s="120">
        <f>'As-Filed Schedule 2I'!O20</f>
        <v>0</v>
      </c>
      <c r="Z20" s="314">
        <f>SUMIFS(Adjustments!$G:$G,Adjustments!$H:$H,"2I",Adjustments!$I:$I,'Schedule 2I Adjustments'!$Y$12,Adjustments!$J:$J,'Schedule 2I Adjustments'!$A20)</f>
        <v>0</v>
      </c>
      <c r="AA20" s="310">
        <f t="shared" si="7"/>
        <v>0</v>
      </c>
    </row>
    <row r="21" spans="1:27" x14ac:dyDescent="0.35">
      <c r="A21" s="24">
        <v>7</v>
      </c>
      <c r="B21" s="513" t="str">
        <f>IF('As-Filed Schedule 2I'!B21:D21=0,"",'As-Filed Schedule 2I'!B21:D21)</f>
        <v/>
      </c>
      <c r="C21" s="513"/>
      <c r="D21" s="513"/>
      <c r="F21" s="117">
        <f>'As-Filed Schedule 2I'!F21</f>
        <v>0</v>
      </c>
      <c r="G21" s="314">
        <f>SUMIFS(Adjustments!$G:$G,Adjustments!$H:$H,"2I",Adjustments!$I:$I,'Schedule 2I Adjustments'!$F$12,Adjustments!$J:$J,'Schedule 2I Adjustments'!$A21)</f>
        <v>0</v>
      </c>
      <c r="H21" s="310">
        <f t="shared" si="0"/>
        <v>0</v>
      </c>
      <c r="I21" s="68">
        <f>IFERROR(F21*'As-Filed Schedule 1'!$E$103,0)</f>
        <v>0</v>
      </c>
      <c r="J21" s="311">
        <f>IFERROR(H21*'Adjusted Schedule 1'!$E$104,0)</f>
        <v>0</v>
      </c>
      <c r="K21" s="68">
        <f t="shared" si="1"/>
        <v>0</v>
      </c>
      <c r="L21" s="311">
        <f t="shared" si="2"/>
        <v>0</v>
      </c>
      <c r="N21" s="117">
        <f>'As-Filed Schedule 2I'!J21</f>
        <v>0</v>
      </c>
      <c r="O21" s="314">
        <f>SUMIFS(Adjustments!$G:$G,Adjustments!$H:$H,"2I",Adjustments!$I:$I,'Schedule 2I Adjustments'!$N$12,Adjustments!$J:$J,'Schedule 2I Adjustments'!$A21)</f>
        <v>0</v>
      </c>
      <c r="P21" s="310">
        <f t="shared" si="3"/>
        <v>0</v>
      </c>
      <c r="Q21" s="68">
        <f>IFERROR(N21*'As-Filed Schedule 1'!$E$103,0)</f>
        <v>0</v>
      </c>
      <c r="R21" s="68">
        <f>IFERROR(P21*'Adjusted Schedule 1'!$E$104,0)</f>
        <v>0</v>
      </c>
      <c r="S21" s="68">
        <f>SUM(N21,Q21)</f>
        <v>0</v>
      </c>
      <c r="T21" s="311">
        <f>SUM(P21,R21)</f>
        <v>0</v>
      </c>
      <c r="V21" s="120">
        <f>'As-Filed Schedule 2I'!N21</f>
        <v>0</v>
      </c>
      <c r="W21" s="314">
        <f>SUMIFS(Adjustments!$G:$G,Adjustments!$H:$H,"2I",Adjustments!$I:$I,'Schedule 2I Adjustments'!$V$12,Adjustments!$J:$J,'Schedule 2I Adjustments'!$A21)</f>
        <v>0</v>
      </c>
      <c r="X21" s="310">
        <f t="shared" si="6"/>
        <v>0</v>
      </c>
      <c r="Y21" s="120">
        <f>'As-Filed Schedule 2I'!O21</f>
        <v>0</v>
      </c>
      <c r="Z21" s="314">
        <f>SUMIFS(Adjustments!$G:$G,Adjustments!$H:$H,"2I",Adjustments!$I:$I,'Schedule 2I Adjustments'!$Y$12,Adjustments!$J:$J,'Schedule 2I Adjustments'!$A21)</f>
        <v>0</v>
      </c>
      <c r="AA21" s="310">
        <f t="shared" si="7"/>
        <v>0</v>
      </c>
    </row>
    <row r="22" spans="1:27" x14ac:dyDescent="0.35">
      <c r="A22" s="24">
        <v>8</v>
      </c>
      <c r="B22" s="513" t="str">
        <f>IF('As-Filed Schedule 2I'!B22:D22=0,"",'As-Filed Schedule 2I'!B22:D22)</f>
        <v/>
      </c>
      <c r="C22" s="513"/>
      <c r="D22" s="513"/>
      <c r="F22" s="117">
        <f>'As-Filed Schedule 2I'!F22</f>
        <v>0</v>
      </c>
      <c r="G22" s="314">
        <f>SUMIFS(Adjustments!$G:$G,Adjustments!$H:$H,"2I",Adjustments!$I:$I,'Schedule 2I Adjustments'!$F$12,Adjustments!$J:$J,'Schedule 2I Adjustments'!$A22)</f>
        <v>0</v>
      </c>
      <c r="H22" s="310">
        <f t="shared" si="0"/>
        <v>0</v>
      </c>
      <c r="I22" s="68">
        <f>IFERROR(F22*'As-Filed Schedule 1'!$E$103,0)</f>
        <v>0</v>
      </c>
      <c r="J22" s="311">
        <f>IFERROR(H22*'Adjusted Schedule 1'!$E$104,0)</f>
        <v>0</v>
      </c>
      <c r="K22" s="68">
        <f t="shared" si="1"/>
        <v>0</v>
      </c>
      <c r="L22" s="311">
        <f t="shared" si="2"/>
        <v>0</v>
      </c>
      <c r="N22" s="117">
        <f>'As-Filed Schedule 2I'!J22</f>
        <v>0</v>
      </c>
      <c r="O22" s="314">
        <f>SUMIFS(Adjustments!$G:$G,Adjustments!$H:$H,"2I",Adjustments!$I:$I,'Schedule 2I Adjustments'!$N$12,Adjustments!$J:$J,'Schedule 2I Adjustments'!$A22)</f>
        <v>0</v>
      </c>
      <c r="P22" s="310">
        <f t="shared" si="3"/>
        <v>0</v>
      </c>
      <c r="Q22" s="68">
        <f>IFERROR(N22*'As-Filed Schedule 1'!$E$103,0)</f>
        <v>0</v>
      </c>
      <c r="R22" s="68">
        <f>IFERROR(P22*'Adjusted Schedule 1'!$E$104,0)</f>
        <v>0</v>
      </c>
      <c r="S22" s="68">
        <f t="shared" si="4"/>
        <v>0</v>
      </c>
      <c r="T22" s="311">
        <f t="shared" si="5"/>
        <v>0</v>
      </c>
      <c r="V22" s="120">
        <f>'As-Filed Schedule 2I'!N22</f>
        <v>0</v>
      </c>
      <c r="W22" s="314">
        <f>SUMIFS(Adjustments!$G:$G,Adjustments!$H:$H,"2I",Adjustments!$I:$I,'Schedule 2I Adjustments'!$V$12,Adjustments!$J:$J,'Schedule 2I Adjustments'!$A22)</f>
        <v>0</v>
      </c>
      <c r="X22" s="310">
        <f t="shared" si="6"/>
        <v>0</v>
      </c>
      <c r="Y22" s="120">
        <f>'As-Filed Schedule 2I'!O22</f>
        <v>0</v>
      </c>
      <c r="Z22" s="314">
        <f>SUMIFS(Adjustments!$G:$G,Adjustments!$H:$H,"2I",Adjustments!$I:$I,'Schedule 2I Adjustments'!$Y$12,Adjustments!$J:$J,'Schedule 2I Adjustments'!$A22)</f>
        <v>0</v>
      </c>
      <c r="AA22" s="310">
        <f t="shared" si="7"/>
        <v>0</v>
      </c>
    </row>
    <row r="23" spans="1:27" x14ac:dyDescent="0.35">
      <c r="A23" s="24">
        <v>9</v>
      </c>
      <c r="B23" s="513" t="str">
        <f>IF('As-Filed Schedule 2I'!B23:D23=0,"",'As-Filed Schedule 2I'!B23:D23)</f>
        <v/>
      </c>
      <c r="C23" s="513"/>
      <c r="D23" s="513"/>
      <c r="F23" s="117">
        <f>'As-Filed Schedule 2I'!F23</f>
        <v>0</v>
      </c>
      <c r="G23" s="314">
        <f>SUMIFS(Adjustments!$G:$G,Adjustments!$H:$H,"2I",Adjustments!$I:$I,'Schedule 2I Adjustments'!$F$12,Adjustments!$J:$J,'Schedule 2I Adjustments'!$A23)</f>
        <v>0</v>
      </c>
      <c r="H23" s="310">
        <f t="shared" si="0"/>
        <v>0</v>
      </c>
      <c r="I23" s="68">
        <f>IFERROR(F23*'As-Filed Schedule 1'!$E$103,0)</f>
        <v>0</v>
      </c>
      <c r="J23" s="311">
        <f>IFERROR(H23*'Adjusted Schedule 1'!$E$104,0)</f>
        <v>0</v>
      </c>
      <c r="K23" s="68">
        <f t="shared" si="1"/>
        <v>0</v>
      </c>
      <c r="L23" s="311">
        <f t="shared" si="2"/>
        <v>0</v>
      </c>
      <c r="N23" s="117">
        <f>'As-Filed Schedule 2I'!J23</f>
        <v>0</v>
      </c>
      <c r="O23" s="314">
        <f>SUMIFS(Adjustments!$G:$G,Adjustments!$H:$H,"2I",Adjustments!$I:$I,'Schedule 2I Adjustments'!$N$12,Adjustments!$J:$J,'Schedule 2I Adjustments'!$A23)</f>
        <v>0</v>
      </c>
      <c r="P23" s="310">
        <f t="shared" si="3"/>
        <v>0</v>
      </c>
      <c r="Q23" s="68">
        <f>IFERROR(N23*'As-Filed Schedule 1'!$E$103,0)</f>
        <v>0</v>
      </c>
      <c r="R23" s="68">
        <f>IFERROR(P23*'Adjusted Schedule 1'!$E$104,0)</f>
        <v>0</v>
      </c>
      <c r="S23" s="68">
        <f t="shared" si="4"/>
        <v>0</v>
      </c>
      <c r="T23" s="311">
        <f t="shared" si="5"/>
        <v>0</v>
      </c>
      <c r="V23" s="120">
        <f>'As-Filed Schedule 2I'!N23</f>
        <v>0</v>
      </c>
      <c r="W23" s="314">
        <f>SUMIFS(Adjustments!$G:$G,Adjustments!$H:$H,"2I",Adjustments!$I:$I,'Schedule 2I Adjustments'!$V$12,Adjustments!$J:$J,'Schedule 2I Adjustments'!$A23)</f>
        <v>0</v>
      </c>
      <c r="X23" s="310">
        <f t="shared" si="6"/>
        <v>0</v>
      </c>
      <c r="Y23" s="120">
        <f>'As-Filed Schedule 2I'!O23</f>
        <v>0</v>
      </c>
      <c r="Z23" s="314">
        <f>SUMIFS(Adjustments!$G:$G,Adjustments!$H:$H,"2I",Adjustments!$I:$I,'Schedule 2I Adjustments'!$Y$12,Adjustments!$J:$J,'Schedule 2I Adjustments'!$A23)</f>
        <v>0</v>
      </c>
      <c r="AA23" s="310">
        <f t="shared" si="7"/>
        <v>0</v>
      </c>
    </row>
    <row r="24" spans="1:27" x14ac:dyDescent="0.35">
      <c r="A24" s="24">
        <v>10</v>
      </c>
      <c r="B24" s="513" t="str">
        <f>IF('As-Filed Schedule 2I'!B24:D24=0,"",'As-Filed Schedule 2I'!B24:D24)</f>
        <v/>
      </c>
      <c r="C24" s="513"/>
      <c r="D24" s="513"/>
      <c r="F24" s="117">
        <f>'As-Filed Schedule 2I'!F24</f>
        <v>0</v>
      </c>
      <c r="G24" s="314">
        <f>SUMIFS(Adjustments!$G:$G,Adjustments!$H:$H,"2I",Adjustments!$I:$I,'Schedule 2I Adjustments'!$F$12,Adjustments!$J:$J,'Schedule 2I Adjustments'!$A24)</f>
        <v>0</v>
      </c>
      <c r="H24" s="310">
        <f t="shared" si="0"/>
        <v>0</v>
      </c>
      <c r="I24" s="68">
        <f>IFERROR(F24*'As-Filed Schedule 1'!$E$103,0)</f>
        <v>0</v>
      </c>
      <c r="J24" s="311">
        <f>IFERROR(H24*'Adjusted Schedule 1'!$E$104,0)</f>
        <v>0</v>
      </c>
      <c r="K24" s="68">
        <f t="shared" si="1"/>
        <v>0</v>
      </c>
      <c r="L24" s="311">
        <f t="shared" si="2"/>
        <v>0</v>
      </c>
      <c r="N24" s="117">
        <f>'As-Filed Schedule 2I'!J24</f>
        <v>0</v>
      </c>
      <c r="O24" s="314">
        <f>SUMIFS(Adjustments!$G:$G,Adjustments!$H:$H,"2I",Adjustments!$I:$I,'Schedule 2I Adjustments'!$N$12,Adjustments!$J:$J,'Schedule 2I Adjustments'!$A24)</f>
        <v>0</v>
      </c>
      <c r="P24" s="310">
        <f t="shared" si="3"/>
        <v>0</v>
      </c>
      <c r="Q24" s="68">
        <f>IFERROR(N24*'As-Filed Schedule 1'!$E$103,0)</f>
        <v>0</v>
      </c>
      <c r="R24" s="68">
        <f>IFERROR(P24*'Adjusted Schedule 1'!$E$104,0)</f>
        <v>0</v>
      </c>
      <c r="S24" s="68">
        <f t="shared" si="4"/>
        <v>0</v>
      </c>
      <c r="T24" s="311">
        <f t="shared" si="5"/>
        <v>0</v>
      </c>
      <c r="V24" s="120">
        <f>'As-Filed Schedule 2I'!N24</f>
        <v>0</v>
      </c>
      <c r="W24" s="314">
        <f>SUMIFS(Adjustments!$G:$G,Adjustments!$H:$H,"2I",Adjustments!$I:$I,'Schedule 2I Adjustments'!$V$12,Adjustments!$J:$J,'Schedule 2I Adjustments'!$A24)</f>
        <v>0</v>
      </c>
      <c r="X24" s="310">
        <f t="shared" si="6"/>
        <v>0</v>
      </c>
      <c r="Y24" s="120">
        <f>'As-Filed Schedule 2I'!O24</f>
        <v>0</v>
      </c>
      <c r="Z24" s="314">
        <f>SUMIFS(Adjustments!$G:$G,Adjustments!$H:$H,"2I",Adjustments!$I:$I,'Schedule 2I Adjustments'!$Y$12,Adjustments!$J:$J,'Schedule 2I Adjustments'!$A24)</f>
        <v>0</v>
      </c>
      <c r="AA24" s="310">
        <f t="shared" si="7"/>
        <v>0</v>
      </c>
    </row>
    <row r="25" spans="1:27" x14ac:dyDescent="0.35">
      <c r="A25" s="24">
        <v>11</v>
      </c>
      <c r="B25" s="513" t="str">
        <f>IF('As-Filed Schedule 2I'!B25:D25=0,"",'As-Filed Schedule 2I'!B25:D25)</f>
        <v/>
      </c>
      <c r="C25" s="513"/>
      <c r="D25" s="513"/>
      <c r="F25" s="117">
        <f>'As-Filed Schedule 2I'!F25</f>
        <v>0</v>
      </c>
      <c r="G25" s="314">
        <f>SUMIFS(Adjustments!$G:$G,Adjustments!$H:$H,"2I",Adjustments!$I:$I,'Schedule 2I Adjustments'!$F$12,Adjustments!$J:$J,'Schedule 2I Adjustments'!$A25)</f>
        <v>0</v>
      </c>
      <c r="H25" s="310">
        <f t="shared" si="0"/>
        <v>0</v>
      </c>
      <c r="I25" s="68">
        <f>IFERROR(F25*'As-Filed Schedule 1'!$E$103,0)</f>
        <v>0</v>
      </c>
      <c r="J25" s="311">
        <f>IFERROR(H25*'Adjusted Schedule 1'!$E$104,0)</f>
        <v>0</v>
      </c>
      <c r="K25" s="68">
        <f t="shared" si="1"/>
        <v>0</v>
      </c>
      <c r="L25" s="311">
        <f t="shared" si="2"/>
        <v>0</v>
      </c>
      <c r="N25" s="117">
        <f>'As-Filed Schedule 2I'!J25</f>
        <v>0</v>
      </c>
      <c r="O25" s="314">
        <f>SUMIFS(Adjustments!$G:$G,Adjustments!$H:$H,"2I",Adjustments!$I:$I,'Schedule 2I Adjustments'!$N$12,Adjustments!$J:$J,'Schedule 2I Adjustments'!$A25)</f>
        <v>0</v>
      </c>
      <c r="P25" s="310">
        <f t="shared" si="3"/>
        <v>0</v>
      </c>
      <c r="Q25" s="68">
        <f>IFERROR(N25*'As-Filed Schedule 1'!$E$103,0)</f>
        <v>0</v>
      </c>
      <c r="R25" s="68">
        <f>IFERROR(P25*'Adjusted Schedule 1'!$E$104,0)</f>
        <v>0</v>
      </c>
      <c r="S25" s="68">
        <f t="shared" si="4"/>
        <v>0</v>
      </c>
      <c r="T25" s="311">
        <f t="shared" si="5"/>
        <v>0</v>
      </c>
      <c r="V25" s="120">
        <f>'As-Filed Schedule 2I'!N25</f>
        <v>0</v>
      </c>
      <c r="W25" s="314">
        <f>SUMIFS(Adjustments!$G:$G,Adjustments!$H:$H,"2I",Adjustments!$I:$I,'Schedule 2I Adjustments'!$V$12,Adjustments!$J:$J,'Schedule 2I Adjustments'!$A25)</f>
        <v>0</v>
      </c>
      <c r="X25" s="310">
        <f t="shared" si="6"/>
        <v>0</v>
      </c>
      <c r="Y25" s="120">
        <f>'As-Filed Schedule 2I'!O25</f>
        <v>0</v>
      </c>
      <c r="Z25" s="314">
        <f>SUMIFS(Adjustments!$G:$G,Adjustments!$H:$H,"2I",Adjustments!$I:$I,'Schedule 2I Adjustments'!$Y$12,Adjustments!$J:$J,'Schedule 2I Adjustments'!$A25)</f>
        <v>0</v>
      </c>
      <c r="AA25" s="310">
        <f t="shared" si="7"/>
        <v>0</v>
      </c>
    </row>
    <row r="26" spans="1:27" x14ac:dyDescent="0.35">
      <c r="A26" s="24">
        <v>12</v>
      </c>
      <c r="B26" s="513" t="str">
        <f>IF('As-Filed Schedule 2I'!B26:D26=0,"",'As-Filed Schedule 2I'!B26:D26)</f>
        <v/>
      </c>
      <c r="C26" s="513"/>
      <c r="D26" s="513"/>
      <c r="F26" s="117">
        <f>'As-Filed Schedule 2I'!F26</f>
        <v>0</v>
      </c>
      <c r="G26" s="314">
        <f>SUMIFS(Adjustments!$G:$G,Adjustments!$H:$H,"2I",Adjustments!$I:$I,'Schedule 2I Adjustments'!$F$12,Adjustments!$J:$J,'Schedule 2I Adjustments'!$A26)</f>
        <v>0</v>
      </c>
      <c r="H26" s="310">
        <f t="shared" si="0"/>
        <v>0</v>
      </c>
      <c r="I26" s="68">
        <f>IFERROR(F26*'As-Filed Schedule 1'!$E$103,0)</f>
        <v>0</v>
      </c>
      <c r="J26" s="311">
        <f>IFERROR(H26*'Adjusted Schedule 1'!$E$104,0)</f>
        <v>0</v>
      </c>
      <c r="K26" s="68">
        <f t="shared" si="1"/>
        <v>0</v>
      </c>
      <c r="L26" s="311">
        <f t="shared" si="2"/>
        <v>0</v>
      </c>
      <c r="N26" s="117">
        <f>'As-Filed Schedule 2I'!J26</f>
        <v>0</v>
      </c>
      <c r="O26" s="314">
        <f>SUMIFS(Adjustments!$G:$G,Adjustments!$H:$H,"2I",Adjustments!$I:$I,'Schedule 2I Adjustments'!$N$12,Adjustments!$J:$J,'Schedule 2I Adjustments'!$A26)</f>
        <v>0</v>
      </c>
      <c r="P26" s="310">
        <f t="shared" si="3"/>
        <v>0</v>
      </c>
      <c r="Q26" s="68">
        <f>IFERROR(N26*'As-Filed Schedule 1'!$E$103,0)</f>
        <v>0</v>
      </c>
      <c r="R26" s="68">
        <f>IFERROR(P26*'Adjusted Schedule 1'!$E$104,0)</f>
        <v>0</v>
      </c>
      <c r="S26" s="68">
        <f t="shared" si="4"/>
        <v>0</v>
      </c>
      <c r="T26" s="311">
        <f t="shared" si="5"/>
        <v>0</v>
      </c>
      <c r="V26" s="120">
        <f>'As-Filed Schedule 2I'!N26</f>
        <v>0</v>
      </c>
      <c r="W26" s="314">
        <f>SUMIFS(Adjustments!$G:$G,Adjustments!$H:$H,"2I",Adjustments!$I:$I,'Schedule 2I Adjustments'!$V$12,Adjustments!$J:$J,'Schedule 2I Adjustments'!$A26)</f>
        <v>0</v>
      </c>
      <c r="X26" s="310">
        <f t="shared" si="6"/>
        <v>0</v>
      </c>
      <c r="Y26" s="120">
        <f>'As-Filed Schedule 2I'!O26</f>
        <v>0</v>
      </c>
      <c r="Z26" s="314">
        <f>SUMIFS(Adjustments!$G:$G,Adjustments!$H:$H,"2I",Adjustments!$I:$I,'Schedule 2I Adjustments'!$Y$12,Adjustments!$J:$J,'Schedule 2I Adjustments'!$A26)</f>
        <v>0</v>
      </c>
      <c r="AA26" s="310">
        <f t="shared" si="7"/>
        <v>0</v>
      </c>
    </row>
    <row r="27" spans="1:27" x14ac:dyDescent="0.35">
      <c r="A27" s="24">
        <v>13</v>
      </c>
      <c r="B27" s="513" t="str">
        <f>IF('As-Filed Schedule 2I'!B27:D27=0,"",'As-Filed Schedule 2I'!B27:D27)</f>
        <v/>
      </c>
      <c r="C27" s="513"/>
      <c r="D27" s="513"/>
      <c r="F27" s="117">
        <f>'As-Filed Schedule 2I'!F27</f>
        <v>0</v>
      </c>
      <c r="G27" s="314">
        <f>SUMIFS(Adjustments!$G:$G,Adjustments!$H:$H,"2I",Adjustments!$I:$I,'Schedule 2I Adjustments'!$F$12,Adjustments!$J:$J,'Schedule 2I Adjustments'!$A27)</f>
        <v>0</v>
      </c>
      <c r="H27" s="310">
        <f t="shared" si="0"/>
        <v>0</v>
      </c>
      <c r="I27" s="68">
        <f>IFERROR(F27*'As-Filed Schedule 1'!$E$103,0)</f>
        <v>0</v>
      </c>
      <c r="J27" s="311">
        <f>IFERROR(H27*'Adjusted Schedule 1'!$E$104,0)</f>
        <v>0</v>
      </c>
      <c r="K27" s="68">
        <f t="shared" si="1"/>
        <v>0</v>
      </c>
      <c r="L27" s="311">
        <f t="shared" si="2"/>
        <v>0</v>
      </c>
      <c r="N27" s="117">
        <f>'As-Filed Schedule 2I'!J27</f>
        <v>0</v>
      </c>
      <c r="O27" s="314">
        <f>SUMIFS(Adjustments!$G:$G,Adjustments!$H:$H,"2I",Adjustments!$I:$I,'Schedule 2I Adjustments'!$N$12,Adjustments!$J:$J,'Schedule 2I Adjustments'!$A27)</f>
        <v>0</v>
      </c>
      <c r="P27" s="310">
        <f t="shared" si="3"/>
        <v>0</v>
      </c>
      <c r="Q27" s="68">
        <f>IFERROR(N27*'As-Filed Schedule 1'!$E$103,0)</f>
        <v>0</v>
      </c>
      <c r="R27" s="68">
        <f>IFERROR(P27*'Adjusted Schedule 1'!$E$104,0)</f>
        <v>0</v>
      </c>
      <c r="S27" s="68">
        <f t="shared" si="4"/>
        <v>0</v>
      </c>
      <c r="T27" s="311">
        <f t="shared" si="5"/>
        <v>0</v>
      </c>
      <c r="V27" s="120">
        <f>'As-Filed Schedule 2I'!N27</f>
        <v>0</v>
      </c>
      <c r="W27" s="314">
        <f>SUMIFS(Adjustments!$G:$G,Adjustments!$H:$H,"2I",Adjustments!$I:$I,'Schedule 2I Adjustments'!$V$12,Adjustments!$J:$J,'Schedule 2I Adjustments'!$A27)</f>
        <v>0</v>
      </c>
      <c r="X27" s="310">
        <f t="shared" si="6"/>
        <v>0</v>
      </c>
      <c r="Y27" s="120">
        <f>'As-Filed Schedule 2I'!O27</f>
        <v>0</v>
      </c>
      <c r="Z27" s="314">
        <f>SUMIFS(Adjustments!$G:$G,Adjustments!$H:$H,"2I",Adjustments!$I:$I,'Schedule 2I Adjustments'!$Y$12,Adjustments!$J:$J,'Schedule 2I Adjustments'!$A27)</f>
        <v>0</v>
      </c>
      <c r="AA27" s="310">
        <f t="shared" si="7"/>
        <v>0</v>
      </c>
    </row>
    <row r="28" spans="1:27" x14ac:dyDescent="0.35">
      <c r="A28" s="24">
        <v>14</v>
      </c>
      <c r="B28" s="513" t="str">
        <f>IF('As-Filed Schedule 2I'!B28:D28=0,"",'As-Filed Schedule 2I'!B28:D28)</f>
        <v/>
      </c>
      <c r="C28" s="513"/>
      <c r="D28" s="513"/>
      <c r="F28" s="117">
        <f>'As-Filed Schedule 2I'!F28</f>
        <v>0</v>
      </c>
      <c r="G28" s="314">
        <f>SUMIFS(Adjustments!$G:$G,Adjustments!$H:$H,"2I",Adjustments!$I:$I,'Schedule 2I Adjustments'!$F$12,Adjustments!$J:$J,'Schedule 2I Adjustments'!$A28)</f>
        <v>0</v>
      </c>
      <c r="H28" s="310">
        <f t="shared" si="0"/>
        <v>0</v>
      </c>
      <c r="I28" s="68">
        <f>IFERROR(F28*'As-Filed Schedule 1'!$E$103,0)</f>
        <v>0</v>
      </c>
      <c r="J28" s="311">
        <f>IFERROR(H28*'Adjusted Schedule 1'!$E$104,0)</f>
        <v>0</v>
      </c>
      <c r="K28" s="68">
        <f t="shared" si="1"/>
        <v>0</v>
      </c>
      <c r="L28" s="311">
        <f t="shared" si="2"/>
        <v>0</v>
      </c>
      <c r="N28" s="117">
        <f>'As-Filed Schedule 2I'!J28</f>
        <v>0</v>
      </c>
      <c r="O28" s="314">
        <f>SUMIFS(Adjustments!$G:$G,Adjustments!$H:$H,"2I",Adjustments!$I:$I,'Schedule 2I Adjustments'!$N$12,Adjustments!$J:$J,'Schedule 2I Adjustments'!$A28)</f>
        <v>0</v>
      </c>
      <c r="P28" s="310">
        <f t="shared" si="3"/>
        <v>0</v>
      </c>
      <c r="Q28" s="68">
        <f>IFERROR(N28*'As-Filed Schedule 1'!$E$103,0)</f>
        <v>0</v>
      </c>
      <c r="R28" s="68">
        <f>IFERROR(P28*'Adjusted Schedule 1'!$E$104,0)</f>
        <v>0</v>
      </c>
      <c r="S28" s="68">
        <f t="shared" si="4"/>
        <v>0</v>
      </c>
      <c r="T28" s="311">
        <f t="shared" si="5"/>
        <v>0</v>
      </c>
      <c r="V28" s="120">
        <f>'As-Filed Schedule 2I'!N28</f>
        <v>0</v>
      </c>
      <c r="W28" s="314">
        <f>SUMIFS(Adjustments!$G:$G,Adjustments!$H:$H,"2I",Adjustments!$I:$I,'Schedule 2I Adjustments'!$V$12,Adjustments!$J:$J,'Schedule 2I Adjustments'!$A28)</f>
        <v>0</v>
      </c>
      <c r="X28" s="310">
        <f t="shared" si="6"/>
        <v>0</v>
      </c>
      <c r="Y28" s="120">
        <f>'As-Filed Schedule 2I'!O28</f>
        <v>0</v>
      </c>
      <c r="Z28" s="314">
        <f>SUMIFS(Adjustments!$G:$G,Adjustments!$H:$H,"2I",Adjustments!$I:$I,'Schedule 2I Adjustments'!$Y$12,Adjustments!$J:$J,'Schedule 2I Adjustments'!$A28)</f>
        <v>0</v>
      </c>
      <c r="AA28" s="310">
        <f t="shared" si="7"/>
        <v>0</v>
      </c>
    </row>
    <row r="29" spans="1:27" x14ac:dyDescent="0.35">
      <c r="A29" s="24">
        <v>15</v>
      </c>
      <c r="B29" s="513" t="str">
        <f>IF('As-Filed Schedule 2I'!B29:D29=0,"",'As-Filed Schedule 2I'!B29:D29)</f>
        <v/>
      </c>
      <c r="C29" s="513"/>
      <c r="D29" s="513"/>
      <c r="F29" s="117">
        <f>'As-Filed Schedule 2I'!F29</f>
        <v>0</v>
      </c>
      <c r="G29" s="314">
        <f>SUMIFS(Adjustments!$G:$G,Adjustments!$H:$H,"2I",Adjustments!$I:$I,'Schedule 2I Adjustments'!$F$12,Adjustments!$J:$J,'Schedule 2I Adjustments'!$A29)</f>
        <v>0</v>
      </c>
      <c r="H29" s="310">
        <f t="shared" si="0"/>
        <v>0</v>
      </c>
      <c r="I29" s="68">
        <f>IFERROR(F29*'As-Filed Schedule 1'!$E$103,0)</f>
        <v>0</v>
      </c>
      <c r="J29" s="311">
        <f>IFERROR(H29*'Adjusted Schedule 1'!$E$104,0)</f>
        <v>0</v>
      </c>
      <c r="K29" s="68">
        <f t="shared" si="1"/>
        <v>0</v>
      </c>
      <c r="L29" s="311">
        <f t="shared" si="2"/>
        <v>0</v>
      </c>
      <c r="N29" s="117">
        <f>'As-Filed Schedule 2I'!J29</f>
        <v>0</v>
      </c>
      <c r="O29" s="314">
        <f>SUMIFS(Adjustments!$G:$G,Adjustments!$H:$H,"2I",Adjustments!$I:$I,'Schedule 2I Adjustments'!$N$12,Adjustments!$J:$J,'Schedule 2I Adjustments'!$A29)</f>
        <v>0</v>
      </c>
      <c r="P29" s="310">
        <f t="shared" si="3"/>
        <v>0</v>
      </c>
      <c r="Q29" s="68">
        <f>IFERROR(N29*'As-Filed Schedule 1'!$E$103,0)</f>
        <v>0</v>
      </c>
      <c r="R29" s="68">
        <f>IFERROR(P29*'Adjusted Schedule 1'!$E$104,0)</f>
        <v>0</v>
      </c>
      <c r="S29" s="68">
        <f t="shared" si="4"/>
        <v>0</v>
      </c>
      <c r="T29" s="311">
        <f t="shared" si="5"/>
        <v>0</v>
      </c>
      <c r="V29" s="120">
        <f>'As-Filed Schedule 2I'!N29</f>
        <v>0</v>
      </c>
      <c r="W29" s="314">
        <f>SUMIFS(Adjustments!$G:$G,Adjustments!$H:$H,"2I",Adjustments!$I:$I,'Schedule 2I Adjustments'!$V$12,Adjustments!$J:$J,'Schedule 2I Adjustments'!$A29)</f>
        <v>0</v>
      </c>
      <c r="X29" s="310">
        <f t="shared" si="6"/>
        <v>0</v>
      </c>
      <c r="Y29" s="120">
        <f>'As-Filed Schedule 2I'!O29</f>
        <v>0</v>
      </c>
      <c r="Z29" s="314">
        <f>SUMIFS(Adjustments!$G:$G,Adjustments!$H:$H,"2I",Adjustments!$I:$I,'Schedule 2I Adjustments'!$Y$12,Adjustments!$J:$J,'Schedule 2I Adjustments'!$A29)</f>
        <v>0</v>
      </c>
      <c r="AA29" s="310">
        <f t="shared" si="7"/>
        <v>0</v>
      </c>
    </row>
    <row r="30" spans="1:27" x14ac:dyDescent="0.35">
      <c r="A30" s="24">
        <v>16</v>
      </c>
      <c r="B30" s="513" t="str">
        <f>IF('As-Filed Schedule 2I'!B30:D30=0,"",'As-Filed Schedule 2I'!B30:D30)</f>
        <v/>
      </c>
      <c r="C30" s="513"/>
      <c r="D30" s="513"/>
      <c r="F30" s="117">
        <f>'As-Filed Schedule 2I'!F30</f>
        <v>0</v>
      </c>
      <c r="G30" s="314">
        <f>SUMIFS(Adjustments!$G:$G,Adjustments!$H:$H,"2I",Adjustments!$I:$I,'Schedule 2I Adjustments'!$F$12,Adjustments!$J:$J,'Schedule 2I Adjustments'!$A30)</f>
        <v>0</v>
      </c>
      <c r="H30" s="310">
        <f t="shared" si="0"/>
        <v>0</v>
      </c>
      <c r="I30" s="68">
        <f>IFERROR(F30*'As-Filed Schedule 1'!$E$103,0)</f>
        <v>0</v>
      </c>
      <c r="J30" s="311">
        <f>IFERROR(H30*'Adjusted Schedule 1'!$E$104,0)</f>
        <v>0</v>
      </c>
      <c r="K30" s="68">
        <f t="shared" si="1"/>
        <v>0</v>
      </c>
      <c r="L30" s="311">
        <f t="shared" si="2"/>
        <v>0</v>
      </c>
      <c r="N30" s="117">
        <f>'As-Filed Schedule 2I'!J30</f>
        <v>0</v>
      </c>
      <c r="O30" s="314">
        <f>SUMIFS(Adjustments!$G:$G,Adjustments!$H:$H,"2I",Adjustments!$I:$I,'Schedule 2I Adjustments'!$N$12,Adjustments!$J:$J,'Schedule 2I Adjustments'!$A30)</f>
        <v>0</v>
      </c>
      <c r="P30" s="310">
        <f t="shared" si="3"/>
        <v>0</v>
      </c>
      <c r="Q30" s="68">
        <f>IFERROR(N30*'As-Filed Schedule 1'!$E$103,0)</f>
        <v>0</v>
      </c>
      <c r="R30" s="68">
        <f>IFERROR(P30*'Adjusted Schedule 1'!$E$104,0)</f>
        <v>0</v>
      </c>
      <c r="S30" s="68">
        <f t="shared" si="4"/>
        <v>0</v>
      </c>
      <c r="T30" s="311">
        <f t="shared" si="5"/>
        <v>0</v>
      </c>
      <c r="V30" s="120">
        <f>'As-Filed Schedule 2I'!N30</f>
        <v>0</v>
      </c>
      <c r="W30" s="314">
        <f>SUMIFS(Adjustments!$G:$G,Adjustments!$H:$H,"2I",Adjustments!$I:$I,'Schedule 2I Adjustments'!$V$12,Adjustments!$J:$J,'Schedule 2I Adjustments'!$A30)</f>
        <v>0</v>
      </c>
      <c r="X30" s="310">
        <f t="shared" si="6"/>
        <v>0</v>
      </c>
      <c r="Y30" s="120">
        <f>'As-Filed Schedule 2I'!O30</f>
        <v>0</v>
      </c>
      <c r="Z30" s="314">
        <f>SUMIFS(Adjustments!$G:$G,Adjustments!$H:$H,"2I",Adjustments!$I:$I,'Schedule 2I Adjustments'!$Y$12,Adjustments!$J:$J,'Schedule 2I Adjustments'!$A30)</f>
        <v>0</v>
      </c>
      <c r="AA30" s="310">
        <f t="shared" si="7"/>
        <v>0</v>
      </c>
    </row>
    <row r="31" spans="1:27" x14ac:dyDescent="0.35">
      <c r="A31" s="24">
        <v>17</v>
      </c>
      <c r="B31" s="513" t="str">
        <f>IF('As-Filed Schedule 2I'!B31:D31=0,"",'As-Filed Schedule 2I'!B31:D31)</f>
        <v/>
      </c>
      <c r="C31" s="513"/>
      <c r="D31" s="513"/>
      <c r="F31" s="117">
        <f>'As-Filed Schedule 2I'!F31</f>
        <v>0</v>
      </c>
      <c r="G31" s="314">
        <f>SUMIFS(Adjustments!$G:$G,Adjustments!$H:$H,"2I",Adjustments!$I:$I,'Schedule 2I Adjustments'!$F$12,Adjustments!$J:$J,'Schedule 2I Adjustments'!$A31)</f>
        <v>0</v>
      </c>
      <c r="H31" s="310">
        <f t="shared" si="0"/>
        <v>0</v>
      </c>
      <c r="I31" s="68">
        <f>IFERROR(F31*'As-Filed Schedule 1'!$E$103,0)</f>
        <v>0</v>
      </c>
      <c r="J31" s="311">
        <f>IFERROR(H31*'Adjusted Schedule 1'!$E$104,0)</f>
        <v>0</v>
      </c>
      <c r="K31" s="68">
        <f t="shared" si="1"/>
        <v>0</v>
      </c>
      <c r="L31" s="311">
        <f t="shared" si="2"/>
        <v>0</v>
      </c>
      <c r="N31" s="117">
        <f>'As-Filed Schedule 2I'!J31</f>
        <v>0</v>
      </c>
      <c r="O31" s="314">
        <f>SUMIFS(Adjustments!$G:$G,Adjustments!$H:$H,"2I",Adjustments!$I:$I,'Schedule 2I Adjustments'!$N$12,Adjustments!$J:$J,'Schedule 2I Adjustments'!$A31)</f>
        <v>0</v>
      </c>
      <c r="P31" s="310">
        <f t="shared" si="3"/>
        <v>0</v>
      </c>
      <c r="Q31" s="68">
        <f>IFERROR(N31*'As-Filed Schedule 1'!$E$103,0)</f>
        <v>0</v>
      </c>
      <c r="R31" s="68">
        <f>IFERROR(P31*'Adjusted Schedule 1'!$E$104,0)</f>
        <v>0</v>
      </c>
      <c r="S31" s="68">
        <f t="shared" si="4"/>
        <v>0</v>
      </c>
      <c r="T31" s="311">
        <f t="shared" si="5"/>
        <v>0</v>
      </c>
      <c r="V31" s="120">
        <f>'As-Filed Schedule 2I'!N31</f>
        <v>0</v>
      </c>
      <c r="W31" s="314">
        <f>SUMIFS(Adjustments!$G:$G,Adjustments!$H:$H,"2I",Adjustments!$I:$I,'Schedule 2I Adjustments'!$V$12,Adjustments!$J:$J,'Schedule 2I Adjustments'!$A31)</f>
        <v>0</v>
      </c>
      <c r="X31" s="310">
        <f t="shared" si="6"/>
        <v>0</v>
      </c>
      <c r="Y31" s="120">
        <f>'As-Filed Schedule 2I'!O31</f>
        <v>0</v>
      </c>
      <c r="Z31" s="314">
        <f>SUMIFS(Adjustments!$G:$G,Adjustments!$H:$H,"2I",Adjustments!$I:$I,'Schedule 2I Adjustments'!$Y$12,Adjustments!$J:$J,'Schedule 2I Adjustments'!$A31)</f>
        <v>0</v>
      </c>
      <c r="AA31" s="310">
        <f t="shared" si="7"/>
        <v>0</v>
      </c>
    </row>
    <row r="32" spans="1:27" x14ac:dyDescent="0.35">
      <c r="A32" s="24">
        <v>18</v>
      </c>
      <c r="B32" s="513" t="str">
        <f>IF('As-Filed Schedule 2I'!B32:D32=0,"",'As-Filed Schedule 2I'!B32:D32)</f>
        <v/>
      </c>
      <c r="C32" s="513"/>
      <c r="D32" s="513"/>
      <c r="F32" s="117">
        <f>'As-Filed Schedule 2I'!F32</f>
        <v>0</v>
      </c>
      <c r="G32" s="314">
        <f>SUMIFS(Adjustments!$G:$G,Adjustments!$H:$H,"2I",Adjustments!$I:$I,'Schedule 2I Adjustments'!$F$12,Adjustments!$J:$J,'Schedule 2I Adjustments'!$A32)</f>
        <v>0</v>
      </c>
      <c r="H32" s="310">
        <f t="shared" si="0"/>
        <v>0</v>
      </c>
      <c r="I32" s="68">
        <f>IFERROR(F32*'As-Filed Schedule 1'!$E$103,0)</f>
        <v>0</v>
      </c>
      <c r="J32" s="311">
        <f>IFERROR(H32*'Adjusted Schedule 1'!$E$104,0)</f>
        <v>0</v>
      </c>
      <c r="K32" s="68">
        <f t="shared" si="1"/>
        <v>0</v>
      </c>
      <c r="L32" s="311">
        <f t="shared" si="2"/>
        <v>0</v>
      </c>
      <c r="N32" s="117">
        <f>'As-Filed Schedule 2I'!J32</f>
        <v>0</v>
      </c>
      <c r="O32" s="314">
        <f>SUMIFS(Adjustments!$G:$G,Adjustments!$H:$H,"2I",Adjustments!$I:$I,'Schedule 2I Adjustments'!$N$12,Adjustments!$J:$J,'Schedule 2I Adjustments'!$A32)</f>
        <v>0</v>
      </c>
      <c r="P32" s="310">
        <f t="shared" si="3"/>
        <v>0</v>
      </c>
      <c r="Q32" s="68">
        <f>IFERROR(N32*'As-Filed Schedule 1'!$E$103,0)</f>
        <v>0</v>
      </c>
      <c r="R32" s="68">
        <f>IFERROR(P32*'Adjusted Schedule 1'!$E$104,0)</f>
        <v>0</v>
      </c>
      <c r="S32" s="68">
        <f t="shared" si="4"/>
        <v>0</v>
      </c>
      <c r="T32" s="311">
        <f t="shared" si="5"/>
        <v>0</v>
      </c>
      <c r="V32" s="120">
        <f>'As-Filed Schedule 2I'!N32</f>
        <v>0</v>
      </c>
      <c r="W32" s="314">
        <f>SUMIFS(Adjustments!$G:$G,Adjustments!$H:$H,"2I",Adjustments!$I:$I,'Schedule 2I Adjustments'!$V$12,Adjustments!$J:$J,'Schedule 2I Adjustments'!$A32)</f>
        <v>0</v>
      </c>
      <c r="X32" s="310">
        <f t="shared" si="6"/>
        <v>0</v>
      </c>
      <c r="Y32" s="120">
        <f>'As-Filed Schedule 2I'!O32</f>
        <v>0</v>
      </c>
      <c r="Z32" s="314">
        <f>SUMIFS(Adjustments!$G:$G,Adjustments!$H:$H,"2I",Adjustments!$I:$I,'Schedule 2I Adjustments'!$Y$12,Adjustments!$J:$J,'Schedule 2I Adjustments'!$A32)</f>
        <v>0</v>
      </c>
      <c r="AA32" s="310">
        <f t="shared" si="7"/>
        <v>0</v>
      </c>
    </row>
    <row r="33" spans="1:27" x14ac:dyDescent="0.35">
      <c r="A33" s="24">
        <v>19</v>
      </c>
      <c r="B33" s="513" t="str">
        <f>IF('As-Filed Schedule 2I'!B33:D33=0,"",'As-Filed Schedule 2I'!B33:D33)</f>
        <v/>
      </c>
      <c r="C33" s="513"/>
      <c r="D33" s="513"/>
      <c r="F33" s="117">
        <f>'As-Filed Schedule 2I'!F33</f>
        <v>0</v>
      </c>
      <c r="G33" s="314">
        <f>SUMIFS(Adjustments!$G:$G,Adjustments!$H:$H,"2I",Adjustments!$I:$I,'Schedule 2I Adjustments'!$F$12,Adjustments!$J:$J,'Schedule 2I Adjustments'!$A33)</f>
        <v>0</v>
      </c>
      <c r="H33" s="310">
        <f t="shared" si="0"/>
        <v>0</v>
      </c>
      <c r="I33" s="68">
        <f>IFERROR(F33*'As-Filed Schedule 1'!$E$103,0)</f>
        <v>0</v>
      </c>
      <c r="J33" s="311">
        <f>IFERROR(H33*'Adjusted Schedule 1'!$E$104,0)</f>
        <v>0</v>
      </c>
      <c r="K33" s="68">
        <f t="shared" si="1"/>
        <v>0</v>
      </c>
      <c r="L33" s="311">
        <f t="shared" si="2"/>
        <v>0</v>
      </c>
      <c r="N33" s="117">
        <f>'As-Filed Schedule 2I'!J33</f>
        <v>0</v>
      </c>
      <c r="O33" s="314">
        <f>SUMIFS(Adjustments!$G:$G,Adjustments!$H:$H,"2I",Adjustments!$I:$I,'Schedule 2I Adjustments'!$N$12,Adjustments!$J:$J,'Schedule 2I Adjustments'!$A33)</f>
        <v>0</v>
      </c>
      <c r="P33" s="310">
        <f t="shared" si="3"/>
        <v>0</v>
      </c>
      <c r="Q33" s="68">
        <f>IFERROR(N33*'As-Filed Schedule 1'!$E$103,0)</f>
        <v>0</v>
      </c>
      <c r="R33" s="68">
        <f>IFERROR(P33*'Adjusted Schedule 1'!$E$104,0)</f>
        <v>0</v>
      </c>
      <c r="S33" s="68">
        <f t="shared" si="4"/>
        <v>0</v>
      </c>
      <c r="T33" s="311">
        <f t="shared" si="5"/>
        <v>0</v>
      </c>
      <c r="V33" s="120">
        <f>'As-Filed Schedule 2I'!N33</f>
        <v>0</v>
      </c>
      <c r="W33" s="314">
        <f>SUMIFS(Adjustments!$G:$G,Adjustments!$H:$H,"2I",Adjustments!$I:$I,'Schedule 2I Adjustments'!$V$12,Adjustments!$J:$J,'Schedule 2I Adjustments'!$A33)</f>
        <v>0</v>
      </c>
      <c r="X33" s="310">
        <f t="shared" si="6"/>
        <v>0</v>
      </c>
      <c r="Y33" s="120">
        <f>'As-Filed Schedule 2I'!O33</f>
        <v>0</v>
      </c>
      <c r="Z33" s="314">
        <f>SUMIFS(Adjustments!$G:$G,Adjustments!$H:$H,"2I",Adjustments!$I:$I,'Schedule 2I Adjustments'!$Y$12,Adjustments!$J:$J,'Schedule 2I Adjustments'!$A33)</f>
        <v>0</v>
      </c>
      <c r="AA33" s="310">
        <f t="shared" si="7"/>
        <v>0</v>
      </c>
    </row>
    <row r="34" spans="1:27" x14ac:dyDescent="0.35">
      <c r="A34" s="24">
        <v>20</v>
      </c>
      <c r="B34" s="513" t="str">
        <f>IF('As-Filed Schedule 2I'!B34:D34=0,"",'As-Filed Schedule 2I'!B34:D34)</f>
        <v/>
      </c>
      <c r="C34" s="513"/>
      <c r="D34" s="513"/>
      <c r="F34" s="117">
        <f>'As-Filed Schedule 2I'!F34</f>
        <v>0</v>
      </c>
      <c r="G34" s="314">
        <f>SUMIFS(Adjustments!$G:$G,Adjustments!$H:$H,"2I",Adjustments!$I:$I,'Schedule 2I Adjustments'!$F$12,Adjustments!$J:$J,'Schedule 2I Adjustments'!$A34)</f>
        <v>0</v>
      </c>
      <c r="H34" s="310">
        <f t="shared" si="0"/>
        <v>0</v>
      </c>
      <c r="I34" s="68">
        <f>IFERROR(F34*'As-Filed Schedule 1'!$E$103,0)</f>
        <v>0</v>
      </c>
      <c r="J34" s="311">
        <f>IFERROR(H34*'Adjusted Schedule 1'!$E$104,0)</f>
        <v>0</v>
      </c>
      <c r="K34" s="68">
        <f t="shared" si="1"/>
        <v>0</v>
      </c>
      <c r="L34" s="311">
        <f t="shared" si="2"/>
        <v>0</v>
      </c>
      <c r="N34" s="117">
        <f>'As-Filed Schedule 2I'!J34</f>
        <v>0</v>
      </c>
      <c r="O34" s="314">
        <f>SUMIFS(Adjustments!$G:$G,Adjustments!$H:$H,"2I",Adjustments!$I:$I,'Schedule 2I Adjustments'!$N$12,Adjustments!$J:$J,'Schedule 2I Adjustments'!$A34)</f>
        <v>0</v>
      </c>
      <c r="P34" s="310">
        <f t="shared" si="3"/>
        <v>0</v>
      </c>
      <c r="Q34" s="68">
        <f>IFERROR(N34*'As-Filed Schedule 1'!$E$103,0)</f>
        <v>0</v>
      </c>
      <c r="R34" s="68">
        <f>IFERROR(P34*'Adjusted Schedule 1'!$E$104,0)</f>
        <v>0</v>
      </c>
      <c r="S34" s="68">
        <f t="shared" si="4"/>
        <v>0</v>
      </c>
      <c r="T34" s="311">
        <f t="shared" si="5"/>
        <v>0</v>
      </c>
      <c r="V34" s="120">
        <f>'As-Filed Schedule 2I'!N34</f>
        <v>0</v>
      </c>
      <c r="W34" s="314">
        <f>SUMIFS(Adjustments!$G:$G,Adjustments!$H:$H,"2I",Adjustments!$I:$I,'Schedule 2I Adjustments'!$V$12,Adjustments!$J:$J,'Schedule 2I Adjustments'!$A34)</f>
        <v>0</v>
      </c>
      <c r="X34" s="310">
        <f t="shared" si="6"/>
        <v>0</v>
      </c>
      <c r="Y34" s="120">
        <f>'As-Filed Schedule 2I'!O34</f>
        <v>0</v>
      </c>
      <c r="Z34" s="314">
        <f>SUMIFS(Adjustments!$G:$G,Adjustments!$H:$H,"2I",Adjustments!$I:$I,'Schedule 2I Adjustments'!$Y$12,Adjustments!$J:$J,'Schedule 2I Adjustments'!$A34)</f>
        <v>0</v>
      </c>
      <c r="AA34" s="310">
        <f t="shared" si="7"/>
        <v>0</v>
      </c>
    </row>
    <row r="35" spans="1:27" x14ac:dyDescent="0.35">
      <c r="A35" s="24">
        <v>21</v>
      </c>
      <c r="B35" s="513" t="str">
        <f>IF('As-Filed Schedule 2I'!B35:D35=0,"",'As-Filed Schedule 2I'!B35:D35)</f>
        <v/>
      </c>
      <c r="C35" s="513"/>
      <c r="D35" s="513"/>
      <c r="F35" s="117">
        <f>'As-Filed Schedule 2I'!F35</f>
        <v>0</v>
      </c>
      <c r="G35" s="314">
        <f>SUMIFS(Adjustments!$G:$G,Adjustments!$H:$H,"2I",Adjustments!$I:$I,'Schedule 2I Adjustments'!$F$12,Adjustments!$J:$J,'Schedule 2I Adjustments'!$A35)</f>
        <v>0</v>
      </c>
      <c r="H35" s="310">
        <f t="shared" si="0"/>
        <v>0</v>
      </c>
      <c r="I35" s="68">
        <f>IFERROR(F35*'As-Filed Schedule 1'!$E$103,0)</f>
        <v>0</v>
      </c>
      <c r="J35" s="311">
        <f>IFERROR(H35*'Adjusted Schedule 1'!$E$104,0)</f>
        <v>0</v>
      </c>
      <c r="K35" s="68">
        <f t="shared" si="1"/>
        <v>0</v>
      </c>
      <c r="L35" s="311">
        <f t="shared" si="2"/>
        <v>0</v>
      </c>
      <c r="N35" s="117">
        <f>'As-Filed Schedule 2I'!J35</f>
        <v>0</v>
      </c>
      <c r="O35" s="314">
        <f>SUMIFS(Adjustments!$G:$G,Adjustments!$H:$H,"2I",Adjustments!$I:$I,'Schedule 2I Adjustments'!$N$12,Adjustments!$J:$J,'Schedule 2I Adjustments'!$A35)</f>
        <v>0</v>
      </c>
      <c r="P35" s="310">
        <f t="shared" si="3"/>
        <v>0</v>
      </c>
      <c r="Q35" s="68">
        <f>IFERROR(N35*'As-Filed Schedule 1'!$E$103,0)</f>
        <v>0</v>
      </c>
      <c r="R35" s="68">
        <f>IFERROR(P35*'Adjusted Schedule 1'!$E$104,0)</f>
        <v>0</v>
      </c>
      <c r="S35" s="68">
        <f t="shared" si="4"/>
        <v>0</v>
      </c>
      <c r="T35" s="311">
        <f t="shared" si="5"/>
        <v>0</v>
      </c>
      <c r="V35" s="120">
        <f>'As-Filed Schedule 2I'!N35</f>
        <v>0</v>
      </c>
      <c r="W35" s="314">
        <f>SUMIFS(Adjustments!$G:$G,Adjustments!$H:$H,"2I",Adjustments!$I:$I,'Schedule 2I Adjustments'!$V$12,Adjustments!$J:$J,'Schedule 2I Adjustments'!$A35)</f>
        <v>0</v>
      </c>
      <c r="X35" s="310">
        <f t="shared" si="6"/>
        <v>0</v>
      </c>
      <c r="Y35" s="120">
        <f>'As-Filed Schedule 2I'!O35</f>
        <v>0</v>
      </c>
      <c r="Z35" s="314">
        <f>SUMIFS(Adjustments!$G:$G,Adjustments!$H:$H,"2I",Adjustments!$I:$I,'Schedule 2I Adjustments'!$Y$12,Adjustments!$J:$J,'Schedule 2I Adjustments'!$A35)</f>
        <v>0</v>
      </c>
      <c r="AA35" s="310">
        <f t="shared" si="7"/>
        <v>0</v>
      </c>
    </row>
    <row r="36" spans="1:27" x14ac:dyDescent="0.35">
      <c r="A36" s="24">
        <v>22</v>
      </c>
      <c r="B36" s="513" t="str">
        <f>IF('As-Filed Schedule 2I'!B36:D36=0,"",'As-Filed Schedule 2I'!B36:D36)</f>
        <v/>
      </c>
      <c r="C36" s="513"/>
      <c r="D36" s="513"/>
      <c r="F36" s="117">
        <f>'As-Filed Schedule 2I'!F36</f>
        <v>0</v>
      </c>
      <c r="G36" s="314">
        <f>SUMIFS(Adjustments!$G:$G,Adjustments!$H:$H,"2I",Adjustments!$I:$I,'Schedule 2I Adjustments'!$F$12,Adjustments!$J:$J,'Schedule 2I Adjustments'!$A36)</f>
        <v>0</v>
      </c>
      <c r="H36" s="310">
        <f t="shared" si="0"/>
        <v>0</v>
      </c>
      <c r="I36" s="68">
        <f>IFERROR(F36*'As-Filed Schedule 1'!$E$103,0)</f>
        <v>0</v>
      </c>
      <c r="J36" s="311">
        <f>IFERROR(H36*'Adjusted Schedule 1'!$E$104,0)</f>
        <v>0</v>
      </c>
      <c r="K36" s="68">
        <f t="shared" si="1"/>
        <v>0</v>
      </c>
      <c r="L36" s="311">
        <f t="shared" si="2"/>
        <v>0</v>
      </c>
      <c r="N36" s="117">
        <f>'As-Filed Schedule 2I'!J36</f>
        <v>0</v>
      </c>
      <c r="O36" s="314">
        <f>SUMIFS(Adjustments!$G:$G,Adjustments!$H:$H,"2I",Adjustments!$I:$I,'Schedule 2I Adjustments'!$N$12,Adjustments!$J:$J,'Schedule 2I Adjustments'!$A36)</f>
        <v>0</v>
      </c>
      <c r="P36" s="310">
        <f t="shared" si="3"/>
        <v>0</v>
      </c>
      <c r="Q36" s="68">
        <f>IFERROR(N36*'As-Filed Schedule 1'!$E$103,0)</f>
        <v>0</v>
      </c>
      <c r="R36" s="68">
        <f>IFERROR(P36*'Adjusted Schedule 1'!$E$104,0)</f>
        <v>0</v>
      </c>
      <c r="S36" s="68">
        <f t="shared" si="4"/>
        <v>0</v>
      </c>
      <c r="T36" s="311">
        <f t="shared" si="5"/>
        <v>0</v>
      </c>
      <c r="V36" s="120">
        <f>'As-Filed Schedule 2I'!N36</f>
        <v>0</v>
      </c>
      <c r="W36" s="314">
        <f>SUMIFS(Adjustments!$G:$G,Adjustments!$H:$H,"2I",Adjustments!$I:$I,'Schedule 2I Adjustments'!$V$12,Adjustments!$J:$J,'Schedule 2I Adjustments'!$A36)</f>
        <v>0</v>
      </c>
      <c r="X36" s="310">
        <f t="shared" si="6"/>
        <v>0</v>
      </c>
      <c r="Y36" s="120">
        <f>'As-Filed Schedule 2I'!O36</f>
        <v>0</v>
      </c>
      <c r="Z36" s="314">
        <f>SUMIFS(Adjustments!$G:$G,Adjustments!$H:$H,"2I",Adjustments!$I:$I,'Schedule 2I Adjustments'!$Y$12,Adjustments!$J:$J,'Schedule 2I Adjustments'!$A36)</f>
        <v>0</v>
      </c>
      <c r="AA36" s="310">
        <f t="shared" si="7"/>
        <v>0</v>
      </c>
    </row>
    <row r="37" spans="1:27" x14ac:dyDescent="0.35">
      <c r="A37" s="24">
        <v>23</v>
      </c>
      <c r="B37" s="513" t="str">
        <f>IF('As-Filed Schedule 2I'!B37:D37=0,"",'As-Filed Schedule 2I'!B37:D37)</f>
        <v/>
      </c>
      <c r="C37" s="513"/>
      <c r="D37" s="513"/>
      <c r="F37" s="117">
        <f>'As-Filed Schedule 2I'!F37</f>
        <v>0</v>
      </c>
      <c r="G37" s="314">
        <f>SUMIFS(Adjustments!$G:$G,Adjustments!$H:$H,"2I",Adjustments!$I:$I,'Schedule 2I Adjustments'!$F$12,Adjustments!$J:$J,'Schedule 2I Adjustments'!$A37)</f>
        <v>0</v>
      </c>
      <c r="H37" s="310">
        <f t="shared" si="0"/>
        <v>0</v>
      </c>
      <c r="I37" s="68">
        <f>IFERROR(F37*'As-Filed Schedule 1'!$E$103,0)</f>
        <v>0</v>
      </c>
      <c r="J37" s="311">
        <f>IFERROR(H37*'Adjusted Schedule 1'!$E$104,0)</f>
        <v>0</v>
      </c>
      <c r="K37" s="68">
        <f t="shared" si="1"/>
        <v>0</v>
      </c>
      <c r="L37" s="311">
        <f t="shared" si="2"/>
        <v>0</v>
      </c>
      <c r="N37" s="117">
        <f>'As-Filed Schedule 2I'!J37</f>
        <v>0</v>
      </c>
      <c r="O37" s="314">
        <f>SUMIFS(Adjustments!$G:$G,Adjustments!$H:$H,"2I",Adjustments!$I:$I,'Schedule 2I Adjustments'!$N$12,Adjustments!$J:$J,'Schedule 2I Adjustments'!$A37)</f>
        <v>0</v>
      </c>
      <c r="P37" s="310">
        <f t="shared" si="3"/>
        <v>0</v>
      </c>
      <c r="Q37" s="68">
        <f>IFERROR(N37*'As-Filed Schedule 1'!$E$103,0)</f>
        <v>0</v>
      </c>
      <c r="R37" s="68">
        <f>IFERROR(P37*'Adjusted Schedule 1'!$E$104,0)</f>
        <v>0</v>
      </c>
      <c r="S37" s="68">
        <f t="shared" si="4"/>
        <v>0</v>
      </c>
      <c r="T37" s="311">
        <f t="shared" si="5"/>
        <v>0</v>
      </c>
      <c r="V37" s="120">
        <f>'As-Filed Schedule 2I'!N37</f>
        <v>0</v>
      </c>
      <c r="W37" s="314">
        <f>SUMIFS(Adjustments!$G:$G,Adjustments!$H:$H,"2I",Adjustments!$I:$I,'Schedule 2I Adjustments'!$V$12,Adjustments!$J:$J,'Schedule 2I Adjustments'!$A37)</f>
        <v>0</v>
      </c>
      <c r="X37" s="310">
        <f t="shared" si="6"/>
        <v>0</v>
      </c>
      <c r="Y37" s="120">
        <f>'As-Filed Schedule 2I'!O37</f>
        <v>0</v>
      </c>
      <c r="Z37" s="314">
        <f>SUMIFS(Adjustments!$G:$G,Adjustments!$H:$H,"2I",Adjustments!$I:$I,'Schedule 2I Adjustments'!$Y$12,Adjustments!$J:$J,'Schedule 2I Adjustments'!$A37)</f>
        <v>0</v>
      </c>
      <c r="AA37" s="310">
        <f t="shared" si="7"/>
        <v>0</v>
      </c>
    </row>
    <row r="38" spans="1:27" x14ac:dyDescent="0.35">
      <c r="A38" s="24">
        <v>24</v>
      </c>
      <c r="B38" s="513" t="str">
        <f>IF('As-Filed Schedule 2I'!B38:D38=0,"",'As-Filed Schedule 2I'!B38:D38)</f>
        <v/>
      </c>
      <c r="C38" s="513"/>
      <c r="D38" s="513"/>
      <c r="F38" s="117">
        <f>'As-Filed Schedule 2I'!F38</f>
        <v>0</v>
      </c>
      <c r="G38" s="314">
        <f>SUMIFS(Adjustments!$G:$G,Adjustments!$H:$H,"2I",Adjustments!$I:$I,'Schedule 2I Adjustments'!$F$12,Adjustments!$J:$J,'Schedule 2I Adjustments'!$A38)</f>
        <v>0</v>
      </c>
      <c r="H38" s="310">
        <f t="shared" si="0"/>
        <v>0</v>
      </c>
      <c r="I38" s="68">
        <f>IFERROR(F38*'As-Filed Schedule 1'!$E$103,0)</f>
        <v>0</v>
      </c>
      <c r="J38" s="311">
        <f>IFERROR(H38*'Adjusted Schedule 1'!$E$104,0)</f>
        <v>0</v>
      </c>
      <c r="K38" s="68">
        <f t="shared" si="1"/>
        <v>0</v>
      </c>
      <c r="L38" s="311">
        <f t="shared" si="2"/>
        <v>0</v>
      </c>
      <c r="N38" s="117">
        <f>'As-Filed Schedule 2I'!J38</f>
        <v>0</v>
      </c>
      <c r="O38" s="314">
        <f>SUMIFS(Adjustments!$G:$G,Adjustments!$H:$H,"2I",Adjustments!$I:$I,'Schedule 2I Adjustments'!$N$12,Adjustments!$J:$J,'Schedule 2I Adjustments'!$A38)</f>
        <v>0</v>
      </c>
      <c r="P38" s="310">
        <f t="shared" si="3"/>
        <v>0</v>
      </c>
      <c r="Q38" s="68">
        <f>IFERROR(N38*'As-Filed Schedule 1'!$E$103,0)</f>
        <v>0</v>
      </c>
      <c r="R38" s="68">
        <f>IFERROR(P38*'Adjusted Schedule 1'!$E$104,0)</f>
        <v>0</v>
      </c>
      <c r="S38" s="68">
        <f t="shared" si="4"/>
        <v>0</v>
      </c>
      <c r="T38" s="311">
        <f t="shared" si="5"/>
        <v>0</v>
      </c>
      <c r="V38" s="120">
        <f>'As-Filed Schedule 2I'!N38</f>
        <v>0</v>
      </c>
      <c r="W38" s="314">
        <f>SUMIFS(Adjustments!$G:$G,Adjustments!$H:$H,"2I",Adjustments!$I:$I,'Schedule 2I Adjustments'!$V$12,Adjustments!$J:$J,'Schedule 2I Adjustments'!$A38)</f>
        <v>0</v>
      </c>
      <c r="X38" s="310">
        <f t="shared" si="6"/>
        <v>0</v>
      </c>
      <c r="Y38" s="120">
        <f>'As-Filed Schedule 2I'!O38</f>
        <v>0</v>
      </c>
      <c r="Z38" s="314">
        <f>SUMIFS(Adjustments!$G:$G,Adjustments!$H:$H,"2I",Adjustments!$I:$I,'Schedule 2I Adjustments'!$Y$12,Adjustments!$J:$J,'Schedule 2I Adjustments'!$A38)</f>
        <v>0</v>
      </c>
      <c r="AA38" s="310">
        <f t="shared" si="7"/>
        <v>0</v>
      </c>
    </row>
    <row r="39" spans="1:27" x14ac:dyDescent="0.35">
      <c r="A39" s="24">
        <v>25</v>
      </c>
      <c r="B39" s="513" t="str">
        <f>IF('As-Filed Schedule 2I'!B39:D39=0,"",'As-Filed Schedule 2I'!B39:D39)</f>
        <v/>
      </c>
      <c r="C39" s="513"/>
      <c r="D39" s="513"/>
      <c r="F39" s="117">
        <f>'As-Filed Schedule 2I'!F39</f>
        <v>0</v>
      </c>
      <c r="G39" s="314">
        <f>SUMIFS(Adjustments!$G:$G,Adjustments!$H:$H,"2I",Adjustments!$I:$I,'Schedule 2I Adjustments'!$F$12,Adjustments!$J:$J,'Schedule 2I Adjustments'!$A39)</f>
        <v>0</v>
      </c>
      <c r="H39" s="310">
        <f t="shared" si="0"/>
        <v>0</v>
      </c>
      <c r="I39" s="68">
        <f>IFERROR(F39*'As-Filed Schedule 1'!$E$103,0)</f>
        <v>0</v>
      </c>
      <c r="J39" s="311">
        <f>IFERROR(H39*'Adjusted Schedule 1'!$E$104,0)</f>
        <v>0</v>
      </c>
      <c r="K39" s="68">
        <f t="shared" si="1"/>
        <v>0</v>
      </c>
      <c r="L39" s="311">
        <f t="shared" si="2"/>
        <v>0</v>
      </c>
      <c r="N39" s="117">
        <f>'As-Filed Schedule 2I'!J39</f>
        <v>0</v>
      </c>
      <c r="O39" s="314">
        <f>SUMIFS(Adjustments!$G:$G,Adjustments!$H:$H,"2I",Adjustments!$I:$I,'Schedule 2I Adjustments'!$N$12,Adjustments!$J:$J,'Schedule 2I Adjustments'!$A39)</f>
        <v>0</v>
      </c>
      <c r="P39" s="310">
        <f t="shared" si="3"/>
        <v>0</v>
      </c>
      <c r="Q39" s="68">
        <f>IFERROR(N39*'As-Filed Schedule 1'!$E$103,0)</f>
        <v>0</v>
      </c>
      <c r="R39" s="68">
        <f>IFERROR(P39*'Adjusted Schedule 1'!$E$104,0)</f>
        <v>0</v>
      </c>
      <c r="S39" s="68">
        <f t="shared" si="4"/>
        <v>0</v>
      </c>
      <c r="T39" s="311">
        <f t="shared" si="5"/>
        <v>0</v>
      </c>
      <c r="V39" s="120">
        <f>'As-Filed Schedule 2I'!N39</f>
        <v>0</v>
      </c>
      <c r="W39" s="314">
        <f>SUMIFS(Adjustments!$G:$G,Adjustments!$H:$H,"2I",Adjustments!$I:$I,'Schedule 2I Adjustments'!$V$12,Adjustments!$J:$J,'Schedule 2I Adjustments'!$A39)</f>
        <v>0</v>
      </c>
      <c r="X39" s="310">
        <f t="shared" si="6"/>
        <v>0</v>
      </c>
      <c r="Y39" s="120">
        <f>'As-Filed Schedule 2I'!O39</f>
        <v>0</v>
      </c>
      <c r="Z39" s="314">
        <f>SUMIFS(Adjustments!$G:$G,Adjustments!$H:$H,"2I",Adjustments!$I:$I,'Schedule 2I Adjustments'!$Y$12,Adjustments!$J:$J,'Schedule 2I Adjustments'!$A39)</f>
        <v>0</v>
      </c>
      <c r="AA39" s="310">
        <f t="shared" si="7"/>
        <v>0</v>
      </c>
    </row>
    <row r="40" spans="1:27" x14ac:dyDescent="0.35">
      <c r="A40" s="24">
        <v>26</v>
      </c>
      <c r="B40" s="513" t="str">
        <f>IF('As-Filed Schedule 2I'!B40:D40=0,"",'As-Filed Schedule 2I'!B40:D40)</f>
        <v/>
      </c>
      <c r="C40" s="513"/>
      <c r="D40" s="513"/>
      <c r="F40" s="117">
        <f>'As-Filed Schedule 2I'!F40</f>
        <v>0</v>
      </c>
      <c r="G40" s="314">
        <f>SUMIFS(Adjustments!$G:$G,Adjustments!$H:$H,"2I",Adjustments!$I:$I,'Schedule 2I Adjustments'!$F$12,Adjustments!$J:$J,'Schedule 2I Adjustments'!$A40)</f>
        <v>0</v>
      </c>
      <c r="H40" s="310">
        <f t="shared" si="0"/>
        <v>0</v>
      </c>
      <c r="I40" s="68">
        <f>IFERROR(F40*'As-Filed Schedule 1'!$E$103,0)</f>
        <v>0</v>
      </c>
      <c r="J40" s="311">
        <f>IFERROR(H40*'Adjusted Schedule 1'!$E$104,0)</f>
        <v>0</v>
      </c>
      <c r="K40" s="68">
        <f t="shared" si="1"/>
        <v>0</v>
      </c>
      <c r="L40" s="311">
        <f t="shared" si="2"/>
        <v>0</v>
      </c>
      <c r="N40" s="117">
        <f>'As-Filed Schedule 2I'!J40</f>
        <v>0</v>
      </c>
      <c r="O40" s="314">
        <f>SUMIFS(Adjustments!$G:$G,Adjustments!$H:$H,"2I",Adjustments!$I:$I,'Schedule 2I Adjustments'!$N$12,Adjustments!$J:$J,'Schedule 2I Adjustments'!$A40)</f>
        <v>0</v>
      </c>
      <c r="P40" s="310">
        <f t="shared" si="3"/>
        <v>0</v>
      </c>
      <c r="Q40" s="68">
        <f>IFERROR(N40*'As-Filed Schedule 1'!$E$103,0)</f>
        <v>0</v>
      </c>
      <c r="R40" s="68">
        <f>IFERROR(P40*'Adjusted Schedule 1'!$E$104,0)</f>
        <v>0</v>
      </c>
      <c r="S40" s="68">
        <f t="shared" si="4"/>
        <v>0</v>
      </c>
      <c r="T40" s="311">
        <f t="shared" si="5"/>
        <v>0</v>
      </c>
      <c r="V40" s="120">
        <f>'As-Filed Schedule 2I'!N40</f>
        <v>0</v>
      </c>
      <c r="W40" s="314">
        <f>SUMIFS(Adjustments!$G:$G,Adjustments!$H:$H,"2I",Adjustments!$I:$I,'Schedule 2I Adjustments'!$V$12,Adjustments!$J:$J,'Schedule 2I Adjustments'!$A40)</f>
        <v>0</v>
      </c>
      <c r="X40" s="310">
        <f t="shared" si="6"/>
        <v>0</v>
      </c>
      <c r="Y40" s="120">
        <f>'As-Filed Schedule 2I'!O40</f>
        <v>0</v>
      </c>
      <c r="Z40" s="314">
        <f>SUMIFS(Adjustments!$G:$G,Adjustments!$H:$H,"2I",Adjustments!$I:$I,'Schedule 2I Adjustments'!$Y$12,Adjustments!$J:$J,'Schedule 2I Adjustments'!$A40)</f>
        <v>0</v>
      </c>
      <c r="AA40" s="310">
        <f t="shared" si="7"/>
        <v>0</v>
      </c>
    </row>
    <row r="41" spans="1:27" x14ac:dyDescent="0.35">
      <c r="A41" s="24">
        <v>27</v>
      </c>
      <c r="B41" s="513" t="str">
        <f>IF('As-Filed Schedule 2I'!B41:D41=0,"",'As-Filed Schedule 2I'!B41:D41)</f>
        <v/>
      </c>
      <c r="C41" s="513"/>
      <c r="D41" s="513"/>
      <c r="F41" s="117">
        <f>'As-Filed Schedule 2I'!F41</f>
        <v>0</v>
      </c>
      <c r="G41" s="314">
        <f>SUMIFS(Adjustments!$G:$G,Adjustments!$H:$H,"2I",Adjustments!$I:$I,'Schedule 2I Adjustments'!$F$12,Adjustments!$J:$J,'Schedule 2I Adjustments'!$A41)</f>
        <v>0</v>
      </c>
      <c r="H41" s="310">
        <f t="shared" si="0"/>
        <v>0</v>
      </c>
      <c r="I41" s="68">
        <f>IFERROR(F41*'As-Filed Schedule 1'!$E$103,0)</f>
        <v>0</v>
      </c>
      <c r="J41" s="311">
        <f>IFERROR(H41*'Adjusted Schedule 1'!$E$104,0)</f>
        <v>0</v>
      </c>
      <c r="K41" s="68">
        <f t="shared" si="1"/>
        <v>0</v>
      </c>
      <c r="L41" s="311">
        <f t="shared" si="2"/>
        <v>0</v>
      </c>
      <c r="N41" s="117">
        <f>'As-Filed Schedule 2I'!J41</f>
        <v>0</v>
      </c>
      <c r="O41" s="314">
        <f>SUMIFS(Adjustments!$G:$G,Adjustments!$H:$H,"2I",Adjustments!$I:$I,'Schedule 2I Adjustments'!$N$12,Adjustments!$J:$J,'Schedule 2I Adjustments'!$A41)</f>
        <v>0</v>
      </c>
      <c r="P41" s="310">
        <f t="shared" si="3"/>
        <v>0</v>
      </c>
      <c r="Q41" s="68">
        <f>IFERROR(N41*'As-Filed Schedule 1'!$E$103,0)</f>
        <v>0</v>
      </c>
      <c r="R41" s="68">
        <f>IFERROR(P41*'Adjusted Schedule 1'!$E$104,0)</f>
        <v>0</v>
      </c>
      <c r="S41" s="68">
        <f t="shared" si="4"/>
        <v>0</v>
      </c>
      <c r="T41" s="311">
        <f t="shared" si="5"/>
        <v>0</v>
      </c>
      <c r="V41" s="120">
        <f>'As-Filed Schedule 2I'!N41</f>
        <v>0</v>
      </c>
      <c r="W41" s="314">
        <f>SUMIFS(Adjustments!$G:$G,Adjustments!$H:$H,"2I",Adjustments!$I:$I,'Schedule 2I Adjustments'!$V$12,Adjustments!$J:$J,'Schedule 2I Adjustments'!$A41)</f>
        <v>0</v>
      </c>
      <c r="X41" s="310">
        <f t="shared" si="6"/>
        <v>0</v>
      </c>
      <c r="Y41" s="120">
        <f>'As-Filed Schedule 2I'!O41</f>
        <v>0</v>
      </c>
      <c r="Z41" s="314">
        <f>SUMIFS(Adjustments!$G:$G,Adjustments!$H:$H,"2I",Adjustments!$I:$I,'Schedule 2I Adjustments'!$Y$12,Adjustments!$J:$J,'Schedule 2I Adjustments'!$A41)</f>
        <v>0</v>
      </c>
      <c r="AA41" s="310">
        <f t="shared" si="7"/>
        <v>0</v>
      </c>
    </row>
    <row r="42" spans="1:27" x14ac:dyDescent="0.35">
      <c r="A42" s="24">
        <v>28</v>
      </c>
      <c r="B42" s="513" t="str">
        <f>IF('As-Filed Schedule 2I'!B42:D42=0,"",'As-Filed Schedule 2I'!B42:D42)</f>
        <v/>
      </c>
      <c r="C42" s="513"/>
      <c r="D42" s="513"/>
      <c r="F42" s="117">
        <f>'As-Filed Schedule 2I'!F42</f>
        <v>0</v>
      </c>
      <c r="G42" s="314">
        <f>SUMIFS(Adjustments!$G:$G,Adjustments!$H:$H,"2I",Adjustments!$I:$I,'Schedule 2I Adjustments'!$F$12,Adjustments!$J:$J,'Schedule 2I Adjustments'!$A42)</f>
        <v>0</v>
      </c>
      <c r="H42" s="310">
        <f t="shared" si="0"/>
        <v>0</v>
      </c>
      <c r="I42" s="68">
        <f>IFERROR(F42*'As-Filed Schedule 1'!$E$103,0)</f>
        <v>0</v>
      </c>
      <c r="J42" s="311">
        <f>IFERROR(H42*'Adjusted Schedule 1'!$E$104,0)</f>
        <v>0</v>
      </c>
      <c r="K42" s="68">
        <f t="shared" si="1"/>
        <v>0</v>
      </c>
      <c r="L42" s="311">
        <f t="shared" si="2"/>
        <v>0</v>
      </c>
      <c r="N42" s="117">
        <f>'As-Filed Schedule 2I'!J42</f>
        <v>0</v>
      </c>
      <c r="O42" s="314">
        <f>SUMIFS(Adjustments!$G:$G,Adjustments!$H:$H,"2I",Adjustments!$I:$I,'Schedule 2I Adjustments'!$N$12,Adjustments!$J:$J,'Schedule 2I Adjustments'!$A42)</f>
        <v>0</v>
      </c>
      <c r="P42" s="310">
        <f t="shared" si="3"/>
        <v>0</v>
      </c>
      <c r="Q42" s="68">
        <f>IFERROR(N42*'As-Filed Schedule 1'!$E$103,0)</f>
        <v>0</v>
      </c>
      <c r="R42" s="68">
        <f>IFERROR(P42*'Adjusted Schedule 1'!$E$104,0)</f>
        <v>0</v>
      </c>
      <c r="S42" s="68">
        <f t="shared" si="4"/>
        <v>0</v>
      </c>
      <c r="T42" s="311">
        <f t="shared" si="5"/>
        <v>0</v>
      </c>
      <c r="V42" s="120">
        <f>'As-Filed Schedule 2I'!N42</f>
        <v>0</v>
      </c>
      <c r="W42" s="314">
        <f>SUMIFS(Adjustments!$G:$G,Adjustments!$H:$H,"2I",Adjustments!$I:$I,'Schedule 2I Adjustments'!$V$12,Adjustments!$J:$J,'Schedule 2I Adjustments'!$A42)</f>
        <v>0</v>
      </c>
      <c r="X42" s="310">
        <f t="shared" si="6"/>
        <v>0</v>
      </c>
      <c r="Y42" s="120">
        <f>'As-Filed Schedule 2I'!O42</f>
        <v>0</v>
      </c>
      <c r="Z42" s="314">
        <f>SUMIFS(Adjustments!$G:$G,Adjustments!$H:$H,"2I",Adjustments!$I:$I,'Schedule 2I Adjustments'!$Y$12,Adjustments!$J:$J,'Schedule 2I Adjustments'!$A42)</f>
        <v>0</v>
      </c>
      <c r="AA42" s="310">
        <f t="shared" si="7"/>
        <v>0</v>
      </c>
    </row>
    <row r="43" spans="1:27" x14ac:dyDescent="0.35">
      <c r="A43" s="24">
        <v>29</v>
      </c>
      <c r="B43" s="513" t="str">
        <f>IF('As-Filed Schedule 2I'!B43:D43=0,"",'As-Filed Schedule 2I'!B43:D43)</f>
        <v/>
      </c>
      <c r="C43" s="513"/>
      <c r="D43" s="513"/>
      <c r="F43" s="117">
        <f>'As-Filed Schedule 2I'!F43</f>
        <v>0</v>
      </c>
      <c r="G43" s="314">
        <f>SUMIFS(Adjustments!$G:$G,Adjustments!$H:$H,"2I",Adjustments!$I:$I,'Schedule 2I Adjustments'!$F$12,Adjustments!$J:$J,'Schedule 2I Adjustments'!$A43)</f>
        <v>0</v>
      </c>
      <c r="H43" s="310">
        <f t="shared" si="0"/>
        <v>0</v>
      </c>
      <c r="I43" s="68">
        <f>IFERROR(F43*'As-Filed Schedule 1'!$E$103,0)</f>
        <v>0</v>
      </c>
      <c r="J43" s="311">
        <f>IFERROR(H43*'Adjusted Schedule 1'!$E$104,0)</f>
        <v>0</v>
      </c>
      <c r="K43" s="68">
        <f t="shared" si="1"/>
        <v>0</v>
      </c>
      <c r="L43" s="311">
        <f t="shared" si="2"/>
        <v>0</v>
      </c>
      <c r="N43" s="117">
        <f>'As-Filed Schedule 2I'!J43</f>
        <v>0</v>
      </c>
      <c r="O43" s="314">
        <f>SUMIFS(Adjustments!$G:$G,Adjustments!$H:$H,"2I",Adjustments!$I:$I,'Schedule 2I Adjustments'!$N$12,Adjustments!$J:$J,'Schedule 2I Adjustments'!$A43)</f>
        <v>0</v>
      </c>
      <c r="P43" s="310">
        <f t="shared" si="3"/>
        <v>0</v>
      </c>
      <c r="Q43" s="68">
        <f>IFERROR(N43*'As-Filed Schedule 1'!$E$103,0)</f>
        <v>0</v>
      </c>
      <c r="R43" s="68">
        <f>IFERROR(P43*'Adjusted Schedule 1'!$E$104,0)</f>
        <v>0</v>
      </c>
      <c r="S43" s="68">
        <f t="shared" si="4"/>
        <v>0</v>
      </c>
      <c r="T43" s="311">
        <f t="shared" si="5"/>
        <v>0</v>
      </c>
      <c r="V43" s="120">
        <f>'As-Filed Schedule 2I'!N43</f>
        <v>0</v>
      </c>
      <c r="W43" s="314">
        <f>SUMIFS(Adjustments!$G:$G,Adjustments!$H:$H,"2I",Adjustments!$I:$I,'Schedule 2I Adjustments'!$V$12,Adjustments!$J:$J,'Schedule 2I Adjustments'!$A43)</f>
        <v>0</v>
      </c>
      <c r="X43" s="310">
        <f t="shared" si="6"/>
        <v>0</v>
      </c>
      <c r="Y43" s="120">
        <f>'As-Filed Schedule 2I'!O43</f>
        <v>0</v>
      </c>
      <c r="Z43" s="314">
        <f>SUMIFS(Adjustments!$G:$G,Adjustments!$H:$H,"2I",Adjustments!$I:$I,'Schedule 2I Adjustments'!$Y$12,Adjustments!$J:$J,'Schedule 2I Adjustments'!$A43)</f>
        <v>0</v>
      </c>
      <c r="AA43" s="310">
        <f t="shared" si="7"/>
        <v>0</v>
      </c>
    </row>
    <row r="44" spans="1:27" x14ac:dyDescent="0.35">
      <c r="A44" s="24">
        <v>30</v>
      </c>
      <c r="B44" s="513" t="str">
        <f>IF('As-Filed Schedule 2I'!B44:D44=0,"",'As-Filed Schedule 2I'!B44:D44)</f>
        <v/>
      </c>
      <c r="C44" s="513"/>
      <c r="D44" s="513"/>
      <c r="F44" s="117">
        <f>'As-Filed Schedule 2I'!F44</f>
        <v>0</v>
      </c>
      <c r="G44" s="314">
        <f>SUMIFS(Adjustments!$G:$G,Adjustments!$H:$H,"2I",Adjustments!$I:$I,'Schedule 2I Adjustments'!$F$12,Adjustments!$J:$J,'Schedule 2I Adjustments'!$A44)</f>
        <v>0</v>
      </c>
      <c r="H44" s="310">
        <f t="shared" si="0"/>
        <v>0</v>
      </c>
      <c r="I44" s="68">
        <f>IFERROR(F44*'As-Filed Schedule 1'!$E$103,0)</f>
        <v>0</v>
      </c>
      <c r="J44" s="311">
        <f>IFERROR(H44*'Adjusted Schedule 1'!$E$104,0)</f>
        <v>0</v>
      </c>
      <c r="K44" s="68">
        <f t="shared" si="1"/>
        <v>0</v>
      </c>
      <c r="L44" s="311">
        <f t="shared" si="2"/>
        <v>0</v>
      </c>
      <c r="N44" s="117">
        <f>'As-Filed Schedule 2I'!J44</f>
        <v>0</v>
      </c>
      <c r="O44" s="314">
        <f>SUMIFS(Adjustments!$G:$G,Adjustments!$H:$H,"2I",Adjustments!$I:$I,'Schedule 2I Adjustments'!$N$12,Adjustments!$J:$J,'Schedule 2I Adjustments'!$A44)</f>
        <v>0</v>
      </c>
      <c r="P44" s="310">
        <f t="shared" si="3"/>
        <v>0</v>
      </c>
      <c r="Q44" s="68">
        <f>IFERROR(N44*'As-Filed Schedule 1'!$E$103,0)</f>
        <v>0</v>
      </c>
      <c r="R44" s="68">
        <f>IFERROR(P44*'Adjusted Schedule 1'!$E$104,0)</f>
        <v>0</v>
      </c>
      <c r="S44" s="68">
        <f t="shared" si="4"/>
        <v>0</v>
      </c>
      <c r="T44" s="311">
        <f t="shared" si="5"/>
        <v>0</v>
      </c>
      <c r="V44" s="120">
        <f>'As-Filed Schedule 2I'!N44</f>
        <v>0</v>
      </c>
      <c r="W44" s="314">
        <f>SUMIFS(Adjustments!$G:$G,Adjustments!$H:$H,"2I",Adjustments!$I:$I,'Schedule 2I Adjustments'!$V$12,Adjustments!$J:$J,'Schedule 2I Adjustments'!$A44)</f>
        <v>0</v>
      </c>
      <c r="X44" s="310">
        <f t="shared" si="6"/>
        <v>0</v>
      </c>
      <c r="Y44" s="120">
        <f>'As-Filed Schedule 2I'!O44</f>
        <v>0</v>
      </c>
      <c r="Z44" s="314">
        <f>SUMIFS(Adjustments!$G:$G,Adjustments!$H:$H,"2I",Adjustments!$I:$I,'Schedule 2I Adjustments'!$Y$12,Adjustments!$J:$J,'Schedule 2I Adjustments'!$A44)</f>
        <v>0</v>
      </c>
      <c r="AA44" s="310">
        <f t="shared" si="7"/>
        <v>0</v>
      </c>
    </row>
    <row r="45" spans="1:27" x14ac:dyDescent="0.35">
      <c r="A45" s="24">
        <v>31</v>
      </c>
      <c r="B45" s="513" t="str">
        <f>IF('As-Filed Schedule 2I'!B45:D45=0,"",'As-Filed Schedule 2I'!B45:D45)</f>
        <v/>
      </c>
      <c r="C45" s="513"/>
      <c r="D45" s="513"/>
      <c r="F45" s="117">
        <f>'As-Filed Schedule 2I'!F45</f>
        <v>0</v>
      </c>
      <c r="G45" s="314">
        <f>SUMIFS(Adjustments!$G:$G,Adjustments!$H:$H,"2I",Adjustments!$I:$I,'Schedule 2I Adjustments'!$F$12,Adjustments!$J:$J,'Schedule 2I Adjustments'!$A45)</f>
        <v>0</v>
      </c>
      <c r="H45" s="310">
        <f t="shared" si="0"/>
        <v>0</v>
      </c>
      <c r="I45" s="68">
        <f>IFERROR(F45*'As-Filed Schedule 1'!$E$103,0)</f>
        <v>0</v>
      </c>
      <c r="J45" s="311">
        <f>IFERROR(H45*'Adjusted Schedule 1'!$E$104,0)</f>
        <v>0</v>
      </c>
      <c r="K45" s="68">
        <f t="shared" si="1"/>
        <v>0</v>
      </c>
      <c r="L45" s="311">
        <f t="shared" si="2"/>
        <v>0</v>
      </c>
      <c r="N45" s="117">
        <f>'As-Filed Schedule 2I'!J45</f>
        <v>0</v>
      </c>
      <c r="O45" s="314">
        <f>SUMIFS(Adjustments!$G:$G,Adjustments!$H:$H,"2I",Adjustments!$I:$I,'Schedule 2I Adjustments'!$N$12,Adjustments!$J:$J,'Schedule 2I Adjustments'!$A45)</f>
        <v>0</v>
      </c>
      <c r="P45" s="310">
        <f t="shared" si="3"/>
        <v>0</v>
      </c>
      <c r="Q45" s="68">
        <f>IFERROR(N45*'As-Filed Schedule 1'!$E$103,0)</f>
        <v>0</v>
      </c>
      <c r="R45" s="68">
        <f>IFERROR(P45*'Adjusted Schedule 1'!$E$104,0)</f>
        <v>0</v>
      </c>
      <c r="S45" s="68">
        <f t="shared" si="4"/>
        <v>0</v>
      </c>
      <c r="T45" s="311">
        <f t="shared" si="5"/>
        <v>0</v>
      </c>
      <c r="V45" s="120">
        <f>'As-Filed Schedule 2I'!N45</f>
        <v>0</v>
      </c>
      <c r="W45" s="314">
        <f>SUMIFS(Adjustments!$G:$G,Adjustments!$H:$H,"2I",Adjustments!$I:$I,'Schedule 2I Adjustments'!$V$12,Adjustments!$J:$J,'Schedule 2I Adjustments'!$A45)</f>
        <v>0</v>
      </c>
      <c r="X45" s="310">
        <f t="shared" si="6"/>
        <v>0</v>
      </c>
      <c r="Y45" s="120">
        <f>'As-Filed Schedule 2I'!O45</f>
        <v>0</v>
      </c>
      <c r="Z45" s="314">
        <f>SUMIFS(Adjustments!$G:$G,Adjustments!$H:$H,"2I",Adjustments!$I:$I,'Schedule 2I Adjustments'!$Y$12,Adjustments!$J:$J,'Schedule 2I Adjustments'!$A45)</f>
        <v>0</v>
      </c>
      <c r="AA45" s="310">
        <f t="shared" si="7"/>
        <v>0</v>
      </c>
    </row>
    <row r="46" spans="1:27" x14ac:dyDescent="0.35">
      <c r="A46" s="24">
        <v>32</v>
      </c>
      <c r="B46" s="513" t="str">
        <f>IF('As-Filed Schedule 2I'!B46:D46=0,"",'As-Filed Schedule 2I'!B46:D46)</f>
        <v/>
      </c>
      <c r="C46" s="513"/>
      <c r="D46" s="513"/>
      <c r="F46" s="117">
        <f>'As-Filed Schedule 2I'!F46</f>
        <v>0</v>
      </c>
      <c r="G46" s="314">
        <f>SUMIFS(Adjustments!$G:$G,Adjustments!$H:$H,"2I",Adjustments!$I:$I,'Schedule 2I Adjustments'!$F$12,Adjustments!$J:$J,'Schedule 2I Adjustments'!$A46)</f>
        <v>0</v>
      </c>
      <c r="H46" s="310">
        <f t="shared" si="0"/>
        <v>0</v>
      </c>
      <c r="I46" s="68">
        <f>IFERROR(F46*'As-Filed Schedule 1'!$E$103,0)</f>
        <v>0</v>
      </c>
      <c r="J46" s="311">
        <f>IFERROR(H46*'Adjusted Schedule 1'!$E$104,0)</f>
        <v>0</v>
      </c>
      <c r="K46" s="68">
        <f t="shared" si="1"/>
        <v>0</v>
      </c>
      <c r="L46" s="311">
        <f t="shared" si="2"/>
        <v>0</v>
      </c>
      <c r="N46" s="117">
        <f>'As-Filed Schedule 2I'!J46</f>
        <v>0</v>
      </c>
      <c r="O46" s="314">
        <f>SUMIFS(Adjustments!$G:$G,Adjustments!$H:$H,"2I",Adjustments!$I:$I,'Schedule 2I Adjustments'!$N$12,Adjustments!$J:$J,'Schedule 2I Adjustments'!$A46)</f>
        <v>0</v>
      </c>
      <c r="P46" s="310">
        <f t="shared" si="3"/>
        <v>0</v>
      </c>
      <c r="Q46" s="68">
        <f>IFERROR(N46*'As-Filed Schedule 1'!$E$103,0)</f>
        <v>0</v>
      </c>
      <c r="R46" s="68">
        <f>IFERROR(P46*'Adjusted Schedule 1'!$E$104,0)</f>
        <v>0</v>
      </c>
      <c r="S46" s="68">
        <f t="shared" si="4"/>
        <v>0</v>
      </c>
      <c r="T46" s="311">
        <f t="shared" si="5"/>
        <v>0</v>
      </c>
      <c r="V46" s="120">
        <f>'As-Filed Schedule 2I'!N46</f>
        <v>0</v>
      </c>
      <c r="W46" s="314">
        <f>SUMIFS(Adjustments!$G:$G,Adjustments!$H:$H,"2I",Adjustments!$I:$I,'Schedule 2I Adjustments'!$V$12,Adjustments!$J:$J,'Schedule 2I Adjustments'!$A46)</f>
        <v>0</v>
      </c>
      <c r="X46" s="310">
        <f t="shared" si="6"/>
        <v>0</v>
      </c>
      <c r="Y46" s="120">
        <f>'As-Filed Schedule 2I'!O46</f>
        <v>0</v>
      </c>
      <c r="Z46" s="314">
        <f>SUMIFS(Adjustments!$G:$G,Adjustments!$H:$H,"2I",Adjustments!$I:$I,'Schedule 2I Adjustments'!$Y$12,Adjustments!$J:$J,'Schedule 2I Adjustments'!$A46)</f>
        <v>0</v>
      </c>
      <c r="AA46" s="310">
        <f t="shared" si="7"/>
        <v>0</v>
      </c>
    </row>
    <row r="47" spans="1:27" x14ac:dyDescent="0.35">
      <c r="A47" s="24">
        <v>33</v>
      </c>
      <c r="B47" s="513" t="str">
        <f>IF('As-Filed Schedule 2I'!B47:D47=0,"",'As-Filed Schedule 2I'!B47:D47)</f>
        <v/>
      </c>
      <c r="C47" s="513"/>
      <c r="D47" s="513"/>
      <c r="F47" s="117">
        <f>'As-Filed Schedule 2I'!F47</f>
        <v>0</v>
      </c>
      <c r="G47" s="314">
        <f>SUMIFS(Adjustments!$G:$G,Adjustments!$H:$H,"2I",Adjustments!$I:$I,'Schedule 2I Adjustments'!$F$12,Adjustments!$J:$J,'Schedule 2I Adjustments'!$A47)</f>
        <v>0</v>
      </c>
      <c r="H47" s="310">
        <f t="shared" si="0"/>
        <v>0</v>
      </c>
      <c r="I47" s="68">
        <f>IFERROR(F47*'As-Filed Schedule 1'!$E$103,0)</f>
        <v>0</v>
      </c>
      <c r="J47" s="311">
        <f>IFERROR(H47*'Adjusted Schedule 1'!$E$104,0)</f>
        <v>0</v>
      </c>
      <c r="K47" s="68">
        <f t="shared" si="1"/>
        <v>0</v>
      </c>
      <c r="L47" s="311">
        <f t="shared" si="2"/>
        <v>0</v>
      </c>
      <c r="N47" s="117">
        <f>'As-Filed Schedule 2I'!J47</f>
        <v>0</v>
      </c>
      <c r="O47" s="314">
        <f>SUMIFS(Adjustments!$G:$G,Adjustments!$H:$H,"2I",Adjustments!$I:$I,'Schedule 2I Adjustments'!$N$12,Adjustments!$J:$J,'Schedule 2I Adjustments'!$A47)</f>
        <v>0</v>
      </c>
      <c r="P47" s="310">
        <f t="shared" si="3"/>
        <v>0</v>
      </c>
      <c r="Q47" s="68">
        <f>IFERROR(N47*'As-Filed Schedule 1'!$E$103,0)</f>
        <v>0</v>
      </c>
      <c r="R47" s="68">
        <f>IFERROR(P47*'Adjusted Schedule 1'!$E$104,0)</f>
        <v>0</v>
      </c>
      <c r="S47" s="68">
        <f t="shared" si="4"/>
        <v>0</v>
      </c>
      <c r="T47" s="311">
        <f t="shared" si="5"/>
        <v>0</v>
      </c>
      <c r="V47" s="120">
        <f>'As-Filed Schedule 2I'!N47</f>
        <v>0</v>
      </c>
      <c r="W47" s="314">
        <f>SUMIFS(Adjustments!$G:$G,Adjustments!$H:$H,"2I",Adjustments!$I:$I,'Schedule 2I Adjustments'!$V$12,Adjustments!$J:$J,'Schedule 2I Adjustments'!$A47)</f>
        <v>0</v>
      </c>
      <c r="X47" s="310">
        <f t="shared" si="6"/>
        <v>0</v>
      </c>
      <c r="Y47" s="120">
        <f>'As-Filed Schedule 2I'!O47</f>
        <v>0</v>
      </c>
      <c r="Z47" s="314">
        <f>SUMIFS(Adjustments!$G:$G,Adjustments!$H:$H,"2I",Adjustments!$I:$I,'Schedule 2I Adjustments'!$Y$12,Adjustments!$J:$J,'Schedule 2I Adjustments'!$A47)</f>
        <v>0</v>
      </c>
      <c r="AA47" s="310">
        <f t="shared" si="7"/>
        <v>0</v>
      </c>
    </row>
    <row r="48" spans="1:27" x14ac:dyDescent="0.35">
      <c r="A48" s="24">
        <v>34</v>
      </c>
      <c r="B48" s="513" t="str">
        <f>IF('As-Filed Schedule 2I'!B48:D48=0,"",'As-Filed Schedule 2I'!B48:D48)</f>
        <v/>
      </c>
      <c r="C48" s="513"/>
      <c r="D48" s="513"/>
      <c r="F48" s="117">
        <f>'As-Filed Schedule 2I'!F48</f>
        <v>0</v>
      </c>
      <c r="G48" s="314">
        <f>SUMIFS(Adjustments!$G:$G,Adjustments!$H:$H,"2I",Adjustments!$I:$I,'Schedule 2I Adjustments'!$F$12,Adjustments!$J:$J,'Schedule 2I Adjustments'!$A48)</f>
        <v>0</v>
      </c>
      <c r="H48" s="310">
        <f t="shared" si="0"/>
        <v>0</v>
      </c>
      <c r="I48" s="68">
        <f>IFERROR(F48*'As-Filed Schedule 1'!$E$103,0)</f>
        <v>0</v>
      </c>
      <c r="J48" s="311">
        <f>IFERROR(H48*'Adjusted Schedule 1'!$E$104,0)</f>
        <v>0</v>
      </c>
      <c r="K48" s="68">
        <f t="shared" si="1"/>
        <v>0</v>
      </c>
      <c r="L48" s="311">
        <f t="shared" si="2"/>
        <v>0</v>
      </c>
      <c r="N48" s="117">
        <f>'As-Filed Schedule 2I'!J48</f>
        <v>0</v>
      </c>
      <c r="O48" s="314">
        <f>SUMIFS(Adjustments!$G:$G,Adjustments!$H:$H,"2I",Adjustments!$I:$I,'Schedule 2I Adjustments'!$N$12,Adjustments!$J:$J,'Schedule 2I Adjustments'!$A48)</f>
        <v>0</v>
      </c>
      <c r="P48" s="310">
        <f t="shared" si="3"/>
        <v>0</v>
      </c>
      <c r="Q48" s="68">
        <f>IFERROR(N48*'As-Filed Schedule 1'!$E$103,0)</f>
        <v>0</v>
      </c>
      <c r="R48" s="68">
        <f>IFERROR(P48*'Adjusted Schedule 1'!$E$104,0)</f>
        <v>0</v>
      </c>
      <c r="S48" s="68">
        <f t="shared" si="4"/>
        <v>0</v>
      </c>
      <c r="T48" s="311">
        <f t="shared" si="5"/>
        <v>0</v>
      </c>
      <c r="V48" s="120">
        <f>'As-Filed Schedule 2I'!N48</f>
        <v>0</v>
      </c>
      <c r="W48" s="314">
        <f>SUMIFS(Adjustments!$G:$G,Adjustments!$H:$H,"2I",Adjustments!$I:$I,'Schedule 2I Adjustments'!$V$12,Adjustments!$J:$J,'Schedule 2I Adjustments'!$A48)</f>
        <v>0</v>
      </c>
      <c r="X48" s="310">
        <f t="shared" si="6"/>
        <v>0</v>
      </c>
      <c r="Y48" s="120">
        <f>'As-Filed Schedule 2I'!O48</f>
        <v>0</v>
      </c>
      <c r="Z48" s="314">
        <f>SUMIFS(Adjustments!$G:$G,Adjustments!$H:$H,"2I",Adjustments!$I:$I,'Schedule 2I Adjustments'!$Y$12,Adjustments!$J:$J,'Schedule 2I Adjustments'!$A48)</f>
        <v>0</v>
      </c>
      <c r="AA48" s="310">
        <f t="shared" si="7"/>
        <v>0</v>
      </c>
    </row>
    <row r="49" spans="1:27" x14ac:dyDescent="0.35">
      <c r="A49" s="24">
        <v>35</v>
      </c>
      <c r="B49" s="513" t="str">
        <f>IF('As-Filed Schedule 2I'!B49:D49=0,"",'As-Filed Schedule 2I'!B49:D49)</f>
        <v/>
      </c>
      <c r="C49" s="513"/>
      <c r="D49" s="513"/>
      <c r="F49" s="117">
        <f>'As-Filed Schedule 2I'!F49</f>
        <v>0</v>
      </c>
      <c r="G49" s="314">
        <f>SUMIFS(Adjustments!$G:$G,Adjustments!$H:$H,"2I",Adjustments!$I:$I,'Schedule 2I Adjustments'!$F$12,Adjustments!$J:$J,'Schedule 2I Adjustments'!$A49)</f>
        <v>0</v>
      </c>
      <c r="H49" s="310">
        <f t="shared" si="0"/>
        <v>0</v>
      </c>
      <c r="I49" s="68">
        <f>IFERROR(F49*'As-Filed Schedule 1'!$E$103,0)</f>
        <v>0</v>
      </c>
      <c r="J49" s="311">
        <f>IFERROR(H49*'Adjusted Schedule 1'!$E$104,0)</f>
        <v>0</v>
      </c>
      <c r="K49" s="68">
        <f t="shared" si="1"/>
        <v>0</v>
      </c>
      <c r="L49" s="311">
        <f t="shared" si="2"/>
        <v>0</v>
      </c>
      <c r="N49" s="117">
        <f>'As-Filed Schedule 2I'!J49</f>
        <v>0</v>
      </c>
      <c r="O49" s="314">
        <f>SUMIFS(Adjustments!$G:$G,Adjustments!$H:$H,"2I",Adjustments!$I:$I,'Schedule 2I Adjustments'!$N$12,Adjustments!$J:$J,'Schedule 2I Adjustments'!$A49)</f>
        <v>0</v>
      </c>
      <c r="P49" s="310">
        <f t="shared" si="3"/>
        <v>0</v>
      </c>
      <c r="Q49" s="68">
        <f>IFERROR(N49*'As-Filed Schedule 1'!$E$103,0)</f>
        <v>0</v>
      </c>
      <c r="R49" s="68">
        <f>IFERROR(P49*'Adjusted Schedule 1'!$E$104,0)</f>
        <v>0</v>
      </c>
      <c r="S49" s="68">
        <f t="shared" si="4"/>
        <v>0</v>
      </c>
      <c r="T49" s="311">
        <f t="shared" si="5"/>
        <v>0</v>
      </c>
      <c r="V49" s="120">
        <f>'As-Filed Schedule 2I'!N49</f>
        <v>0</v>
      </c>
      <c r="W49" s="314">
        <f>SUMIFS(Adjustments!$G:$G,Adjustments!$H:$H,"2I",Adjustments!$I:$I,'Schedule 2I Adjustments'!$V$12,Adjustments!$J:$J,'Schedule 2I Adjustments'!$A49)</f>
        <v>0</v>
      </c>
      <c r="X49" s="310">
        <f t="shared" si="6"/>
        <v>0</v>
      </c>
      <c r="Y49" s="120">
        <f>'As-Filed Schedule 2I'!O49</f>
        <v>0</v>
      </c>
      <c r="Z49" s="314">
        <f>SUMIFS(Adjustments!$G:$G,Adjustments!$H:$H,"2I",Adjustments!$I:$I,'Schedule 2I Adjustments'!$Y$12,Adjustments!$J:$J,'Schedule 2I Adjustments'!$A49)</f>
        <v>0</v>
      </c>
      <c r="AA49" s="310">
        <f t="shared" si="7"/>
        <v>0</v>
      </c>
    </row>
    <row r="50" spans="1:27" x14ac:dyDescent="0.35">
      <c r="A50" s="24">
        <v>36</v>
      </c>
      <c r="B50" s="513" t="str">
        <f>IF('As-Filed Schedule 2I'!B50:D50=0,"",'As-Filed Schedule 2I'!B50:D50)</f>
        <v/>
      </c>
      <c r="C50" s="513"/>
      <c r="D50" s="513"/>
      <c r="F50" s="117">
        <f>'As-Filed Schedule 2I'!F50</f>
        <v>0</v>
      </c>
      <c r="G50" s="314">
        <f>SUMIFS(Adjustments!$G:$G,Adjustments!$H:$H,"2I",Adjustments!$I:$I,'Schedule 2I Adjustments'!$F$12,Adjustments!$J:$J,'Schedule 2I Adjustments'!$A50)</f>
        <v>0</v>
      </c>
      <c r="H50" s="310">
        <f t="shared" si="0"/>
        <v>0</v>
      </c>
      <c r="I50" s="68">
        <f>IFERROR(F50*'As-Filed Schedule 1'!$E$103,0)</f>
        <v>0</v>
      </c>
      <c r="J50" s="311">
        <f>IFERROR(H50*'Adjusted Schedule 1'!$E$104,0)</f>
        <v>0</v>
      </c>
      <c r="K50" s="68">
        <f t="shared" si="1"/>
        <v>0</v>
      </c>
      <c r="L50" s="311">
        <f t="shared" si="2"/>
        <v>0</v>
      </c>
      <c r="N50" s="117">
        <f>'As-Filed Schedule 2I'!J50</f>
        <v>0</v>
      </c>
      <c r="O50" s="314">
        <f>SUMIFS(Adjustments!$G:$G,Adjustments!$H:$H,"2I",Adjustments!$I:$I,'Schedule 2I Adjustments'!$N$12,Adjustments!$J:$J,'Schedule 2I Adjustments'!$A50)</f>
        <v>0</v>
      </c>
      <c r="P50" s="310">
        <f t="shared" si="3"/>
        <v>0</v>
      </c>
      <c r="Q50" s="68">
        <f>IFERROR(N50*'As-Filed Schedule 1'!$E$103,0)</f>
        <v>0</v>
      </c>
      <c r="R50" s="68">
        <f>IFERROR(P50*'Adjusted Schedule 1'!$E$104,0)</f>
        <v>0</v>
      </c>
      <c r="S50" s="68">
        <f t="shared" si="4"/>
        <v>0</v>
      </c>
      <c r="T50" s="311">
        <f t="shared" si="5"/>
        <v>0</v>
      </c>
      <c r="V50" s="120">
        <f>'As-Filed Schedule 2I'!N50</f>
        <v>0</v>
      </c>
      <c r="W50" s="314">
        <f>SUMIFS(Adjustments!$G:$G,Adjustments!$H:$H,"2I",Adjustments!$I:$I,'Schedule 2I Adjustments'!$V$12,Adjustments!$J:$J,'Schedule 2I Adjustments'!$A50)</f>
        <v>0</v>
      </c>
      <c r="X50" s="310">
        <f t="shared" si="6"/>
        <v>0</v>
      </c>
      <c r="Y50" s="120">
        <f>'As-Filed Schedule 2I'!O50</f>
        <v>0</v>
      </c>
      <c r="Z50" s="314">
        <f>SUMIFS(Adjustments!$G:$G,Adjustments!$H:$H,"2I",Adjustments!$I:$I,'Schedule 2I Adjustments'!$Y$12,Adjustments!$J:$J,'Schedule 2I Adjustments'!$A50)</f>
        <v>0</v>
      </c>
      <c r="AA50" s="310">
        <f t="shared" si="7"/>
        <v>0</v>
      </c>
    </row>
    <row r="51" spans="1:27" x14ac:dyDescent="0.35">
      <c r="A51" s="24">
        <v>37</v>
      </c>
      <c r="B51" s="513" t="str">
        <f>IF('As-Filed Schedule 2I'!B51:D51=0,"",'As-Filed Schedule 2I'!B51:D51)</f>
        <v/>
      </c>
      <c r="C51" s="513"/>
      <c r="D51" s="513"/>
      <c r="F51" s="117">
        <f>'As-Filed Schedule 2I'!F51</f>
        <v>0</v>
      </c>
      <c r="G51" s="314">
        <f>SUMIFS(Adjustments!$G:$G,Adjustments!$H:$H,"2I",Adjustments!$I:$I,'Schedule 2I Adjustments'!$F$12,Adjustments!$J:$J,'Schedule 2I Adjustments'!$A51)</f>
        <v>0</v>
      </c>
      <c r="H51" s="310">
        <f t="shared" si="0"/>
        <v>0</v>
      </c>
      <c r="I51" s="68">
        <f>IFERROR(F51*'As-Filed Schedule 1'!$E$103,0)</f>
        <v>0</v>
      </c>
      <c r="J51" s="311">
        <f>IFERROR(H51*'Adjusted Schedule 1'!$E$104,0)</f>
        <v>0</v>
      </c>
      <c r="K51" s="68">
        <f t="shared" si="1"/>
        <v>0</v>
      </c>
      <c r="L51" s="311">
        <f t="shared" si="2"/>
        <v>0</v>
      </c>
      <c r="N51" s="117">
        <f>'As-Filed Schedule 2I'!J51</f>
        <v>0</v>
      </c>
      <c r="O51" s="314">
        <f>SUMIFS(Adjustments!$G:$G,Adjustments!$H:$H,"2I",Adjustments!$I:$I,'Schedule 2I Adjustments'!$N$12,Adjustments!$J:$J,'Schedule 2I Adjustments'!$A51)</f>
        <v>0</v>
      </c>
      <c r="P51" s="310">
        <f t="shared" si="3"/>
        <v>0</v>
      </c>
      <c r="Q51" s="68">
        <f>IFERROR(N51*'As-Filed Schedule 1'!$E$103,0)</f>
        <v>0</v>
      </c>
      <c r="R51" s="68">
        <f>IFERROR(P51*'Adjusted Schedule 1'!$E$104,0)</f>
        <v>0</v>
      </c>
      <c r="S51" s="68">
        <f t="shared" si="4"/>
        <v>0</v>
      </c>
      <c r="T51" s="311">
        <f t="shared" si="5"/>
        <v>0</v>
      </c>
      <c r="V51" s="120">
        <f>'As-Filed Schedule 2I'!N51</f>
        <v>0</v>
      </c>
      <c r="W51" s="314">
        <f>SUMIFS(Adjustments!$G:$G,Adjustments!$H:$H,"2I",Adjustments!$I:$I,'Schedule 2I Adjustments'!$V$12,Adjustments!$J:$J,'Schedule 2I Adjustments'!$A51)</f>
        <v>0</v>
      </c>
      <c r="X51" s="310">
        <f t="shared" si="6"/>
        <v>0</v>
      </c>
      <c r="Y51" s="120">
        <f>'As-Filed Schedule 2I'!O51</f>
        <v>0</v>
      </c>
      <c r="Z51" s="314">
        <f>SUMIFS(Adjustments!$G:$G,Adjustments!$H:$H,"2I",Adjustments!$I:$I,'Schedule 2I Adjustments'!$Y$12,Adjustments!$J:$J,'Schedule 2I Adjustments'!$A51)</f>
        <v>0</v>
      </c>
      <c r="AA51" s="310">
        <f t="shared" si="7"/>
        <v>0</v>
      </c>
    </row>
    <row r="52" spans="1:27" x14ac:dyDescent="0.35">
      <c r="A52" s="24">
        <v>38</v>
      </c>
      <c r="B52" s="513" t="str">
        <f>IF('As-Filed Schedule 2I'!B52:D52=0,"",'As-Filed Schedule 2I'!B52:D52)</f>
        <v/>
      </c>
      <c r="C52" s="513"/>
      <c r="D52" s="513"/>
      <c r="F52" s="117">
        <f>'As-Filed Schedule 2I'!F52</f>
        <v>0</v>
      </c>
      <c r="G52" s="314">
        <f>SUMIFS(Adjustments!$G:$G,Adjustments!$H:$H,"2I",Adjustments!$I:$I,'Schedule 2I Adjustments'!$F$12,Adjustments!$J:$J,'Schedule 2I Adjustments'!$A52)</f>
        <v>0</v>
      </c>
      <c r="H52" s="310">
        <f t="shared" si="0"/>
        <v>0</v>
      </c>
      <c r="I52" s="68">
        <f>IFERROR(F52*'As-Filed Schedule 1'!$E$103,0)</f>
        <v>0</v>
      </c>
      <c r="J52" s="311">
        <f>IFERROR(H52*'Adjusted Schedule 1'!$E$104,0)</f>
        <v>0</v>
      </c>
      <c r="K52" s="68">
        <f t="shared" si="1"/>
        <v>0</v>
      </c>
      <c r="L52" s="311">
        <f t="shared" si="2"/>
        <v>0</v>
      </c>
      <c r="N52" s="117">
        <f>'As-Filed Schedule 2I'!J52</f>
        <v>0</v>
      </c>
      <c r="O52" s="314">
        <f>SUMIFS(Adjustments!$G:$G,Adjustments!$H:$H,"2I",Adjustments!$I:$I,'Schedule 2I Adjustments'!$N$12,Adjustments!$J:$J,'Schedule 2I Adjustments'!$A52)</f>
        <v>0</v>
      </c>
      <c r="P52" s="310">
        <f t="shared" si="3"/>
        <v>0</v>
      </c>
      <c r="Q52" s="68">
        <f>IFERROR(N52*'As-Filed Schedule 1'!$E$103,0)</f>
        <v>0</v>
      </c>
      <c r="R52" s="68">
        <f>IFERROR(P52*'Adjusted Schedule 1'!$E$104,0)</f>
        <v>0</v>
      </c>
      <c r="S52" s="68">
        <f t="shared" si="4"/>
        <v>0</v>
      </c>
      <c r="T52" s="311">
        <f t="shared" si="5"/>
        <v>0</v>
      </c>
      <c r="V52" s="120">
        <f>'As-Filed Schedule 2I'!N52</f>
        <v>0</v>
      </c>
      <c r="W52" s="314">
        <f>SUMIFS(Adjustments!$G:$G,Adjustments!$H:$H,"2I",Adjustments!$I:$I,'Schedule 2I Adjustments'!$V$12,Adjustments!$J:$J,'Schedule 2I Adjustments'!$A52)</f>
        <v>0</v>
      </c>
      <c r="X52" s="310">
        <f t="shared" si="6"/>
        <v>0</v>
      </c>
      <c r="Y52" s="120">
        <f>'As-Filed Schedule 2I'!O52</f>
        <v>0</v>
      </c>
      <c r="Z52" s="314">
        <f>SUMIFS(Adjustments!$G:$G,Adjustments!$H:$H,"2I",Adjustments!$I:$I,'Schedule 2I Adjustments'!$Y$12,Adjustments!$J:$J,'Schedule 2I Adjustments'!$A52)</f>
        <v>0</v>
      </c>
      <c r="AA52" s="310">
        <f t="shared" si="7"/>
        <v>0</v>
      </c>
    </row>
    <row r="53" spans="1:27" x14ac:dyDescent="0.35">
      <c r="A53" s="24">
        <v>39</v>
      </c>
      <c r="B53" s="513" t="str">
        <f>IF('As-Filed Schedule 2I'!B53:D53=0,"",'As-Filed Schedule 2I'!B53:D53)</f>
        <v/>
      </c>
      <c r="C53" s="513"/>
      <c r="D53" s="513"/>
      <c r="F53" s="117">
        <f>'As-Filed Schedule 2I'!F53</f>
        <v>0</v>
      </c>
      <c r="G53" s="314">
        <f>SUMIFS(Adjustments!$G:$G,Adjustments!$H:$H,"2I",Adjustments!$I:$I,'Schedule 2I Adjustments'!$F$12,Adjustments!$J:$J,'Schedule 2I Adjustments'!$A53)</f>
        <v>0</v>
      </c>
      <c r="H53" s="310">
        <f t="shared" si="0"/>
        <v>0</v>
      </c>
      <c r="I53" s="68">
        <f>IFERROR(F53*'As-Filed Schedule 1'!$E$103,0)</f>
        <v>0</v>
      </c>
      <c r="J53" s="311">
        <f>IFERROR(H53*'Adjusted Schedule 1'!$E$104,0)</f>
        <v>0</v>
      </c>
      <c r="K53" s="68">
        <f t="shared" si="1"/>
        <v>0</v>
      </c>
      <c r="L53" s="311">
        <f t="shared" si="2"/>
        <v>0</v>
      </c>
      <c r="N53" s="117">
        <f>'As-Filed Schedule 2I'!J53</f>
        <v>0</v>
      </c>
      <c r="O53" s="314">
        <f>SUMIFS(Adjustments!$G:$G,Adjustments!$H:$H,"2I",Adjustments!$I:$I,'Schedule 2I Adjustments'!$N$12,Adjustments!$J:$J,'Schedule 2I Adjustments'!$A53)</f>
        <v>0</v>
      </c>
      <c r="P53" s="310">
        <f t="shared" si="3"/>
        <v>0</v>
      </c>
      <c r="Q53" s="68">
        <f>IFERROR(N53*'As-Filed Schedule 1'!$E$103,0)</f>
        <v>0</v>
      </c>
      <c r="R53" s="68">
        <f>IFERROR(P53*'Adjusted Schedule 1'!$E$104,0)</f>
        <v>0</v>
      </c>
      <c r="S53" s="68">
        <f t="shared" si="4"/>
        <v>0</v>
      </c>
      <c r="T53" s="311">
        <f t="shared" si="5"/>
        <v>0</v>
      </c>
      <c r="V53" s="120">
        <f>'As-Filed Schedule 2I'!N53</f>
        <v>0</v>
      </c>
      <c r="W53" s="314">
        <f>SUMIFS(Adjustments!$G:$G,Adjustments!$H:$H,"2I",Adjustments!$I:$I,'Schedule 2I Adjustments'!$V$12,Adjustments!$J:$J,'Schedule 2I Adjustments'!$A53)</f>
        <v>0</v>
      </c>
      <c r="X53" s="310">
        <f t="shared" si="6"/>
        <v>0</v>
      </c>
      <c r="Y53" s="120">
        <f>'As-Filed Schedule 2I'!O53</f>
        <v>0</v>
      </c>
      <c r="Z53" s="314">
        <f>SUMIFS(Adjustments!$G:$G,Adjustments!$H:$H,"2I",Adjustments!$I:$I,'Schedule 2I Adjustments'!$Y$12,Adjustments!$J:$J,'Schedule 2I Adjustments'!$A53)</f>
        <v>0</v>
      </c>
      <c r="AA53" s="310">
        <f t="shared" si="7"/>
        <v>0</v>
      </c>
    </row>
    <row r="54" spans="1:27" x14ac:dyDescent="0.35">
      <c r="A54" s="24">
        <v>40</v>
      </c>
      <c r="B54" s="513" t="str">
        <f>IF('As-Filed Schedule 2I'!B54:D54=0,"",'As-Filed Schedule 2I'!B54:D54)</f>
        <v/>
      </c>
      <c r="C54" s="513"/>
      <c r="D54" s="513"/>
      <c r="F54" s="117">
        <f>'As-Filed Schedule 2I'!F54</f>
        <v>0</v>
      </c>
      <c r="G54" s="314">
        <f>SUMIFS(Adjustments!$G:$G,Adjustments!$H:$H,"2I",Adjustments!$I:$I,'Schedule 2I Adjustments'!$F$12,Adjustments!$J:$J,'Schedule 2I Adjustments'!$A54)</f>
        <v>0</v>
      </c>
      <c r="H54" s="310">
        <f t="shared" si="0"/>
        <v>0</v>
      </c>
      <c r="I54" s="68">
        <f>IFERROR(F54*'As-Filed Schedule 1'!$E$103,0)</f>
        <v>0</v>
      </c>
      <c r="J54" s="311">
        <f>IFERROR(H54*'Adjusted Schedule 1'!$E$104,0)</f>
        <v>0</v>
      </c>
      <c r="K54" s="68">
        <f t="shared" si="1"/>
        <v>0</v>
      </c>
      <c r="L54" s="311">
        <f t="shared" si="2"/>
        <v>0</v>
      </c>
      <c r="N54" s="117">
        <f>'As-Filed Schedule 2I'!J54</f>
        <v>0</v>
      </c>
      <c r="O54" s="314">
        <f>SUMIFS(Adjustments!$G:$G,Adjustments!$H:$H,"2I",Adjustments!$I:$I,'Schedule 2I Adjustments'!$N$12,Adjustments!$J:$J,'Schedule 2I Adjustments'!$A54)</f>
        <v>0</v>
      </c>
      <c r="P54" s="310">
        <f t="shared" si="3"/>
        <v>0</v>
      </c>
      <c r="Q54" s="68">
        <f>IFERROR(N54*'As-Filed Schedule 1'!$E$103,0)</f>
        <v>0</v>
      </c>
      <c r="R54" s="68">
        <f>IFERROR(P54*'Adjusted Schedule 1'!$E$104,0)</f>
        <v>0</v>
      </c>
      <c r="S54" s="68">
        <f t="shared" si="4"/>
        <v>0</v>
      </c>
      <c r="T54" s="311">
        <f t="shared" si="5"/>
        <v>0</v>
      </c>
      <c r="V54" s="120">
        <f>'As-Filed Schedule 2I'!N54</f>
        <v>0</v>
      </c>
      <c r="W54" s="314">
        <f>SUMIFS(Adjustments!$G:$G,Adjustments!$H:$H,"2I",Adjustments!$I:$I,'Schedule 2I Adjustments'!$V$12,Adjustments!$J:$J,'Schedule 2I Adjustments'!$A54)</f>
        <v>0</v>
      </c>
      <c r="X54" s="310">
        <f t="shared" si="6"/>
        <v>0</v>
      </c>
      <c r="Y54" s="120">
        <f>'As-Filed Schedule 2I'!O54</f>
        <v>0</v>
      </c>
      <c r="Z54" s="314">
        <f>SUMIFS(Adjustments!$G:$G,Adjustments!$H:$H,"2I",Adjustments!$I:$I,'Schedule 2I Adjustments'!$Y$12,Adjustments!$J:$J,'Schedule 2I Adjustments'!$A54)</f>
        <v>0</v>
      </c>
      <c r="AA54" s="310">
        <f t="shared" si="7"/>
        <v>0</v>
      </c>
    </row>
    <row r="55" spans="1:27" x14ac:dyDescent="0.35">
      <c r="A55" s="24">
        <v>41</v>
      </c>
      <c r="B55" s="513" t="str">
        <f>IF('As-Filed Schedule 2I'!B55:D55=0,"",'As-Filed Schedule 2I'!B55:D55)</f>
        <v/>
      </c>
      <c r="C55" s="513"/>
      <c r="D55" s="513"/>
      <c r="F55" s="117">
        <f>'As-Filed Schedule 2I'!F55</f>
        <v>0</v>
      </c>
      <c r="G55" s="314">
        <f>SUMIFS(Adjustments!$G:$G,Adjustments!$H:$H,"2I",Adjustments!$I:$I,'Schedule 2I Adjustments'!$F$12,Adjustments!$J:$J,'Schedule 2I Adjustments'!$A55)</f>
        <v>0</v>
      </c>
      <c r="H55" s="310">
        <f t="shared" si="0"/>
        <v>0</v>
      </c>
      <c r="I55" s="68">
        <f>IFERROR(F55*'As-Filed Schedule 1'!$E$103,0)</f>
        <v>0</v>
      </c>
      <c r="J55" s="311">
        <f>IFERROR(H55*'Adjusted Schedule 1'!$E$104,0)</f>
        <v>0</v>
      </c>
      <c r="K55" s="68">
        <f t="shared" si="1"/>
        <v>0</v>
      </c>
      <c r="L55" s="311">
        <f t="shared" si="2"/>
        <v>0</v>
      </c>
      <c r="N55" s="117">
        <f>'As-Filed Schedule 2I'!J55</f>
        <v>0</v>
      </c>
      <c r="O55" s="314">
        <f>SUMIFS(Adjustments!$G:$G,Adjustments!$H:$H,"2I",Adjustments!$I:$I,'Schedule 2I Adjustments'!$N$12,Adjustments!$J:$J,'Schedule 2I Adjustments'!$A55)</f>
        <v>0</v>
      </c>
      <c r="P55" s="310">
        <f t="shared" si="3"/>
        <v>0</v>
      </c>
      <c r="Q55" s="68">
        <f>IFERROR(N55*'As-Filed Schedule 1'!$E$103,0)</f>
        <v>0</v>
      </c>
      <c r="R55" s="68">
        <f>IFERROR(P55*'Adjusted Schedule 1'!$E$104,0)</f>
        <v>0</v>
      </c>
      <c r="S55" s="68">
        <f t="shared" si="4"/>
        <v>0</v>
      </c>
      <c r="T55" s="311">
        <f t="shared" si="5"/>
        <v>0</v>
      </c>
      <c r="V55" s="120">
        <f>'As-Filed Schedule 2I'!N55</f>
        <v>0</v>
      </c>
      <c r="W55" s="314">
        <f>SUMIFS(Adjustments!$G:$G,Adjustments!$H:$H,"2I",Adjustments!$I:$I,'Schedule 2I Adjustments'!$V$12,Adjustments!$J:$J,'Schedule 2I Adjustments'!$A55)</f>
        <v>0</v>
      </c>
      <c r="X55" s="310">
        <f t="shared" si="6"/>
        <v>0</v>
      </c>
      <c r="Y55" s="120">
        <f>'As-Filed Schedule 2I'!O55</f>
        <v>0</v>
      </c>
      <c r="Z55" s="314">
        <f>SUMIFS(Adjustments!$G:$G,Adjustments!$H:$H,"2I",Adjustments!$I:$I,'Schedule 2I Adjustments'!$Y$12,Adjustments!$J:$J,'Schedule 2I Adjustments'!$A55)</f>
        <v>0</v>
      </c>
      <c r="AA55" s="310">
        <f t="shared" si="7"/>
        <v>0</v>
      </c>
    </row>
    <row r="56" spans="1:27" x14ac:dyDescent="0.35">
      <c r="A56" s="24">
        <v>42</v>
      </c>
      <c r="B56" s="513" t="str">
        <f>IF('As-Filed Schedule 2I'!B56:D56=0,"",'As-Filed Schedule 2I'!B56:D56)</f>
        <v/>
      </c>
      <c r="C56" s="513"/>
      <c r="D56" s="513"/>
      <c r="F56" s="117">
        <f>'As-Filed Schedule 2I'!F56</f>
        <v>0</v>
      </c>
      <c r="G56" s="314">
        <f>SUMIFS(Adjustments!$G:$G,Adjustments!$H:$H,"2I",Adjustments!$I:$I,'Schedule 2I Adjustments'!$F$12,Adjustments!$J:$J,'Schedule 2I Adjustments'!$A56)</f>
        <v>0</v>
      </c>
      <c r="H56" s="310">
        <f t="shared" si="0"/>
        <v>0</v>
      </c>
      <c r="I56" s="68">
        <f>IFERROR(F56*'As-Filed Schedule 1'!$E$103,0)</f>
        <v>0</v>
      </c>
      <c r="J56" s="311">
        <f>IFERROR(H56*'Adjusted Schedule 1'!$E$104,0)</f>
        <v>0</v>
      </c>
      <c r="K56" s="68">
        <f t="shared" si="1"/>
        <v>0</v>
      </c>
      <c r="L56" s="311">
        <f t="shared" si="2"/>
        <v>0</v>
      </c>
      <c r="N56" s="117">
        <f>'As-Filed Schedule 2I'!J56</f>
        <v>0</v>
      </c>
      <c r="O56" s="314">
        <f>SUMIFS(Adjustments!$G:$G,Adjustments!$H:$H,"2I",Adjustments!$I:$I,'Schedule 2I Adjustments'!$N$12,Adjustments!$J:$J,'Schedule 2I Adjustments'!$A56)</f>
        <v>0</v>
      </c>
      <c r="P56" s="310">
        <f t="shared" si="3"/>
        <v>0</v>
      </c>
      <c r="Q56" s="68">
        <f>IFERROR(N56*'As-Filed Schedule 1'!$E$103,0)</f>
        <v>0</v>
      </c>
      <c r="R56" s="68">
        <f>IFERROR(P56*'Adjusted Schedule 1'!$E$104,0)</f>
        <v>0</v>
      </c>
      <c r="S56" s="68">
        <f t="shared" si="4"/>
        <v>0</v>
      </c>
      <c r="T56" s="311">
        <f t="shared" si="5"/>
        <v>0</v>
      </c>
      <c r="V56" s="120">
        <f>'As-Filed Schedule 2I'!N56</f>
        <v>0</v>
      </c>
      <c r="W56" s="314">
        <f>SUMIFS(Adjustments!$G:$G,Adjustments!$H:$H,"2I",Adjustments!$I:$I,'Schedule 2I Adjustments'!$V$12,Adjustments!$J:$J,'Schedule 2I Adjustments'!$A56)</f>
        <v>0</v>
      </c>
      <c r="X56" s="310">
        <f t="shared" si="6"/>
        <v>0</v>
      </c>
      <c r="Y56" s="120">
        <f>'As-Filed Schedule 2I'!O56</f>
        <v>0</v>
      </c>
      <c r="Z56" s="314">
        <f>SUMIFS(Adjustments!$G:$G,Adjustments!$H:$H,"2I",Adjustments!$I:$I,'Schedule 2I Adjustments'!$Y$12,Adjustments!$J:$J,'Schedule 2I Adjustments'!$A56)</f>
        <v>0</v>
      </c>
      <c r="AA56" s="310">
        <f t="shared" si="7"/>
        <v>0</v>
      </c>
    </row>
    <row r="57" spans="1:27" x14ac:dyDescent="0.35">
      <c r="A57" s="24">
        <v>43</v>
      </c>
      <c r="B57" s="513" t="str">
        <f>IF('As-Filed Schedule 2I'!B57:D57=0,"",'As-Filed Schedule 2I'!B57:D57)</f>
        <v/>
      </c>
      <c r="C57" s="513"/>
      <c r="D57" s="513"/>
      <c r="F57" s="117">
        <f>'As-Filed Schedule 2I'!F57</f>
        <v>0</v>
      </c>
      <c r="G57" s="314">
        <f>SUMIFS(Adjustments!$G:$G,Adjustments!$H:$H,"2I",Adjustments!$I:$I,'Schedule 2I Adjustments'!$F$12,Adjustments!$J:$J,'Schedule 2I Adjustments'!$A57)</f>
        <v>0</v>
      </c>
      <c r="H57" s="310">
        <f t="shared" si="0"/>
        <v>0</v>
      </c>
      <c r="I57" s="68">
        <f>IFERROR(F57*'As-Filed Schedule 1'!$E$103,0)</f>
        <v>0</v>
      </c>
      <c r="J57" s="311">
        <f>IFERROR(H57*'Adjusted Schedule 1'!$E$104,0)</f>
        <v>0</v>
      </c>
      <c r="K57" s="68">
        <f t="shared" si="1"/>
        <v>0</v>
      </c>
      <c r="L57" s="311">
        <f t="shared" si="2"/>
        <v>0</v>
      </c>
      <c r="N57" s="117">
        <f>'As-Filed Schedule 2I'!J57</f>
        <v>0</v>
      </c>
      <c r="O57" s="314">
        <f>SUMIFS(Adjustments!$G:$G,Adjustments!$H:$H,"2I",Adjustments!$I:$I,'Schedule 2I Adjustments'!$N$12,Adjustments!$J:$J,'Schedule 2I Adjustments'!$A57)</f>
        <v>0</v>
      </c>
      <c r="P57" s="310">
        <f t="shared" si="3"/>
        <v>0</v>
      </c>
      <c r="Q57" s="68">
        <f>IFERROR(N57*'As-Filed Schedule 1'!$E$103,0)</f>
        <v>0</v>
      </c>
      <c r="R57" s="68">
        <f>IFERROR(P57*'Adjusted Schedule 1'!$E$104,0)</f>
        <v>0</v>
      </c>
      <c r="S57" s="68">
        <f t="shared" si="4"/>
        <v>0</v>
      </c>
      <c r="T57" s="311">
        <f t="shared" si="5"/>
        <v>0</v>
      </c>
      <c r="V57" s="120">
        <f>'As-Filed Schedule 2I'!N57</f>
        <v>0</v>
      </c>
      <c r="W57" s="314">
        <f>SUMIFS(Adjustments!$G:$G,Adjustments!$H:$H,"2I",Adjustments!$I:$I,'Schedule 2I Adjustments'!$V$12,Adjustments!$J:$J,'Schedule 2I Adjustments'!$A57)</f>
        <v>0</v>
      </c>
      <c r="X57" s="310">
        <f t="shared" si="6"/>
        <v>0</v>
      </c>
      <c r="Y57" s="120">
        <f>'As-Filed Schedule 2I'!O57</f>
        <v>0</v>
      </c>
      <c r="Z57" s="314">
        <f>SUMIFS(Adjustments!$G:$G,Adjustments!$H:$H,"2I",Adjustments!$I:$I,'Schedule 2I Adjustments'!$Y$12,Adjustments!$J:$J,'Schedule 2I Adjustments'!$A57)</f>
        <v>0</v>
      </c>
      <c r="AA57" s="310">
        <f t="shared" si="7"/>
        <v>0</v>
      </c>
    </row>
    <row r="58" spans="1:27" x14ac:dyDescent="0.35">
      <c r="A58" s="24">
        <v>44</v>
      </c>
      <c r="B58" s="513" t="str">
        <f>IF('As-Filed Schedule 2I'!B58:D58=0,"",'As-Filed Schedule 2I'!B58:D58)</f>
        <v/>
      </c>
      <c r="C58" s="513"/>
      <c r="D58" s="513"/>
      <c r="F58" s="117">
        <f>'As-Filed Schedule 2I'!F58</f>
        <v>0</v>
      </c>
      <c r="G58" s="314">
        <f>SUMIFS(Adjustments!$G:$G,Adjustments!$H:$H,"2I",Adjustments!$I:$I,'Schedule 2I Adjustments'!$F$12,Adjustments!$J:$J,'Schedule 2I Adjustments'!$A58)</f>
        <v>0</v>
      </c>
      <c r="H58" s="310">
        <f t="shared" si="0"/>
        <v>0</v>
      </c>
      <c r="I58" s="68">
        <f>IFERROR(F58*'As-Filed Schedule 1'!$E$103,0)</f>
        <v>0</v>
      </c>
      <c r="J58" s="311">
        <f>IFERROR(H58*'Adjusted Schedule 1'!$E$104,0)</f>
        <v>0</v>
      </c>
      <c r="K58" s="68">
        <f t="shared" si="1"/>
        <v>0</v>
      </c>
      <c r="L58" s="311">
        <f t="shared" si="2"/>
        <v>0</v>
      </c>
      <c r="N58" s="117">
        <f>'As-Filed Schedule 2I'!J58</f>
        <v>0</v>
      </c>
      <c r="O58" s="314">
        <f>SUMIFS(Adjustments!$G:$G,Adjustments!$H:$H,"2I",Adjustments!$I:$I,'Schedule 2I Adjustments'!$N$12,Adjustments!$J:$J,'Schedule 2I Adjustments'!$A58)</f>
        <v>0</v>
      </c>
      <c r="P58" s="310">
        <f t="shared" si="3"/>
        <v>0</v>
      </c>
      <c r="Q58" s="68">
        <f>IFERROR(N58*'As-Filed Schedule 1'!$E$103,0)</f>
        <v>0</v>
      </c>
      <c r="R58" s="68">
        <f>IFERROR(P58*'Adjusted Schedule 1'!$E$104,0)</f>
        <v>0</v>
      </c>
      <c r="S58" s="68">
        <f t="shared" si="4"/>
        <v>0</v>
      </c>
      <c r="T58" s="311">
        <f t="shared" si="5"/>
        <v>0</v>
      </c>
      <c r="V58" s="120">
        <f>'As-Filed Schedule 2I'!N58</f>
        <v>0</v>
      </c>
      <c r="W58" s="314">
        <f>SUMIFS(Adjustments!$G:$G,Adjustments!$H:$H,"2I",Adjustments!$I:$I,'Schedule 2I Adjustments'!$V$12,Adjustments!$J:$J,'Schedule 2I Adjustments'!$A58)</f>
        <v>0</v>
      </c>
      <c r="X58" s="310">
        <f t="shared" si="6"/>
        <v>0</v>
      </c>
      <c r="Y58" s="120">
        <f>'As-Filed Schedule 2I'!O58</f>
        <v>0</v>
      </c>
      <c r="Z58" s="314">
        <f>SUMIFS(Adjustments!$G:$G,Adjustments!$H:$H,"2I",Adjustments!$I:$I,'Schedule 2I Adjustments'!$Y$12,Adjustments!$J:$J,'Schedule 2I Adjustments'!$A58)</f>
        <v>0</v>
      </c>
      <c r="AA58" s="310">
        <f t="shared" si="7"/>
        <v>0</v>
      </c>
    </row>
    <row r="59" spans="1:27" x14ac:dyDescent="0.35">
      <c r="A59" s="24">
        <v>45</v>
      </c>
      <c r="B59" s="513" t="str">
        <f>IF('As-Filed Schedule 2I'!B59:D59=0,"",'As-Filed Schedule 2I'!B59:D59)</f>
        <v/>
      </c>
      <c r="C59" s="513"/>
      <c r="D59" s="513"/>
      <c r="F59" s="117">
        <f>'As-Filed Schedule 2I'!F59</f>
        <v>0</v>
      </c>
      <c r="G59" s="314">
        <f>SUMIFS(Adjustments!$G:$G,Adjustments!$H:$H,"2I",Adjustments!$I:$I,'Schedule 2I Adjustments'!$F$12,Adjustments!$J:$J,'Schedule 2I Adjustments'!$A59)</f>
        <v>0</v>
      </c>
      <c r="H59" s="310">
        <f t="shared" si="0"/>
        <v>0</v>
      </c>
      <c r="I59" s="68">
        <f>IFERROR(F59*'As-Filed Schedule 1'!$E$103,0)</f>
        <v>0</v>
      </c>
      <c r="J59" s="311">
        <f>IFERROR(H59*'Adjusted Schedule 1'!$E$104,0)</f>
        <v>0</v>
      </c>
      <c r="K59" s="68">
        <f t="shared" si="1"/>
        <v>0</v>
      </c>
      <c r="L59" s="311">
        <f t="shared" si="2"/>
        <v>0</v>
      </c>
      <c r="N59" s="117">
        <f>'As-Filed Schedule 2I'!J59</f>
        <v>0</v>
      </c>
      <c r="O59" s="314">
        <f>SUMIFS(Adjustments!$G:$G,Adjustments!$H:$H,"2I",Adjustments!$I:$I,'Schedule 2I Adjustments'!$N$12,Adjustments!$J:$J,'Schedule 2I Adjustments'!$A59)</f>
        <v>0</v>
      </c>
      <c r="P59" s="310">
        <f t="shared" si="3"/>
        <v>0</v>
      </c>
      <c r="Q59" s="68">
        <f>IFERROR(N59*'As-Filed Schedule 1'!$E$103,0)</f>
        <v>0</v>
      </c>
      <c r="R59" s="68">
        <f>IFERROR(P59*'Adjusted Schedule 1'!$E$104,0)</f>
        <v>0</v>
      </c>
      <c r="S59" s="68">
        <f t="shared" si="4"/>
        <v>0</v>
      </c>
      <c r="T59" s="311">
        <f t="shared" si="5"/>
        <v>0</v>
      </c>
      <c r="V59" s="120">
        <f>'As-Filed Schedule 2I'!N59</f>
        <v>0</v>
      </c>
      <c r="W59" s="314">
        <f>SUMIFS(Adjustments!$G:$G,Adjustments!$H:$H,"2I",Adjustments!$I:$I,'Schedule 2I Adjustments'!$V$12,Adjustments!$J:$J,'Schedule 2I Adjustments'!$A59)</f>
        <v>0</v>
      </c>
      <c r="X59" s="310">
        <f t="shared" si="6"/>
        <v>0</v>
      </c>
      <c r="Y59" s="120">
        <f>'As-Filed Schedule 2I'!O59</f>
        <v>0</v>
      </c>
      <c r="Z59" s="314">
        <f>SUMIFS(Adjustments!$G:$G,Adjustments!$H:$H,"2I",Adjustments!$I:$I,'Schedule 2I Adjustments'!$Y$12,Adjustments!$J:$J,'Schedule 2I Adjustments'!$A59)</f>
        <v>0</v>
      </c>
      <c r="AA59" s="310">
        <f t="shared" si="7"/>
        <v>0</v>
      </c>
    </row>
    <row r="60" spans="1:27" x14ac:dyDescent="0.35">
      <c r="A60" s="24">
        <v>46</v>
      </c>
      <c r="B60" s="513" t="str">
        <f>IF('As-Filed Schedule 2I'!B60:D60=0,"",'As-Filed Schedule 2I'!B60:D60)</f>
        <v/>
      </c>
      <c r="C60" s="513"/>
      <c r="D60" s="513"/>
      <c r="F60" s="117">
        <f>'As-Filed Schedule 2I'!F60</f>
        <v>0</v>
      </c>
      <c r="G60" s="314">
        <f>SUMIFS(Adjustments!$G:$G,Adjustments!$H:$H,"2I",Adjustments!$I:$I,'Schedule 2I Adjustments'!$F$12,Adjustments!$J:$J,'Schedule 2I Adjustments'!$A60)</f>
        <v>0</v>
      </c>
      <c r="H60" s="310">
        <f t="shared" si="0"/>
        <v>0</v>
      </c>
      <c r="I60" s="68">
        <f>IFERROR(F60*'As-Filed Schedule 1'!$E$103,0)</f>
        <v>0</v>
      </c>
      <c r="J60" s="311">
        <f>IFERROR(H60*'Adjusted Schedule 1'!$E$104,0)</f>
        <v>0</v>
      </c>
      <c r="K60" s="68">
        <f t="shared" si="1"/>
        <v>0</v>
      </c>
      <c r="L60" s="311">
        <f t="shared" si="2"/>
        <v>0</v>
      </c>
      <c r="N60" s="117">
        <f>'As-Filed Schedule 2I'!J60</f>
        <v>0</v>
      </c>
      <c r="O60" s="314">
        <f>SUMIFS(Adjustments!$G:$G,Adjustments!$H:$H,"2I",Adjustments!$I:$I,'Schedule 2I Adjustments'!$N$12,Adjustments!$J:$J,'Schedule 2I Adjustments'!$A60)</f>
        <v>0</v>
      </c>
      <c r="P60" s="310">
        <f t="shared" si="3"/>
        <v>0</v>
      </c>
      <c r="Q60" s="68">
        <f>IFERROR(N60*'As-Filed Schedule 1'!$E$103,0)</f>
        <v>0</v>
      </c>
      <c r="R60" s="68">
        <f>IFERROR(P60*'Adjusted Schedule 1'!$E$104,0)</f>
        <v>0</v>
      </c>
      <c r="S60" s="68">
        <f t="shared" si="4"/>
        <v>0</v>
      </c>
      <c r="T60" s="311">
        <f t="shared" si="5"/>
        <v>0</v>
      </c>
      <c r="V60" s="120">
        <f>'As-Filed Schedule 2I'!N60</f>
        <v>0</v>
      </c>
      <c r="W60" s="314">
        <f>SUMIFS(Adjustments!$G:$G,Adjustments!$H:$H,"2I",Adjustments!$I:$I,'Schedule 2I Adjustments'!$V$12,Adjustments!$J:$J,'Schedule 2I Adjustments'!$A60)</f>
        <v>0</v>
      </c>
      <c r="X60" s="310">
        <f t="shared" si="6"/>
        <v>0</v>
      </c>
      <c r="Y60" s="120">
        <f>'As-Filed Schedule 2I'!O60</f>
        <v>0</v>
      </c>
      <c r="Z60" s="314">
        <f>SUMIFS(Adjustments!$G:$G,Adjustments!$H:$H,"2I",Adjustments!$I:$I,'Schedule 2I Adjustments'!$Y$12,Adjustments!$J:$J,'Schedule 2I Adjustments'!$A60)</f>
        <v>0</v>
      </c>
      <c r="AA60" s="310">
        <f t="shared" si="7"/>
        <v>0</v>
      </c>
    </row>
    <row r="61" spans="1:27" x14ac:dyDescent="0.35">
      <c r="A61" s="24">
        <v>47</v>
      </c>
      <c r="B61" s="513" t="str">
        <f>IF('As-Filed Schedule 2I'!B61:D61=0,"",'As-Filed Schedule 2I'!B61:D61)</f>
        <v/>
      </c>
      <c r="C61" s="513"/>
      <c r="D61" s="513"/>
      <c r="F61" s="117">
        <f>'As-Filed Schedule 2I'!F61</f>
        <v>0</v>
      </c>
      <c r="G61" s="314">
        <f>SUMIFS(Adjustments!$G:$G,Adjustments!$H:$H,"2I",Adjustments!$I:$I,'Schedule 2I Adjustments'!$F$12,Adjustments!$J:$J,'Schedule 2I Adjustments'!$A61)</f>
        <v>0</v>
      </c>
      <c r="H61" s="310">
        <f t="shared" si="0"/>
        <v>0</v>
      </c>
      <c r="I61" s="68">
        <f>IFERROR(F61*'As-Filed Schedule 1'!$E$103,0)</f>
        <v>0</v>
      </c>
      <c r="J61" s="311">
        <f>IFERROR(H61*'Adjusted Schedule 1'!$E$104,0)</f>
        <v>0</v>
      </c>
      <c r="K61" s="68">
        <f t="shared" si="1"/>
        <v>0</v>
      </c>
      <c r="L61" s="311">
        <f t="shared" si="2"/>
        <v>0</v>
      </c>
      <c r="N61" s="117">
        <f>'As-Filed Schedule 2I'!J61</f>
        <v>0</v>
      </c>
      <c r="O61" s="314">
        <f>SUMIFS(Adjustments!$G:$G,Adjustments!$H:$H,"2I",Adjustments!$I:$I,'Schedule 2I Adjustments'!$N$12,Adjustments!$J:$J,'Schedule 2I Adjustments'!$A61)</f>
        <v>0</v>
      </c>
      <c r="P61" s="310">
        <f t="shared" si="3"/>
        <v>0</v>
      </c>
      <c r="Q61" s="68">
        <f>IFERROR(N61*'As-Filed Schedule 1'!$E$103,0)</f>
        <v>0</v>
      </c>
      <c r="R61" s="68">
        <f>IFERROR(P61*'Adjusted Schedule 1'!$E$104,0)</f>
        <v>0</v>
      </c>
      <c r="S61" s="68">
        <f t="shared" si="4"/>
        <v>0</v>
      </c>
      <c r="T61" s="311">
        <f t="shared" si="5"/>
        <v>0</v>
      </c>
      <c r="V61" s="120">
        <f>'As-Filed Schedule 2I'!N61</f>
        <v>0</v>
      </c>
      <c r="W61" s="314">
        <f>SUMIFS(Adjustments!$G:$G,Adjustments!$H:$H,"2I",Adjustments!$I:$I,'Schedule 2I Adjustments'!$V$12,Adjustments!$J:$J,'Schedule 2I Adjustments'!$A61)</f>
        <v>0</v>
      </c>
      <c r="X61" s="310">
        <f t="shared" si="6"/>
        <v>0</v>
      </c>
      <c r="Y61" s="120">
        <f>'As-Filed Schedule 2I'!O61</f>
        <v>0</v>
      </c>
      <c r="Z61" s="314">
        <f>SUMIFS(Adjustments!$G:$G,Adjustments!$H:$H,"2I",Adjustments!$I:$I,'Schedule 2I Adjustments'!$Y$12,Adjustments!$J:$J,'Schedule 2I Adjustments'!$A61)</f>
        <v>0</v>
      </c>
      <c r="AA61" s="310">
        <f t="shared" si="7"/>
        <v>0</v>
      </c>
    </row>
    <row r="62" spans="1:27" x14ac:dyDescent="0.35">
      <c r="A62" s="24">
        <v>48</v>
      </c>
      <c r="B62" s="513" t="str">
        <f>IF('As-Filed Schedule 2I'!B62:D62=0,"",'As-Filed Schedule 2I'!B62:D62)</f>
        <v/>
      </c>
      <c r="C62" s="513"/>
      <c r="D62" s="513"/>
      <c r="F62" s="117">
        <f>'As-Filed Schedule 2I'!F62</f>
        <v>0</v>
      </c>
      <c r="G62" s="314">
        <f>SUMIFS(Adjustments!$G:$G,Adjustments!$H:$H,"2I",Adjustments!$I:$I,'Schedule 2I Adjustments'!$F$12,Adjustments!$J:$J,'Schedule 2I Adjustments'!$A62)</f>
        <v>0</v>
      </c>
      <c r="H62" s="310">
        <f t="shared" si="0"/>
        <v>0</v>
      </c>
      <c r="I62" s="68">
        <f>IFERROR(F62*'As-Filed Schedule 1'!$E$103,0)</f>
        <v>0</v>
      </c>
      <c r="J62" s="311">
        <f>IFERROR(H62*'Adjusted Schedule 1'!$E$104,0)</f>
        <v>0</v>
      </c>
      <c r="K62" s="68">
        <f t="shared" si="1"/>
        <v>0</v>
      </c>
      <c r="L62" s="311">
        <f t="shared" si="2"/>
        <v>0</v>
      </c>
      <c r="N62" s="117">
        <f>'As-Filed Schedule 2I'!J62</f>
        <v>0</v>
      </c>
      <c r="O62" s="314">
        <f>SUMIFS(Adjustments!$G:$G,Adjustments!$H:$H,"2I",Adjustments!$I:$I,'Schedule 2I Adjustments'!$N$12,Adjustments!$J:$J,'Schedule 2I Adjustments'!$A62)</f>
        <v>0</v>
      </c>
      <c r="P62" s="310">
        <f t="shared" si="3"/>
        <v>0</v>
      </c>
      <c r="Q62" s="68">
        <f>IFERROR(N62*'As-Filed Schedule 1'!$E$103,0)</f>
        <v>0</v>
      </c>
      <c r="R62" s="68">
        <f>IFERROR(P62*'Adjusted Schedule 1'!$E$104,0)</f>
        <v>0</v>
      </c>
      <c r="S62" s="68">
        <f t="shared" si="4"/>
        <v>0</v>
      </c>
      <c r="T62" s="311">
        <f t="shared" si="5"/>
        <v>0</v>
      </c>
      <c r="V62" s="120">
        <f>'As-Filed Schedule 2I'!N62</f>
        <v>0</v>
      </c>
      <c r="W62" s="314">
        <f>SUMIFS(Adjustments!$G:$G,Adjustments!$H:$H,"2I",Adjustments!$I:$I,'Schedule 2I Adjustments'!$V$12,Adjustments!$J:$J,'Schedule 2I Adjustments'!$A62)</f>
        <v>0</v>
      </c>
      <c r="X62" s="310">
        <f t="shared" si="6"/>
        <v>0</v>
      </c>
      <c r="Y62" s="120">
        <f>'As-Filed Schedule 2I'!O62</f>
        <v>0</v>
      </c>
      <c r="Z62" s="314">
        <f>SUMIFS(Adjustments!$G:$G,Adjustments!$H:$H,"2I",Adjustments!$I:$I,'Schedule 2I Adjustments'!$Y$12,Adjustments!$J:$J,'Schedule 2I Adjustments'!$A62)</f>
        <v>0</v>
      </c>
      <c r="AA62" s="310">
        <f t="shared" si="7"/>
        <v>0</v>
      </c>
    </row>
    <row r="63" spans="1:27" x14ac:dyDescent="0.35">
      <c r="A63" s="24">
        <v>49</v>
      </c>
      <c r="B63" s="513" t="str">
        <f>IF('As-Filed Schedule 2I'!B63:D63=0,"",'As-Filed Schedule 2I'!B63:D63)</f>
        <v/>
      </c>
      <c r="C63" s="513"/>
      <c r="D63" s="513"/>
      <c r="F63" s="117">
        <f>'As-Filed Schedule 2I'!F63</f>
        <v>0</v>
      </c>
      <c r="G63" s="314">
        <f>SUMIFS(Adjustments!$G:$G,Adjustments!$H:$H,"2I",Adjustments!$I:$I,'Schedule 2I Adjustments'!$F$12,Adjustments!$J:$J,'Schedule 2I Adjustments'!$A63)</f>
        <v>0</v>
      </c>
      <c r="H63" s="310">
        <f t="shared" si="0"/>
        <v>0</v>
      </c>
      <c r="I63" s="68">
        <f>IFERROR(F63*'As-Filed Schedule 1'!$E$103,0)</f>
        <v>0</v>
      </c>
      <c r="J63" s="311">
        <f>IFERROR(H63*'Adjusted Schedule 1'!$E$104,0)</f>
        <v>0</v>
      </c>
      <c r="K63" s="68">
        <f t="shared" si="1"/>
        <v>0</v>
      </c>
      <c r="L63" s="311">
        <f t="shared" si="2"/>
        <v>0</v>
      </c>
      <c r="N63" s="117">
        <f>'As-Filed Schedule 2I'!J63</f>
        <v>0</v>
      </c>
      <c r="O63" s="314">
        <f>SUMIFS(Adjustments!$G:$G,Adjustments!$H:$H,"2I",Adjustments!$I:$I,'Schedule 2I Adjustments'!$N$12,Adjustments!$J:$J,'Schedule 2I Adjustments'!$A63)</f>
        <v>0</v>
      </c>
      <c r="P63" s="310">
        <f t="shared" si="3"/>
        <v>0</v>
      </c>
      <c r="Q63" s="68">
        <f>IFERROR(N63*'As-Filed Schedule 1'!$E$103,0)</f>
        <v>0</v>
      </c>
      <c r="R63" s="68">
        <f>IFERROR(P63*'Adjusted Schedule 1'!$E$104,0)</f>
        <v>0</v>
      </c>
      <c r="S63" s="68">
        <f t="shared" si="4"/>
        <v>0</v>
      </c>
      <c r="T63" s="311">
        <f t="shared" si="5"/>
        <v>0</v>
      </c>
      <c r="V63" s="120">
        <f>'As-Filed Schedule 2I'!N63</f>
        <v>0</v>
      </c>
      <c r="W63" s="314">
        <f>SUMIFS(Adjustments!$G:$G,Adjustments!$H:$H,"2I",Adjustments!$I:$I,'Schedule 2I Adjustments'!$V$12,Adjustments!$J:$J,'Schedule 2I Adjustments'!$A63)</f>
        <v>0</v>
      </c>
      <c r="X63" s="310">
        <f t="shared" si="6"/>
        <v>0</v>
      </c>
      <c r="Y63" s="120">
        <f>'As-Filed Schedule 2I'!O63</f>
        <v>0</v>
      </c>
      <c r="Z63" s="314">
        <f>SUMIFS(Adjustments!$G:$G,Adjustments!$H:$H,"2I",Adjustments!$I:$I,'Schedule 2I Adjustments'!$Y$12,Adjustments!$J:$J,'Schedule 2I Adjustments'!$A63)</f>
        <v>0</v>
      </c>
      <c r="AA63" s="310">
        <f t="shared" si="7"/>
        <v>0</v>
      </c>
    </row>
    <row r="64" spans="1:27" x14ac:dyDescent="0.35">
      <c r="A64" s="24">
        <v>50</v>
      </c>
      <c r="B64" s="513" t="str">
        <f>IF('As-Filed Schedule 2I'!B64:D64=0,"",'As-Filed Schedule 2I'!B64:D64)</f>
        <v/>
      </c>
      <c r="C64" s="513"/>
      <c r="D64" s="513"/>
      <c r="F64" s="117">
        <f>'As-Filed Schedule 2I'!F64</f>
        <v>0</v>
      </c>
      <c r="G64" s="314">
        <f>SUMIFS(Adjustments!$G:$G,Adjustments!$H:$H,"2I",Adjustments!$I:$I,'Schedule 2I Adjustments'!$F$12,Adjustments!$J:$J,'Schedule 2I Adjustments'!$A64)</f>
        <v>0</v>
      </c>
      <c r="H64" s="310">
        <f t="shared" si="0"/>
        <v>0</v>
      </c>
      <c r="I64" s="68">
        <f>IFERROR(F64*'As-Filed Schedule 1'!$E$103,0)</f>
        <v>0</v>
      </c>
      <c r="J64" s="311">
        <f>IFERROR(H64*'Adjusted Schedule 1'!$E$104,0)</f>
        <v>0</v>
      </c>
      <c r="K64" s="68">
        <f t="shared" si="1"/>
        <v>0</v>
      </c>
      <c r="L64" s="311">
        <f t="shared" si="2"/>
        <v>0</v>
      </c>
      <c r="N64" s="117">
        <f>'As-Filed Schedule 2I'!J64</f>
        <v>0</v>
      </c>
      <c r="O64" s="314">
        <f>SUMIFS(Adjustments!$G:$G,Adjustments!$H:$H,"2I",Adjustments!$I:$I,'Schedule 2I Adjustments'!$N$12,Adjustments!$J:$J,'Schedule 2I Adjustments'!$A64)</f>
        <v>0</v>
      </c>
      <c r="P64" s="310">
        <f t="shared" si="3"/>
        <v>0</v>
      </c>
      <c r="Q64" s="68">
        <f>IFERROR(N64*'As-Filed Schedule 1'!$E$103,0)</f>
        <v>0</v>
      </c>
      <c r="R64" s="68">
        <f>IFERROR(P64*'Adjusted Schedule 1'!$E$104,0)</f>
        <v>0</v>
      </c>
      <c r="S64" s="68">
        <f t="shared" si="4"/>
        <v>0</v>
      </c>
      <c r="T64" s="311">
        <f t="shared" si="5"/>
        <v>0</v>
      </c>
      <c r="V64" s="120">
        <f>'As-Filed Schedule 2I'!N64</f>
        <v>0</v>
      </c>
      <c r="W64" s="314">
        <f>SUMIFS(Adjustments!$G:$G,Adjustments!$H:$H,"2I",Adjustments!$I:$I,'Schedule 2I Adjustments'!$V$12,Adjustments!$J:$J,'Schedule 2I Adjustments'!$A64)</f>
        <v>0</v>
      </c>
      <c r="X64" s="310">
        <f t="shared" si="6"/>
        <v>0</v>
      </c>
      <c r="Y64" s="120">
        <f>'As-Filed Schedule 2I'!O64</f>
        <v>0</v>
      </c>
      <c r="Z64" s="314">
        <f>SUMIFS(Adjustments!$G:$G,Adjustments!$H:$H,"2I",Adjustments!$I:$I,'Schedule 2I Adjustments'!$Y$12,Adjustments!$J:$J,'Schedule 2I Adjustments'!$A64)</f>
        <v>0</v>
      </c>
      <c r="AA64" s="310">
        <f t="shared" si="7"/>
        <v>0</v>
      </c>
    </row>
    <row r="65" spans="1:27" x14ac:dyDescent="0.35">
      <c r="A65" s="24">
        <v>51</v>
      </c>
      <c r="B65" s="513" t="str">
        <f>IF('As-Filed Schedule 2I'!B65:D65=0,"",'As-Filed Schedule 2I'!B65:D65)</f>
        <v/>
      </c>
      <c r="C65" s="513"/>
      <c r="D65" s="513"/>
      <c r="F65" s="117">
        <f>'As-Filed Schedule 2I'!F65</f>
        <v>0</v>
      </c>
      <c r="G65" s="314">
        <f>SUMIFS(Adjustments!$G:$G,Adjustments!$H:$H,"2I",Adjustments!$I:$I,'Schedule 2I Adjustments'!$F$12,Adjustments!$J:$J,'Schedule 2I Adjustments'!$A65)</f>
        <v>0</v>
      </c>
      <c r="H65" s="310">
        <f t="shared" si="0"/>
        <v>0</v>
      </c>
      <c r="I65" s="68">
        <f>IFERROR(F65*'As-Filed Schedule 1'!$E$103,0)</f>
        <v>0</v>
      </c>
      <c r="J65" s="311">
        <f>IFERROR(H65*'Adjusted Schedule 1'!$E$104,0)</f>
        <v>0</v>
      </c>
      <c r="K65" s="68">
        <f t="shared" si="1"/>
        <v>0</v>
      </c>
      <c r="L65" s="311">
        <f t="shared" si="2"/>
        <v>0</v>
      </c>
      <c r="N65" s="117">
        <f>'As-Filed Schedule 2I'!J65</f>
        <v>0</v>
      </c>
      <c r="O65" s="314">
        <f>SUMIFS(Adjustments!$G:$G,Adjustments!$H:$H,"2I",Adjustments!$I:$I,'Schedule 2I Adjustments'!$N$12,Adjustments!$J:$J,'Schedule 2I Adjustments'!$A65)</f>
        <v>0</v>
      </c>
      <c r="P65" s="310">
        <f t="shared" si="3"/>
        <v>0</v>
      </c>
      <c r="Q65" s="68">
        <f>IFERROR(N65*'As-Filed Schedule 1'!$E$103,0)</f>
        <v>0</v>
      </c>
      <c r="R65" s="68">
        <f>IFERROR(P65*'Adjusted Schedule 1'!$E$104,0)</f>
        <v>0</v>
      </c>
      <c r="S65" s="68">
        <f t="shared" si="4"/>
        <v>0</v>
      </c>
      <c r="T65" s="311">
        <f t="shared" si="5"/>
        <v>0</v>
      </c>
      <c r="V65" s="120">
        <f>'As-Filed Schedule 2I'!N65</f>
        <v>0</v>
      </c>
      <c r="W65" s="314">
        <f>SUMIFS(Adjustments!$G:$G,Adjustments!$H:$H,"2I",Adjustments!$I:$I,'Schedule 2I Adjustments'!$V$12,Adjustments!$J:$J,'Schedule 2I Adjustments'!$A65)</f>
        <v>0</v>
      </c>
      <c r="X65" s="310">
        <f t="shared" si="6"/>
        <v>0</v>
      </c>
      <c r="Y65" s="120">
        <f>'As-Filed Schedule 2I'!O65</f>
        <v>0</v>
      </c>
      <c r="Z65" s="314">
        <f>SUMIFS(Adjustments!$G:$G,Adjustments!$H:$H,"2I",Adjustments!$I:$I,'Schedule 2I Adjustments'!$Y$12,Adjustments!$J:$J,'Schedule 2I Adjustments'!$A65)</f>
        <v>0</v>
      </c>
      <c r="AA65" s="310">
        <f t="shared" si="7"/>
        <v>0</v>
      </c>
    </row>
    <row r="66" spans="1:27" x14ac:dyDescent="0.35">
      <c r="A66" s="24">
        <v>52</v>
      </c>
      <c r="B66" s="513" t="str">
        <f>IF('As-Filed Schedule 2I'!B66:D66=0,"",'As-Filed Schedule 2I'!B66:D66)</f>
        <v/>
      </c>
      <c r="C66" s="513"/>
      <c r="D66" s="513"/>
      <c r="F66" s="117">
        <f>'As-Filed Schedule 2I'!F66</f>
        <v>0</v>
      </c>
      <c r="G66" s="314">
        <f>SUMIFS(Adjustments!$G:$G,Adjustments!$H:$H,"2I",Adjustments!$I:$I,'Schedule 2I Adjustments'!$F$12,Adjustments!$J:$J,'Schedule 2I Adjustments'!$A66)</f>
        <v>0</v>
      </c>
      <c r="H66" s="310">
        <f t="shared" si="0"/>
        <v>0</v>
      </c>
      <c r="I66" s="68">
        <f>IFERROR(F66*'As-Filed Schedule 1'!$E$103,0)</f>
        <v>0</v>
      </c>
      <c r="J66" s="311">
        <f>IFERROR(H66*'Adjusted Schedule 1'!$E$104,0)</f>
        <v>0</v>
      </c>
      <c r="K66" s="68">
        <f t="shared" si="1"/>
        <v>0</v>
      </c>
      <c r="L66" s="311">
        <f t="shared" si="2"/>
        <v>0</v>
      </c>
      <c r="N66" s="117">
        <f>'As-Filed Schedule 2I'!J66</f>
        <v>0</v>
      </c>
      <c r="O66" s="314">
        <f>SUMIFS(Adjustments!$G:$G,Adjustments!$H:$H,"2I",Adjustments!$I:$I,'Schedule 2I Adjustments'!$N$12,Adjustments!$J:$J,'Schedule 2I Adjustments'!$A66)</f>
        <v>0</v>
      </c>
      <c r="P66" s="310">
        <f t="shared" si="3"/>
        <v>0</v>
      </c>
      <c r="Q66" s="68">
        <f>IFERROR(N66*'As-Filed Schedule 1'!$E$103,0)</f>
        <v>0</v>
      </c>
      <c r="R66" s="68">
        <f>IFERROR(P66*'Adjusted Schedule 1'!$E$104,0)</f>
        <v>0</v>
      </c>
      <c r="S66" s="68">
        <f t="shared" si="4"/>
        <v>0</v>
      </c>
      <c r="T66" s="311">
        <f t="shared" si="5"/>
        <v>0</v>
      </c>
      <c r="V66" s="120">
        <f>'As-Filed Schedule 2I'!N66</f>
        <v>0</v>
      </c>
      <c r="W66" s="314">
        <f>SUMIFS(Adjustments!$G:$G,Adjustments!$H:$H,"2I",Adjustments!$I:$I,'Schedule 2I Adjustments'!$V$12,Adjustments!$J:$J,'Schedule 2I Adjustments'!$A66)</f>
        <v>0</v>
      </c>
      <c r="X66" s="310">
        <f t="shared" si="6"/>
        <v>0</v>
      </c>
      <c r="Y66" s="120">
        <f>'As-Filed Schedule 2I'!O66</f>
        <v>0</v>
      </c>
      <c r="Z66" s="314">
        <f>SUMIFS(Adjustments!$G:$G,Adjustments!$H:$H,"2I",Adjustments!$I:$I,'Schedule 2I Adjustments'!$Y$12,Adjustments!$J:$J,'Schedule 2I Adjustments'!$A66)</f>
        <v>0</v>
      </c>
      <c r="AA66" s="310">
        <f t="shared" si="7"/>
        <v>0</v>
      </c>
    </row>
    <row r="67" spans="1:27" x14ac:dyDescent="0.35">
      <c r="A67" s="24">
        <v>53</v>
      </c>
      <c r="B67" s="513" t="str">
        <f>IF('As-Filed Schedule 2I'!B67:D67=0,"",'As-Filed Schedule 2I'!B67:D67)</f>
        <v/>
      </c>
      <c r="C67" s="513"/>
      <c r="D67" s="513"/>
      <c r="F67" s="117">
        <f>'As-Filed Schedule 2I'!F67</f>
        <v>0</v>
      </c>
      <c r="G67" s="314">
        <f>SUMIFS(Adjustments!$G:$G,Adjustments!$H:$H,"2I",Adjustments!$I:$I,'Schedule 2I Adjustments'!$F$12,Adjustments!$J:$J,'Schedule 2I Adjustments'!$A67)</f>
        <v>0</v>
      </c>
      <c r="H67" s="310">
        <f t="shared" si="0"/>
        <v>0</v>
      </c>
      <c r="I67" s="68">
        <f>IFERROR(F67*'As-Filed Schedule 1'!$E$103,0)</f>
        <v>0</v>
      </c>
      <c r="J67" s="311">
        <f>IFERROR(H67*'Adjusted Schedule 1'!$E$104,0)</f>
        <v>0</v>
      </c>
      <c r="K67" s="68">
        <f t="shared" si="1"/>
        <v>0</v>
      </c>
      <c r="L67" s="311">
        <f t="shared" si="2"/>
        <v>0</v>
      </c>
      <c r="N67" s="117">
        <f>'As-Filed Schedule 2I'!J67</f>
        <v>0</v>
      </c>
      <c r="O67" s="314">
        <f>SUMIFS(Adjustments!$G:$G,Adjustments!$H:$H,"2I",Adjustments!$I:$I,'Schedule 2I Adjustments'!$N$12,Adjustments!$J:$J,'Schedule 2I Adjustments'!$A67)</f>
        <v>0</v>
      </c>
      <c r="P67" s="310">
        <f t="shared" si="3"/>
        <v>0</v>
      </c>
      <c r="Q67" s="68">
        <f>IFERROR(N67*'As-Filed Schedule 1'!$E$103,0)</f>
        <v>0</v>
      </c>
      <c r="R67" s="68">
        <f>IFERROR(P67*'Adjusted Schedule 1'!$E$104,0)</f>
        <v>0</v>
      </c>
      <c r="S67" s="68">
        <f t="shared" si="4"/>
        <v>0</v>
      </c>
      <c r="T67" s="311">
        <f t="shared" si="5"/>
        <v>0</v>
      </c>
      <c r="V67" s="120">
        <f>'As-Filed Schedule 2I'!N67</f>
        <v>0</v>
      </c>
      <c r="W67" s="314">
        <f>SUMIFS(Adjustments!$G:$G,Adjustments!$H:$H,"2I",Adjustments!$I:$I,'Schedule 2I Adjustments'!$V$12,Adjustments!$J:$J,'Schedule 2I Adjustments'!$A67)</f>
        <v>0</v>
      </c>
      <c r="X67" s="310">
        <f t="shared" si="6"/>
        <v>0</v>
      </c>
      <c r="Y67" s="120">
        <f>'As-Filed Schedule 2I'!O67</f>
        <v>0</v>
      </c>
      <c r="Z67" s="314">
        <f>SUMIFS(Adjustments!$G:$G,Adjustments!$H:$H,"2I",Adjustments!$I:$I,'Schedule 2I Adjustments'!$Y$12,Adjustments!$J:$J,'Schedule 2I Adjustments'!$A67)</f>
        <v>0</v>
      </c>
      <c r="AA67" s="310">
        <f t="shared" si="7"/>
        <v>0</v>
      </c>
    </row>
    <row r="68" spans="1:27" x14ac:dyDescent="0.35">
      <c r="A68" s="24">
        <v>54</v>
      </c>
      <c r="B68" s="513" t="str">
        <f>IF('As-Filed Schedule 2I'!B68:D68=0,"",'As-Filed Schedule 2I'!B68:D68)</f>
        <v/>
      </c>
      <c r="C68" s="513"/>
      <c r="D68" s="513"/>
      <c r="F68" s="117">
        <f>'As-Filed Schedule 2I'!F68</f>
        <v>0</v>
      </c>
      <c r="G68" s="314">
        <f>SUMIFS(Adjustments!$G:$G,Adjustments!$H:$H,"2I",Adjustments!$I:$I,'Schedule 2I Adjustments'!$F$12,Adjustments!$J:$J,'Schedule 2I Adjustments'!$A68)</f>
        <v>0</v>
      </c>
      <c r="H68" s="310">
        <f t="shared" si="0"/>
        <v>0</v>
      </c>
      <c r="I68" s="68">
        <f>IFERROR(F68*'As-Filed Schedule 1'!$E$103,0)</f>
        <v>0</v>
      </c>
      <c r="J68" s="311">
        <f>IFERROR(H68*'Adjusted Schedule 1'!$E$104,0)</f>
        <v>0</v>
      </c>
      <c r="K68" s="68">
        <f t="shared" si="1"/>
        <v>0</v>
      </c>
      <c r="L68" s="311">
        <f t="shared" si="2"/>
        <v>0</v>
      </c>
      <c r="N68" s="117">
        <f>'As-Filed Schedule 2I'!J68</f>
        <v>0</v>
      </c>
      <c r="O68" s="314">
        <f>SUMIFS(Adjustments!$G:$G,Adjustments!$H:$H,"2I",Adjustments!$I:$I,'Schedule 2I Adjustments'!$N$12,Adjustments!$J:$J,'Schedule 2I Adjustments'!$A68)</f>
        <v>0</v>
      </c>
      <c r="P68" s="310">
        <f t="shared" si="3"/>
        <v>0</v>
      </c>
      <c r="Q68" s="68">
        <f>IFERROR(N68*'As-Filed Schedule 1'!$E$103,0)</f>
        <v>0</v>
      </c>
      <c r="R68" s="68">
        <f>IFERROR(P68*'Adjusted Schedule 1'!$E$104,0)</f>
        <v>0</v>
      </c>
      <c r="S68" s="68">
        <f t="shared" si="4"/>
        <v>0</v>
      </c>
      <c r="T68" s="311">
        <f t="shared" si="5"/>
        <v>0</v>
      </c>
      <c r="V68" s="120">
        <f>'As-Filed Schedule 2I'!N68</f>
        <v>0</v>
      </c>
      <c r="W68" s="314">
        <f>SUMIFS(Adjustments!$G:$G,Adjustments!$H:$H,"2I",Adjustments!$I:$I,'Schedule 2I Adjustments'!$V$12,Adjustments!$J:$J,'Schedule 2I Adjustments'!$A68)</f>
        <v>0</v>
      </c>
      <c r="X68" s="310">
        <f t="shared" si="6"/>
        <v>0</v>
      </c>
      <c r="Y68" s="120">
        <f>'As-Filed Schedule 2I'!O68</f>
        <v>0</v>
      </c>
      <c r="Z68" s="314">
        <f>SUMIFS(Adjustments!$G:$G,Adjustments!$H:$H,"2I",Adjustments!$I:$I,'Schedule 2I Adjustments'!$Y$12,Adjustments!$J:$J,'Schedule 2I Adjustments'!$A68)</f>
        <v>0</v>
      </c>
      <c r="AA68" s="310">
        <f t="shared" si="7"/>
        <v>0</v>
      </c>
    </row>
    <row r="69" spans="1:27" x14ac:dyDescent="0.35">
      <c r="A69" s="24">
        <v>55</v>
      </c>
      <c r="B69" s="513" t="str">
        <f>IF('As-Filed Schedule 2I'!B69:D69=0,"",'As-Filed Schedule 2I'!B69:D69)</f>
        <v/>
      </c>
      <c r="C69" s="513"/>
      <c r="D69" s="513"/>
      <c r="F69" s="117">
        <f>'As-Filed Schedule 2I'!F69</f>
        <v>0</v>
      </c>
      <c r="G69" s="314">
        <f>SUMIFS(Adjustments!$G:$G,Adjustments!$H:$H,"2I",Adjustments!$I:$I,'Schedule 2I Adjustments'!$F$12,Adjustments!$J:$J,'Schedule 2I Adjustments'!$A69)</f>
        <v>0</v>
      </c>
      <c r="H69" s="310">
        <f t="shared" si="0"/>
        <v>0</v>
      </c>
      <c r="I69" s="68">
        <f>IFERROR(F69*'As-Filed Schedule 1'!$E$103,0)</f>
        <v>0</v>
      </c>
      <c r="J69" s="311">
        <f>IFERROR(H69*'Adjusted Schedule 1'!$E$104,0)</f>
        <v>0</v>
      </c>
      <c r="K69" s="68">
        <f t="shared" si="1"/>
        <v>0</v>
      </c>
      <c r="L69" s="311">
        <f t="shared" si="2"/>
        <v>0</v>
      </c>
      <c r="N69" s="117">
        <f>'As-Filed Schedule 2I'!J69</f>
        <v>0</v>
      </c>
      <c r="O69" s="314">
        <f>SUMIFS(Adjustments!$G:$G,Adjustments!$H:$H,"2I",Adjustments!$I:$I,'Schedule 2I Adjustments'!$N$12,Adjustments!$J:$J,'Schedule 2I Adjustments'!$A69)</f>
        <v>0</v>
      </c>
      <c r="P69" s="310">
        <f t="shared" si="3"/>
        <v>0</v>
      </c>
      <c r="Q69" s="68">
        <f>IFERROR(N69*'As-Filed Schedule 1'!$E$103,0)</f>
        <v>0</v>
      </c>
      <c r="R69" s="68">
        <f>IFERROR(P69*'Adjusted Schedule 1'!$E$104,0)</f>
        <v>0</v>
      </c>
      <c r="S69" s="68">
        <f t="shared" si="4"/>
        <v>0</v>
      </c>
      <c r="T69" s="311">
        <f t="shared" si="5"/>
        <v>0</v>
      </c>
      <c r="V69" s="120">
        <f>'As-Filed Schedule 2I'!N69</f>
        <v>0</v>
      </c>
      <c r="W69" s="314">
        <f>SUMIFS(Adjustments!$G:$G,Adjustments!$H:$H,"2I",Adjustments!$I:$I,'Schedule 2I Adjustments'!$V$12,Adjustments!$J:$J,'Schedule 2I Adjustments'!$A69)</f>
        <v>0</v>
      </c>
      <c r="X69" s="310">
        <f t="shared" si="6"/>
        <v>0</v>
      </c>
      <c r="Y69" s="120">
        <f>'As-Filed Schedule 2I'!O69</f>
        <v>0</v>
      </c>
      <c r="Z69" s="314">
        <f>SUMIFS(Adjustments!$G:$G,Adjustments!$H:$H,"2I",Adjustments!$I:$I,'Schedule 2I Adjustments'!$Y$12,Adjustments!$J:$J,'Schedule 2I Adjustments'!$A69)</f>
        <v>0</v>
      </c>
      <c r="AA69" s="310">
        <f t="shared" si="7"/>
        <v>0</v>
      </c>
    </row>
    <row r="70" spans="1:27" x14ac:dyDescent="0.35">
      <c r="A70" s="24">
        <v>56</v>
      </c>
      <c r="B70" s="513" t="str">
        <f>IF('As-Filed Schedule 2I'!B70:D70=0,"",'As-Filed Schedule 2I'!B70:D70)</f>
        <v/>
      </c>
      <c r="C70" s="513"/>
      <c r="D70" s="513"/>
      <c r="F70" s="117">
        <f>'As-Filed Schedule 2I'!F70</f>
        <v>0</v>
      </c>
      <c r="G70" s="314">
        <f>SUMIFS(Adjustments!$G:$G,Adjustments!$H:$H,"2I",Adjustments!$I:$I,'Schedule 2I Adjustments'!$F$12,Adjustments!$J:$J,'Schedule 2I Adjustments'!$A70)</f>
        <v>0</v>
      </c>
      <c r="H70" s="310">
        <f t="shared" si="0"/>
        <v>0</v>
      </c>
      <c r="I70" s="68">
        <f>IFERROR(F70*'As-Filed Schedule 1'!$E$103,0)</f>
        <v>0</v>
      </c>
      <c r="J70" s="311">
        <f>IFERROR(H70*'Adjusted Schedule 1'!$E$104,0)</f>
        <v>0</v>
      </c>
      <c r="K70" s="68">
        <f t="shared" si="1"/>
        <v>0</v>
      </c>
      <c r="L70" s="311">
        <f t="shared" si="2"/>
        <v>0</v>
      </c>
      <c r="N70" s="117">
        <f>'As-Filed Schedule 2I'!J70</f>
        <v>0</v>
      </c>
      <c r="O70" s="314">
        <f>SUMIFS(Adjustments!$G:$G,Adjustments!$H:$H,"2I",Adjustments!$I:$I,'Schedule 2I Adjustments'!$N$12,Adjustments!$J:$J,'Schedule 2I Adjustments'!$A70)</f>
        <v>0</v>
      </c>
      <c r="P70" s="310">
        <f t="shared" si="3"/>
        <v>0</v>
      </c>
      <c r="Q70" s="68">
        <f>IFERROR(N70*'As-Filed Schedule 1'!$E$103,0)</f>
        <v>0</v>
      </c>
      <c r="R70" s="68">
        <f>IFERROR(P70*'Adjusted Schedule 1'!$E$104,0)</f>
        <v>0</v>
      </c>
      <c r="S70" s="68">
        <f t="shared" si="4"/>
        <v>0</v>
      </c>
      <c r="T70" s="311">
        <f t="shared" si="5"/>
        <v>0</v>
      </c>
      <c r="V70" s="120">
        <f>'As-Filed Schedule 2I'!N70</f>
        <v>0</v>
      </c>
      <c r="W70" s="314">
        <f>SUMIFS(Adjustments!$G:$G,Adjustments!$H:$H,"2I",Adjustments!$I:$I,'Schedule 2I Adjustments'!$V$12,Adjustments!$J:$J,'Schedule 2I Adjustments'!$A70)</f>
        <v>0</v>
      </c>
      <c r="X70" s="310">
        <f t="shared" si="6"/>
        <v>0</v>
      </c>
      <c r="Y70" s="120">
        <f>'As-Filed Schedule 2I'!O70</f>
        <v>0</v>
      </c>
      <c r="Z70" s="314">
        <f>SUMIFS(Adjustments!$G:$G,Adjustments!$H:$H,"2I",Adjustments!$I:$I,'Schedule 2I Adjustments'!$Y$12,Adjustments!$J:$J,'Schedule 2I Adjustments'!$A70)</f>
        <v>0</v>
      </c>
      <c r="AA70" s="310">
        <f t="shared" si="7"/>
        <v>0</v>
      </c>
    </row>
    <row r="71" spans="1:27" x14ac:dyDescent="0.35">
      <c r="A71" s="24">
        <v>57</v>
      </c>
      <c r="B71" s="513" t="str">
        <f>IF('As-Filed Schedule 2I'!B71:D71=0,"",'As-Filed Schedule 2I'!B71:D71)</f>
        <v/>
      </c>
      <c r="C71" s="513"/>
      <c r="D71" s="513"/>
      <c r="F71" s="117">
        <f>'As-Filed Schedule 2I'!F71</f>
        <v>0</v>
      </c>
      <c r="G71" s="314">
        <f>SUMIFS(Adjustments!$G:$G,Adjustments!$H:$H,"2I",Adjustments!$I:$I,'Schedule 2I Adjustments'!$F$12,Adjustments!$J:$J,'Schedule 2I Adjustments'!$A71)</f>
        <v>0</v>
      </c>
      <c r="H71" s="310">
        <f t="shared" si="0"/>
        <v>0</v>
      </c>
      <c r="I71" s="68">
        <f>IFERROR(F71*'As-Filed Schedule 1'!$E$103,0)</f>
        <v>0</v>
      </c>
      <c r="J71" s="311">
        <f>IFERROR(H71*'Adjusted Schedule 1'!$E$104,0)</f>
        <v>0</v>
      </c>
      <c r="K71" s="68">
        <f t="shared" si="1"/>
        <v>0</v>
      </c>
      <c r="L71" s="311">
        <f t="shared" si="2"/>
        <v>0</v>
      </c>
      <c r="N71" s="117">
        <f>'As-Filed Schedule 2I'!J71</f>
        <v>0</v>
      </c>
      <c r="O71" s="314">
        <f>SUMIFS(Adjustments!$G:$G,Adjustments!$H:$H,"2I",Adjustments!$I:$I,'Schedule 2I Adjustments'!$N$12,Adjustments!$J:$J,'Schedule 2I Adjustments'!$A71)</f>
        <v>0</v>
      </c>
      <c r="P71" s="310">
        <f t="shared" si="3"/>
        <v>0</v>
      </c>
      <c r="Q71" s="68">
        <f>IFERROR(N71*'As-Filed Schedule 1'!$E$103,0)</f>
        <v>0</v>
      </c>
      <c r="R71" s="68">
        <f>IFERROR(P71*'Adjusted Schedule 1'!$E$104,0)</f>
        <v>0</v>
      </c>
      <c r="S71" s="68">
        <f t="shared" si="4"/>
        <v>0</v>
      </c>
      <c r="T71" s="311">
        <f t="shared" si="5"/>
        <v>0</v>
      </c>
      <c r="V71" s="120">
        <f>'As-Filed Schedule 2I'!N71</f>
        <v>0</v>
      </c>
      <c r="W71" s="314">
        <f>SUMIFS(Adjustments!$G:$G,Adjustments!$H:$H,"2I",Adjustments!$I:$I,'Schedule 2I Adjustments'!$V$12,Adjustments!$J:$J,'Schedule 2I Adjustments'!$A71)</f>
        <v>0</v>
      </c>
      <c r="X71" s="310">
        <f t="shared" si="6"/>
        <v>0</v>
      </c>
      <c r="Y71" s="120">
        <f>'As-Filed Schedule 2I'!O71</f>
        <v>0</v>
      </c>
      <c r="Z71" s="314">
        <f>SUMIFS(Adjustments!$G:$G,Adjustments!$H:$H,"2I",Adjustments!$I:$I,'Schedule 2I Adjustments'!$Y$12,Adjustments!$J:$J,'Schedule 2I Adjustments'!$A71)</f>
        <v>0</v>
      </c>
      <c r="AA71" s="310">
        <f t="shared" si="7"/>
        <v>0</v>
      </c>
    </row>
    <row r="72" spans="1:27" x14ac:dyDescent="0.35">
      <c r="A72" s="24">
        <v>58</v>
      </c>
      <c r="B72" s="513" t="str">
        <f>IF('As-Filed Schedule 2I'!B72:D72=0,"",'As-Filed Schedule 2I'!B72:D72)</f>
        <v/>
      </c>
      <c r="C72" s="513"/>
      <c r="D72" s="513"/>
      <c r="F72" s="117">
        <f>'As-Filed Schedule 2I'!F72</f>
        <v>0</v>
      </c>
      <c r="G72" s="314">
        <f>SUMIFS(Adjustments!$G:$G,Adjustments!$H:$H,"2I",Adjustments!$I:$I,'Schedule 2I Adjustments'!$F$12,Adjustments!$J:$J,'Schedule 2I Adjustments'!$A72)</f>
        <v>0</v>
      </c>
      <c r="H72" s="310">
        <f t="shared" si="0"/>
        <v>0</v>
      </c>
      <c r="I72" s="68">
        <f>IFERROR(F72*'As-Filed Schedule 1'!$E$103,0)</f>
        <v>0</v>
      </c>
      <c r="J72" s="311">
        <f>IFERROR(H72*'Adjusted Schedule 1'!$E$104,0)</f>
        <v>0</v>
      </c>
      <c r="K72" s="68">
        <f t="shared" si="1"/>
        <v>0</v>
      </c>
      <c r="L72" s="311">
        <f t="shared" si="2"/>
        <v>0</v>
      </c>
      <c r="N72" s="117">
        <f>'As-Filed Schedule 2I'!J72</f>
        <v>0</v>
      </c>
      <c r="O72" s="314">
        <f>SUMIFS(Adjustments!$G:$G,Adjustments!$H:$H,"2I",Adjustments!$I:$I,'Schedule 2I Adjustments'!$N$12,Adjustments!$J:$J,'Schedule 2I Adjustments'!$A72)</f>
        <v>0</v>
      </c>
      <c r="P72" s="310">
        <f t="shared" si="3"/>
        <v>0</v>
      </c>
      <c r="Q72" s="68">
        <f>IFERROR(N72*'As-Filed Schedule 1'!$E$103,0)</f>
        <v>0</v>
      </c>
      <c r="R72" s="68">
        <f>IFERROR(P72*'Adjusted Schedule 1'!$E$104,0)</f>
        <v>0</v>
      </c>
      <c r="S72" s="68">
        <f t="shared" si="4"/>
        <v>0</v>
      </c>
      <c r="T72" s="311">
        <f t="shared" si="5"/>
        <v>0</v>
      </c>
      <c r="V72" s="120">
        <f>'As-Filed Schedule 2I'!N72</f>
        <v>0</v>
      </c>
      <c r="W72" s="314">
        <f>SUMIFS(Adjustments!$G:$G,Adjustments!$H:$H,"2I",Adjustments!$I:$I,'Schedule 2I Adjustments'!$V$12,Adjustments!$J:$J,'Schedule 2I Adjustments'!$A72)</f>
        <v>0</v>
      </c>
      <c r="X72" s="310">
        <f t="shared" si="6"/>
        <v>0</v>
      </c>
      <c r="Y72" s="120">
        <f>'As-Filed Schedule 2I'!O72</f>
        <v>0</v>
      </c>
      <c r="Z72" s="314">
        <f>SUMIFS(Adjustments!$G:$G,Adjustments!$H:$H,"2I",Adjustments!$I:$I,'Schedule 2I Adjustments'!$Y$12,Adjustments!$J:$J,'Schedule 2I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494" t="s">
        <v>844</v>
      </c>
      <c r="B3" s="494"/>
      <c r="C3" s="494"/>
      <c r="D3" s="494"/>
      <c r="E3" s="494"/>
      <c r="F3" s="494"/>
      <c r="G3" s="494"/>
      <c r="H3" s="494"/>
      <c r="I3" s="494"/>
      <c r="J3" s="494"/>
      <c r="K3" s="494"/>
      <c r="L3" s="322"/>
    </row>
    <row r="5" spans="1:27" x14ac:dyDescent="0.35">
      <c r="A5" s="1" t="s">
        <v>773</v>
      </c>
      <c r="C5" s="421" t="str">
        <f>Results!$C$6</f>
        <v>Health Solutions</v>
      </c>
    </row>
    <row r="6" spans="1:27" x14ac:dyDescent="0.35">
      <c r="A6" s="1" t="s">
        <v>0</v>
      </c>
      <c r="C6" s="35">
        <f>Results!$C$7</f>
        <v>45473</v>
      </c>
      <c r="F6" s="35"/>
      <c r="G6" s="320"/>
      <c r="H6" s="60"/>
    </row>
    <row r="8" spans="1:27" x14ac:dyDescent="0.35">
      <c r="A8" s="1" t="s">
        <v>253</v>
      </c>
      <c r="B8" s="1" t="s">
        <v>825</v>
      </c>
      <c r="C8" s="1"/>
      <c r="F8" s="119" t="str">
        <f>'As-Filed Schedule 2J'!F8</f>
        <v>Yes/No</v>
      </c>
      <c r="G8" s="41" t="s">
        <v>259</v>
      </c>
    </row>
    <row r="10" spans="1:27" x14ac:dyDescent="0.35">
      <c r="A10" s="1" t="s">
        <v>254</v>
      </c>
      <c r="B10" s="1" t="s">
        <v>256</v>
      </c>
      <c r="C10" s="1"/>
    </row>
    <row r="12" spans="1:27" x14ac:dyDescent="0.35">
      <c r="B12" s="508">
        <v>1</v>
      </c>
      <c r="C12" s="508"/>
      <c r="D12" s="508"/>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09" t="s">
        <v>255</v>
      </c>
      <c r="C13" s="509"/>
      <c r="D13" s="509"/>
      <c r="F13" s="511" t="s">
        <v>261</v>
      </c>
      <c r="G13" s="516"/>
      <c r="H13" s="516"/>
      <c r="I13" s="516"/>
      <c r="J13" s="516"/>
      <c r="K13" s="516"/>
      <c r="L13" s="512"/>
      <c r="N13" s="511" t="s">
        <v>262</v>
      </c>
      <c r="O13" s="516"/>
      <c r="P13" s="516"/>
      <c r="Q13" s="516"/>
      <c r="R13" s="516"/>
      <c r="S13" s="516"/>
      <c r="T13" s="512"/>
      <c r="V13" s="510" t="s">
        <v>250</v>
      </c>
      <c r="W13" s="568" t="s">
        <v>620</v>
      </c>
      <c r="X13" s="569" t="s">
        <v>621</v>
      </c>
      <c r="Y13" s="510" t="s">
        <v>312</v>
      </c>
      <c r="Z13" s="568" t="s">
        <v>630</v>
      </c>
      <c r="AA13" s="569" t="s">
        <v>631</v>
      </c>
    </row>
    <row r="14" spans="1:27" ht="55.5" customHeight="1" x14ac:dyDescent="0.35">
      <c r="B14" s="509"/>
      <c r="C14" s="509"/>
      <c r="D14" s="509"/>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0"/>
      <c r="W14" s="568"/>
      <c r="X14" s="569"/>
      <c r="Y14" s="510"/>
      <c r="Z14" s="568"/>
      <c r="AA14" s="569"/>
    </row>
    <row r="15" spans="1:27" x14ac:dyDescent="0.35">
      <c r="A15" s="24">
        <v>1</v>
      </c>
      <c r="B15" s="513" t="str">
        <f>IF('As-Filed Schedule 2J'!B15:D15=0,"",'As-Filed Schedule 2J'!B15:D15)</f>
        <v/>
      </c>
      <c r="C15" s="513"/>
      <c r="D15" s="513"/>
      <c r="F15" s="117">
        <f>'As-Filed Schedule 2J'!F15</f>
        <v>0</v>
      </c>
      <c r="G15" s="314">
        <f>SUMIFS(Adjustments!$G:$G,Adjustments!$H:$H,"2J",Adjustments!$I:$I,'Schedule 2J Adjustments'!$F$12,Adjustments!$J:$J,'Schedule 2J Adjustments'!$A15)</f>
        <v>0</v>
      </c>
      <c r="H15" s="310">
        <f>SUM(F15:G15)</f>
        <v>0</v>
      </c>
      <c r="I15" s="68">
        <f>IFERROR(F15*'As-Filed Schedule 1'!$E$103,0)</f>
        <v>0</v>
      </c>
      <c r="J15" s="311">
        <f>IFERROR(H15*'Adjusted Schedule 1'!$E$104,0)</f>
        <v>0</v>
      </c>
      <c r="K15" s="68">
        <f>SUM(F15,I15)</f>
        <v>0</v>
      </c>
      <c r="L15" s="311">
        <f>SUM(H15,J15)</f>
        <v>0</v>
      </c>
      <c r="N15" s="117">
        <f>'As-Filed Schedule 2J'!J15</f>
        <v>0</v>
      </c>
      <c r="O15" s="314">
        <f>SUMIFS(Adjustments!$G:$G,Adjustments!$H:$H,"2J",Adjustments!$I:$I,'Schedule 2J Adjustments'!$N$12,Adjustments!$J:$J,'Schedule 2J Adjustments'!$A15)</f>
        <v>0</v>
      </c>
      <c r="P15" s="310">
        <f>SUM(N15:O15)</f>
        <v>0</v>
      </c>
      <c r="Q15" s="68">
        <f>IFERROR(N15*'As-Filed Schedule 1'!$E$103,0)</f>
        <v>0</v>
      </c>
      <c r="R15" s="68">
        <f>IFERROR(P15*'Adjusted Schedule 1'!$E$104,0)</f>
        <v>0</v>
      </c>
      <c r="S15" s="68">
        <f>SUM(N15,Q15)</f>
        <v>0</v>
      </c>
      <c r="T15" s="311">
        <f>SUM(P15,R15)</f>
        <v>0</v>
      </c>
      <c r="V15" s="120">
        <f>'As-Filed Schedule 2J'!N15</f>
        <v>0</v>
      </c>
      <c r="W15" s="314">
        <f>SUMIFS(Adjustments!$G:$G,Adjustments!$H:$H,"2J",Adjustments!$I:$I,'Schedule 2J Adjustments'!$V$12,Adjustments!$J:$J,'Schedule 2J Adjustments'!$A15)</f>
        <v>0</v>
      </c>
      <c r="X15" s="310">
        <f>SUM(V15:W15)</f>
        <v>0</v>
      </c>
      <c r="Y15" s="120">
        <f>'As-Filed Schedule 2J'!O15</f>
        <v>0</v>
      </c>
      <c r="Z15" s="314">
        <f>SUMIFS(Adjustments!$G:$G,Adjustments!$H:$H,"2J",Adjustments!$I:$I,'Schedule 2J Adjustments'!$Y$12,Adjustments!$J:$J,'Schedule 2J Adjustments'!$A15)</f>
        <v>0</v>
      </c>
      <c r="AA15" s="310">
        <f>SUM(Y15:Z15)</f>
        <v>0</v>
      </c>
    </row>
    <row r="16" spans="1:27" x14ac:dyDescent="0.35">
      <c r="A16" s="24">
        <v>2</v>
      </c>
      <c r="B16" s="513" t="str">
        <f>IF('As-Filed Schedule 2J'!B16:D16=0,"",'As-Filed Schedule 2J'!B16:D16)</f>
        <v/>
      </c>
      <c r="C16" s="513"/>
      <c r="D16" s="513"/>
      <c r="F16" s="117">
        <f>'As-Filed Schedule 2J'!F16</f>
        <v>0</v>
      </c>
      <c r="G16" s="314">
        <f>SUMIFS(Adjustments!$G:$G,Adjustments!$H:$H,"2J",Adjustments!$I:$I,'Schedule 2J Adjustments'!$F$12,Adjustments!$J:$J,'Schedule 2J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2J'!J16</f>
        <v>0</v>
      </c>
      <c r="O16" s="314">
        <f>SUMIFS(Adjustments!$G:$G,Adjustments!$H:$H,"2J",Adjustments!$I:$I,'Schedule 2J Adjustments'!$N$12,Adjustments!$J:$J,'Schedule 2J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2J'!N16</f>
        <v>0</v>
      </c>
      <c r="W16" s="314">
        <f>SUMIFS(Adjustments!$G:$G,Adjustments!$H:$H,"2J",Adjustments!$I:$I,'Schedule 2J Adjustments'!$V$12,Adjustments!$J:$J,'Schedule 2J Adjustments'!$A16)</f>
        <v>0</v>
      </c>
      <c r="X16" s="310">
        <f t="shared" ref="X16:X72" si="6">SUM(V16:W16)</f>
        <v>0</v>
      </c>
      <c r="Y16" s="120">
        <f>'As-Filed Schedule 2J'!O16</f>
        <v>0</v>
      </c>
      <c r="Z16" s="314">
        <f>SUMIFS(Adjustments!$G:$G,Adjustments!$H:$H,"2J",Adjustments!$I:$I,'Schedule 2J Adjustments'!$Y$12,Adjustments!$J:$J,'Schedule 2J Adjustments'!$A16)</f>
        <v>0</v>
      </c>
      <c r="AA16" s="310">
        <f t="shared" ref="AA16:AA72" si="7">SUM(Y16:Z16)</f>
        <v>0</v>
      </c>
    </row>
    <row r="17" spans="1:27" x14ac:dyDescent="0.35">
      <c r="A17" s="24">
        <v>3</v>
      </c>
      <c r="B17" s="513" t="str">
        <f>IF('As-Filed Schedule 2J'!B17:D17=0,"",'As-Filed Schedule 2J'!B17:D17)</f>
        <v/>
      </c>
      <c r="C17" s="513"/>
      <c r="D17" s="513"/>
      <c r="F17" s="117">
        <f>'As-Filed Schedule 2J'!F17</f>
        <v>0</v>
      </c>
      <c r="G17" s="314">
        <f>SUMIFS(Adjustments!$G:$G,Adjustments!$H:$H,"2J",Adjustments!$I:$I,'Schedule 2J Adjustments'!$F$12,Adjustments!$J:$J,'Schedule 2J Adjustments'!$A17)</f>
        <v>0</v>
      </c>
      <c r="H17" s="310">
        <f t="shared" si="0"/>
        <v>0</v>
      </c>
      <c r="I17" s="68">
        <f>IFERROR(F17*'As-Filed Schedule 1'!$E$103,0)</f>
        <v>0</v>
      </c>
      <c r="J17" s="311">
        <f>IFERROR(H17*'Adjusted Schedule 1'!$E$104,0)</f>
        <v>0</v>
      </c>
      <c r="K17" s="68">
        <f t="shared" si="1"/>
        <v>0</v>
      </c>
      <c r="L17" s="311">
        <f t="shared" si="2"/>
        <v>0</v>
      </c>
      <c r="N17" s="117">
        <f>'As-Filed Schedule 2J'!J17</f>
        <v>0</v>
      </c>
      <c r="O17" s="314">
        <f>SUMIFS(Adjustments!$G:$G,Adjustments!$H:$H,"2J",Adjustments!$I:$I,'Schedule 2J Adjustments'!$N$12,Adjustments!$J:$J,'Schedule 2J Adjustments'!$A17)</f>
        <v>0</v>
      </c>
      <c r="P17" s="310">
        <f t="shared" si="3"/>
        <v>0</v>
      </c>
      <c r="Q17" s="68">
        <f>IFERROR(N17*'As-Filed Schedule 1'!$E$103,0)</f>
        <v>0</v>
      </c>
      <c r="R17" s="68">
        <f>IFERROR(P17*'Adjusted Schedule 1'!$E$104,0)</f>
        <v>0</v>
      </c>
      <c r="S17" s="68">
        <f t="shared" si="4"/>
        <v>0</v>
      </c>
      <c r="T17" s="311">
        <f t="shared" si="5"/>
        <v>0</v>
      </c>
      <c r="V17" s="120">
        <f>'As-Filed Schedule 2J'!N17</f>
        <v>0</v>
      </c>
      <c r="W17" s="314">
        <f>SUMIFS(Adjustments!$G:$G,Adjustments!$H:$H,"2J",Adjustments!$I:$I,'Schedule 2J Adjustments'!$V$12,Adjustments!$J:$J,'Schedule 2J Adjustments'!$A17)</f>
        <v>0</v>
      </c>
      <c r="X17" s="310">
        <f t="shared" si="6"/>
        <v>0</v>
      </c>
      <c r="Y17" s="120">
        <f>'As-Filed Schedule 2J'!O17</f>
        <v>0</v>
      </c>
      <c r="Z17" s="314">
        <f>SUMIFS(Adjustments!$G:$G,Adjustments!$H:$H,"2J",Adjustments!$I:$I,'Schedule 2J Adjustments'!$Y$12,Adjustments!$J:$J,'Schedule 2J Adjustments'!$A17)</f>
        <v>0</v>
      </c>
      <c r="AA17" s="310">
        <f t="shared" si="7"/>
        <v>0</v>
      </c>
    </row>
    <row r="18" spans="1:27" x14ac:dyDescent="0.35">
      <c r="A18" s="24">
        <v>4</v>
      </c>
      <c r="B18" s="513" t="str">
        <f>IF('As-Filed Schedule 2J'!B18:D18=0,"",'As-Filed Schedule 2J'!B18:D18)</f>
        <v/>
      </c>
      <c r="C18" s="513"/>
      <c r="D18" s="513"/>
      <c r="F18" s="117">
        <f>'As-Filed Schedule 2J'!F18</f>
        <v>0</v>
      </c>
      <c r="G18" s="314">
        <f>SUMIFS(Adjustments!$G:$G,Adjustments!$H:$H,"2J",Adjustments!$I:$I,'Schedule 2J Adjustments'!$F$12,Adjustments!$J:$J,'Schedule 2J Adjustments'!$A18)</f>
        <v>0</v>
      </c>
      <c r="H18" s="310">
        <f t="shared" si="0"/>
        <v>0</v>
      </c>
      <c r="I18" s="68">
        <f>IFERROR(F18*'As-Filed Schedule 1'!$E$103,0)</f>
        <v>0</v>
      </c>
      <c r="J18" s="311">
        <f>IFERROR(H18*'Adjusted Schedule 1'!$E$104,0)</f>
        <v>0</v>
      </c>
      <c r="K18" s="68">
        <f>SUM(F18,I18)</f>
        <v>0</v>
      </c>
      <c r="L18" s="311">
        <f>SUM(H18,J18)</f>
        <v>0</v>
      </c>
      <c r="N18" s="117">
        <f>'As-Filed Schedule 2J'!J18</f>
        <v>0</v>
      </c>
      <c r="O18" s="314">
        <f>SUMIFS(Adjustments!$G:$G,Adjustments!$H:$H,"2J",Adjustments!$I:$I,'Schedule 2J Adjustments'!$N$12,Adjustments!$J:$J,'Schedule 2J Adjustments'!$A18)</f>
        <v>0</v>
      </c>
      <c r="P18" s="310">
        <f t="shared" si="3"/>
        <v>0</v>
      </c>
      <c r="Q18" s="68">
        <f>IFERROR(N18*'As-Filed Schedule 1'!$E$103,0)</f>
        <v>0</v>
      </c>
      <c r="R18" s="68">
        <f>IFERROR(P18*'Adjusted Schedule 1'!$E$104,0)</f>
        <v>0</v>
      </c>
      <c r="S18" s="68">
        <f t="shared" si="4"/>
        <v>0</v>
      </c>
      <c r="T18" s="311">
        <f t="shared" si="5"/>
        <v>0</v>
      </c>
      <c r="V18" s="120">
        <f>'As-Filed Schedule 2J'!N18</f>
        <v>0</v>
      </c>
      <c r="W18" s="314">
        <f>SUMIFS(Adjustments!$G:$G,Adjustments!$H:$H,"2J",Adjustments!$I:$I,'Schedule 2J Adjustments'!$V$12,Adjustments!$J:$J,'Schedule 2J Adjustments'!$A18)</f>
        <v>0</v>
      </c>
      <c r="X18" s="310">
        <f t="shared" si="6"/>
        <v>0</v>
      </c>
      <c r="Y18" s="120">
        <f>'As-Filed Schedule 2J'!O18</f>
        <v>0</v>
      </c>
      <c r="Z18" s="314">
        <f>SUMIFS(Adjustments!$G:$G,Adjustments!$H:$H,"2J",Adjustments!$I:$I,'Schedule 2J Adjustments'!$Y$12,Adjustments!$J:$J,'Schedule 2J Adjustments'!$A18)</f>
        <v>0</v>
      </c>
      <c r="AA18" s="310">
        <f t="shared" si="7"/>
        <v>0</v>
      </c>
    </row>
    <row r="19" spans="1:27" x14ac:dyDescent="0.35">
      <c r="A19" s="24">
        <v>5</v>
      </c>
      <c r="B19" s="513" t="str">
        <f>IF('As-Filed Schedule 2J'!B19:D19=0,"",'As-Filed Schedule 2J'!B19:D19)</f>
        <v/>
      </c>
      <c r="C19" s="513"/>
      <c r="D19" s="513"/>
      <c r="F19" s="117">
        <f>'As-Filed Schedule 2J'!F19</f>
        <v>0</v>
      </c>
      <c r="G19" s="314">
        <f>SUMIFS(Adjustments!$G:$G,Adjustments!$H:$H,"2J",Adjustments!$I:$I,'Schedule 2J Adjustments'!$F$12,Adjustments!$J:$J,'Schedule 2J Adjustments'!$A19)</f>
        <v>0</v>
      </c>
      <c r="H19" s="310">
        <f t="shared" si="0"/>
        <v>0</v>
      </c>
      <c r="I19" s="68">
        <f>IFERROR(F19*'As-Filed Schedule 1'!$E$103,0)</f>
        <v>0</v>
      </c>
      <c r="J19" s="311">
        <f>IFERROR(H19*'Adjusted Schedule 1'!$E$104,0)</f>
        <v>0</v>
      </c>
      <c r="K19" s="68">
        <f t="shared" si="1"/>
        <v>0</v>
      </c>
      <c r="L19" s="311">
        <f>SUM(H19,J19)</f>
        <v>0</v>
      </c>
      <c r="N19" s="117">
        <f>'As-Filed Schedule 2J'!J19</f>
        <v>0</v>
      </c>
      <c r="O19" s="314">
        <f>SUMIFS(Adjustments!$G:$G,Adjustments!$H:$H,"2J",Adjustments!$I:$I,'Schedule 2J Adjustments'!$N$12,Adjustments!$J:$J,'Schedule 2J Adjustments'!$A19)</f>
        <v>0</v>
      </c>
      <c r="P19" s="310">
        <f t="shared" si="3"/>
        <v>0</v>
      </c>
      <c r="Q19" s="68">
        <f>IFERROR(N19*'As-Filed Schedule 1'!$E$103,0)</f>
        <v>0</v>
      </c>
      <c r="R19" s="68">
        <f>IFERROR(P19*'Adjusted Schedule 1'!$E$104,0)</f>
        <v>0</v>
      </c>
      <c r="S19" s="68">
        <f t="shared" si="4"/>
        <v>0</v>
      </c>
      <c r="T19" s="311">
        <f t="shared" si="5"/>
        <v>0</v>
      </c>
      <c r="V19" s="120">
        <f>'As-Filed Schedule 2J'!N19</f>
        <v>0</v>
      </c>
      <c r="W19" s="314">
        <f>SUMIFS(Adjustments!$G:$G,Adjustments!$H:$H,"2J",Adjustments!$I:$I,'Schedule 2J Adjustments'!$V$12,Adjustments!$J:$J,'Schedule 2J Adjustments'!$A19)</f>
        <v>0</v>
      </c>
      <c r="X19" s="310">
        <f t="shared" si="6"/>
        <v>0</v>
      </c>
      <c r="Y19" s="120">
        <f>'As-Filed Schedule 2J'!O19</f>
        <v>0</v>
      </c>
      <c r="Z19" s="314">
        <f>SUMIFS(Adjustments!$G:$G,Adjustments!$H:$H,"2J",Adjustments!$I:$I,'Schedule 2J Adjustments'!$Y$12,Adjustments!$J:$J,'Schedule 2J Adjustments'!$A19)</f>
        <v>0</v>
      </c>
      <c r="AA19" s="310">
        <f t="shared" si="7"/>
        <v>0</v>
      </c>
    </row>
    <row r="20" spans="1:27" x14ac:dyDescent="0.35">
      <c r="A20" s="24">
        <v>6</v>
      </c>
      <c r="B20" s="513" t="str">
        <f>IF('As-Filed Schedule 2J'!B20:D20=0,"",'As-Filed Schedule 2J'!B20:D20)</f>
        <v/>
      </c>
      <c r="C20" s="513"/>
      <c r="D20" s="513"/>
      <c r="F20" s="117">
        <f>'As-Filed Schedule 2J'!F20</f>
        <v>0</v>
      </c>
      <c r="G20" s="314">
        <f>SUMIFS(Adjustments!$G:$G,Adjustments!$H:$H,"2J",Adjustments!$I:$I,'Schedule 2J Adjustments'!$F$12,Adjustments!$J:$J,'Schedule 2J Adjustments'!$A20)</f>
        <v>0</v>
      </c>
      <c r="H20" s="310">
        <f t="shared" si="0"/>
        <v>0</v>
      </c>
      <c r="I20" s="68">
        <f>IFERROR(F20*'As-Filed Schedule 1'!$E$103,0)</f>
        <v>0</v>
      </c>
      <c r="J20" s="311">
        <f>IFERROR(H20*'Adjusted Schedule 1'!$E$104,0)</f>
        <v>0</v>
      </c>
      <c r="K20" s="68">
        <f>SUM(F20,I20)</f>
        <v>0</v>
      </c>
      <c r="L20" s="311">
        <f t="shared" si="2"/>
        <v>0</v>
      </c>
      <c r="N20" s="117">
        <f>'As-Filed Schedule 2J'!J20</f>
        <v>0</v>
      </c>
      <c r="O20" s="314">
        <f>SUMIFS(Adjustments!$G:$G,Adjustments!$H:$H,"2J",Adjustments!$I:$I,'Schedule 2J Adjustments'!$N$12,Adjustments!$J:$J,'Schedule 2J Adjustments'!$A20)</f>
        <v>0</v>
      </c>
      <c r="P20" s="310">
        <f t="shared" si="3"/>
        <v>0</v>
      </c>
      <c r="Q20" s="68">
        <f>IFERROR(N20*'As-Filed Schedule 1'!$E$103,0)</f>
        <v>0</v>
      </c>
      <c r="R20" s="68">
        <f>IFERROR(P20*'Adjusted Schedule 1'!$E$104,0)</f>
        <v>0</v>
      </c>
      <c r="S20" s="68">
        <f t="shared" si="4"/>
        <v>0</v>
      </c>
      <c r="T20" s="311">
        <f t="shared" si="5"/>
        <v>0</v>
      </c>
      <c r="V20" s="120">
        <f>'As-Filed Schedule 2J'!N20</f>
        <v>0</v>
      </c>
      <c r="W20" s="314">
        <f>SUMIFS(Adjustments!$G:$G,Adjustments!$H:$H,"2J",Adjustments!$I:$I,'Schedule 2J Adjustments'!$V$12,Adjustments!$J:$J,'Schedule 2J Adjustments'!$A20)</f>
        <v>0</v>
      </c>
      <c r="X20" s="310">
        <f t="shared" si="6"/>
        <v>0</v>
      </c>
      <c r="Y20" s="120">
        <f>'As-Filed Schedule 2J'!O20</f>
        <v>0</v>
      </c>
      <c r="Z20" s="314">
        <f>SUMIFS(Adjustments!$G:$G,Adjustments!$H:$H,"2J",Adjustments!$I:$I,'Schedule 2J Adjustments'!$Y$12,Adjustments!$J:$J,'Schedule 2J Adjustments'!$A20)</f>
        <v>0</v>
      </c>
      <c r="AA20" s="310">
        <f t="shared" si="7"/>
        <v>0</v>
      </c>
    </row>
    <row r="21" spans="1:27" x14ac:dyDescent="0.35">
      <c r="A21" s="24">
        <v>7</v>
      </c>
      <c r="B21" s="513" t="str">
        <f>IF('As-Filed Schedule 2J'!B21:D21=0,"",'As-Filed Schedule 2J'!B21:D21)</f>
        <v/>
      </c>
      <c r="C21" s="513"/>
      <c r="D21" s="513"/>
      <c r="F21" s="117">
        <f>'As-Filed Schedule 2J'!F21</f>
        <v>0</v>
      </c>
      <c r="G21" s="314">
        <f>SUMIFS(Adjustments!$G:$G,Adjustments!$H:$H,"2J",Adjustments!$I:$I,'Schedule 2J Adjustments'!$F$12,Adjustments!$J:$J,'Schedule 2J Adjustments'!$A21)</f>
        <v>0</v>
      </c>
      <c r="H21" s="310">
        <f t="shared" si="0"/>
        <v>0</v>
      </c>
      <c r="I21" s="68">
        <f>IFERROR(F21*'As-Filed Schedule 1'!$E$103,0)</f>
        <v>0</v>
      </c>
      <c r="J21" s="311">
        <f>IFERROR(H21*'Adjusted Schedule 1'!$E$104,0)</f>
        <v>0</v>
      </c>
      <c r="K21" s="68">
        <f t="shared" si="1"/>
        <v>0</v>
      </c>
      <c r="L21" s="311">
        <f t="shared" si="2"/>
        <v>0</v>
      </c>
      <c r="N21" s="117">
        <f>'As-Filed Schedule 2J'!J21</f>
        <v>0</v>
      </c>
      <c r="O21" s="314">
        <f>SUMIFS(Adjustments!$G:$G,Adjustments!$H:$H,"2J",Adjustments!$I:$I,'Schedule 2J Adjustments'!$N$12,Adjustments!$J:$J,'Schedule 2J Adjustments'!$A21)</f>
        <v>0</v>
      </c>
      <c r="P21" s="310">
        <f t="shared" si="3"/>
        <v>0</v>
      </c>
      <c r="Q21" s="68">
        <f>IFERROR(N21*'As-Filed Schedule 1'!$E$103,0)</f>
        <v>0</v>
      </c>
      <c r="R21" s="68">
        <f>IFERROR(P21*'Adjusted Schedule 1'!$E$104,0)</f>
        <v>0</v>
      </c>
      <c r="S21" s="68">
        <f>SUM(N21,Q21)</f>
        <v>0</v>
      </c>
      <c r="T21" s="311">
        <f>SUM(P21,R21)</f>
        <v>0</v>
      </c>
      <c r="V21" s="120">
        <f>'As-Filed Schedule 2J'!N21</f>
        <v>0</v>
      </c>
      <c r="W21" s="314">
        <f>SUMIFS(Adjustments!$G:$G,Adjustments!$H:$H,"2J",Adjustments!$I:$I,'Schedule 2J Adjustments'!$V$12,Adjustments!$J:$J,'Schedule 2J Adjustments'!$A21)</f>
        <v>0</v>
      </c>
      <c r="X21" s="310">
        <f t="shared" si="6"/>
        <v>0</v>
      </c>
      <c r="Y21" s="120">
        <f>'As-Filed Schedule 2J'!O21</f>
        <v>0</v>
      </c>
      <c r="Z21" s="314">
        <f>SUMIFS(Adjustments!$G:$G,Adjustments!$H:$H,"2J",Adjustments!$I:$I,'Schedule 2J Adjustments'!$Y$12,Adjustments!$J:$J,'Schedule 2J Adjustments'!$A21)</f>
        <v>0</v>
      </c>
      <c r="AA21" s="310">
        <f t="shared" si="7"/>
        <v>0</v>
      </c>
    </row>
    <row r="22" spans="1:27" x14ac:dyDescent="0.35">
      <c r="A22" s="24">
        <v>8</v>
      </c>
      <c r="B22" s="513" t="str">
        <f>IF('As-Filed Schedule 2J'!B22:D22=0,"",'As-Filed Schedule 2J'!B22:D22)</f>
        <v/>
      </c>
      <c r="C22" s="513"/>
      <c r="D22" s="513"/>
      <c r="F22" s="117">
        <f>'As-Filed Schedule 2J'!F22</f>
        <v>0</v>
      </c>
      <c r="G22" s="314">
        <f>SUMIFS(Adjustments!$G:$G,Adjustments!$H:$H,"2J",Adjustments!$I:$I,'Schedule 2J Adjustments'!$F$12,Adjustments!$J:$J,'Schedule 2J Adjustments'!$A22)</f>
        <v>0</v>
      </c>
      <c r="H22" s="310">
        <f t="shared" si="0"/>
        <v>0</v>
      </c>
      <c r="I22" s="68">
        <f>IFERROR(F22*'As-Filed Schedule 1'!$E$103,0)</f>
        <v>0</v>
      </c>
      <c r="J22" s="311">
        <f>IFERROR(H22*'Adjusted Schedule 1'!$E$104,0)</f>
        <v>0</v>
      </c>
      <c r="K22" s="68">
        <f t="shared" si="1"/>
        <v>0</v>
      </c>
      <c r="L22" s="311">
        <f t="shared" si="2"/>
        <v>0</v>
      </c>
      <c r="N22" s="117">
        <f>'As-Filed Schedule 2J'!J22</f>
        <v>0</v>
      </c>
      <c r="O22" s="314">
        <f>SUMIFS(Adjustments!$G:$G,Adjustments!$H:$H,"2J",Adjustments!$I:$I,'Schedule 2J Adjustments'!$N$12,Adjustments!$J:$J,'Schedule 2J Adjustments'!$A22)</f>
        <v>0</v>
      </c>
      <c r="P22" s="310">
        <f t="shared" si="3"/>
        <v>0</v>
      </c>
      <c r="Q22" s="68">
        <f>IFERROR(N22*'As-Filed Schedule 1'!$E$103,0)</f>
        <v>0</v>
      </c>
      <c r="R22" s="68">
        <f>IFERROR(P22*'Adjusted Schedule 1'!$E$104,0)</f>
        <v>0</v>
      </c>
      <c r="S22" s="68">
        <f t="shared" si="4"/>
        <v>0</v>
      </c>
      <c r="T22" s="311">
        <f t="shared" si="5"/>
        <v>0</v>
      </c>
      <c r="V22" s="120">
        <f>'As-Filed Schedule 2J'!N22</f>
        <v>0</v>
      </c>
      <c r="W22" s="314">
        <f>SUMIFS(Adjustments!$G:$G,Adjustments!$H:$H,"2J",Adjustments!$I:$I,'Schedule 2J Adjustments'!$V$12,Adjustments!$J:$J,'Schedule 2J Adjustments'!$A22)</f>
        <v>0</v>
      </c>
      <c r="X22" s="310">
        <f t="shared" si="6"/>
        <v>0</v>
      </c>
      <c r="Y22" s="120">
        <f>'As-Filed Schedule 2J'!O22</f>
        <v>0</v>
      </c>
      <c r="Z22" s="314">
        <f>SUMIFS(Adjustments!$G:$G,Adjustments!$H:$H,"2J",Adjustments!$I:$I,'Schedule 2J Adjustments'!$Y$12,Adjustments!$J:$J,'Schedule 2J Adjustments'!$A22)</f>
        <v>0</v>
      </c>
      <c r="AA22" s="310">
        <f t="shared" si="7"/>
        <v>0</v>
      </c>
    </row>
    <row r="23" spans="1:27" x14ac:dyDescent="0.35">
      <c r="A23" s="24">
        <v>9</v>
      </c>
      <c r="B23" s="513" t="str">
        <f>IF('As-Filed Schedule 2J'!B23:D23=0,"",'As-Filed Schedule 2J'!B23:D23)</f>
        <v/>
      </c>
      <c r="C23" s="513"/>
      <c r="D23" s="513"/>
      <c r="F23" s="117">
        <f>'As-Filed Schedule 2J'!F23</f>
        <v>0</v>
      </c>
      <c r="G23" s="314">
        <f>SUMIFS(Adjustments!$G:$G,Adjustments!$H:$H,"2J",Adjustments!$I:$I,'Schedule 2J Adjustments'!$F$12,Adjustments!$J:$J,'Schedule 2J Adjustments'!$A23)</f>
        <v>0</v>
      </c>
      <c r="H23" s="310">
        <f t="shared" si="0"/>
        <v>0</v>
      </c>
      <c r="I23" s="68">
        <f>IFERROR(F23*'As-Filed Schedule 1'!$E$103,0)</f>
        <v>0</v>
      </c>
      <c r="J23" s="311">
        <f>IFERROR(H23*'Adjusted Schedule 1'!$E$104,0)</f>
        <v>0</v>
      </c>
      <c r="K23" s="68">
        <f t="shared" si="1"/>
        <v>0</v>
      </c>
      <c r="L23" s="311">
        <f t="shared" si="2"/>
        <v>0</v>
      </c>
      <c r="N23" s="117">
        <f>'As-Filed Schedule 2J'!J23</f>
        <v>0</v>
      </c>
      <c r="O23" s="314">
        <f>SUMIFS(Adjustments!$G:$G,Adjustments!$H:$H,"2J",Adjustments!$I:$I,'Schedule 2J Adjustments'!$N$12,Adjustments!$J:$J,'Schedule 2J Adjustments'!$A23)</f>
        <v>0</v>
      </c>
      <c r="P23" s="310">
        <f t="shared" si="3"/>
        <v>0</v>
      </c>
      <c r="Q23" s="68">
        <f>IFERROR(N23*'As-Filed Schedule 1'!$E$103,0)</f>
        <v>0</v>
      </c>
      <c r="R23" s="68">
        <f>IFERROR(P23*'Adjusted Schedule 1'!$E$104,0)</f>
        <v>0</v>
      </c>
      <c r="S23" s="68">
        <f t="shared" si="4"/>
        <v>0</v>
      </c>
      <c r="T23" s="311">
        <f t="shared" si="5"/>
        <v>0</v>
      </c>
      <c r="V23" s="120">
        <f>'As-Filed Schedule 2J'!N23</f>
        <v>0</v>
      </c>
      <c r="W23" s="314">
        <f>SUMIFS(Adjustments!$G:$G,Adjustments!$H:$H,"2J",Adjustments!$I:$I,'Schedule 2J Adjustments'!$V$12,Adjustments!$J:$J,'Schedule 2J Adjustments'!$A23)</f>
        <v>0</v>
      </c>
      <c r="X23" s="310">
        <f t="shared" si="6"/>
        <v>0</v>
      </c>
      <c r="Y23" s="120">
        <f>'As-Filed Schedule 2J'!O23</f>
        <v>0</v>
      </c>
      <c r="Z23" s="314">
        <f>SUMIFS(Adjustments!$G:$G,Adjustments!$H:$H,"2J",Adjustments!$I:$I,'Schedule 2J Adjustments'!$Y$12,Adjustments!$J:$J,'Schedule 2J Adjustments'!$A23)</f>
        <v>0</v>
      </c>
      <c r="AA23" s="310">
        <f t="shared" si="7"/>
        <v>0</v>
      </c>
    </row>
    <row r="24" spans="1:27" x14ac:dyDescent="0.35">
      <c r="A24" s="24">
        <v>10</v>
      </c>
      <c r="B24" s="513" t="str">
        <f>IF('As-Filed Schedule 2J'!B24:D24=0,"",'As-Filed Schedule 2J'!B24:D24)</f>
        <v/>
      </c>
      <c r="C24" s="513"/>
      <c r="D24" s="513"/>
      <c r="F24" s="117">
        <f>'As-Filed Schedule 2J'!F24</f>
        <v>0</v>
      </c>
      <c r="G24" s="314">
        <f>SUMIFS(Adjustments!$G:$G,Adjustments!$H:$H,"2J",Adjustments!$I:$I,'Schedule 2J Adjustments'!$F$12,Adjustments!$J:$J,'Schedule 2J Adjustments'!$A24)</f>
        <v>0</v>
      </c>
      <c r="H24" s="310">
        <f t="shared" si="0"/>
        <v>0</v>
      </c>
      <c r="I24" s="68">
        <f>IFERROR(F24*'As-Filed Schedule 1'!$E$103,0)</f>
        <v>0</v>
      </c>
      <c r="J24" s="311">
        <f>IFERROR(H24*'Adjusted Schedule 1'!$E$104,0)</f>
        <v>0</v>
      </c>
      <c r="K24" s="68">
        <f t="shared" si="1"/>
        <v>0</v>
      </c>
      <c r="L24" s="311">
        <f t="shared" si="2"/>
        <v>0</v>
      </c>
      <c r="N24" s="117">
        <f>'As-Filed Schedule 2J'!J24</f>
        <v>0</v>
      </c>
      <c r="O24" s="314">
        <f>SUMIFS(Adjustments!$G:$G,Adjustments!$H:$H,"2J",Adjustments!$I:$I,'Schedule 2J Adjustments'!$N$12,Adjustments!$J:$J,'Schedule 2J Adjustments'!$A24)</f>
        <v>0</v>
      </c>
      <c r="P24" s="310">
        <f t="shared" si="3"/>
        <v>0</v>
      </c>
      <c r="Q24" s="68">
        <f>IFERROR(N24*'As-Filed Schedule 1'!$E$103,0)</f>
        <v>0</v>
      </c>
      <c r="R24" s="68">
        <f>IFERROR(P24*'Adjusted Schedule 1'!$E$104,0)</f>
        <v>0</v>
      </c>
      <c r="S24" s="68">
        <f t="shared" si="4"/>
        <v>0</v>
      </c>
      <c r="T24" s="311">
        <f t="shared" si="5"/>
        <v>0</v>
      </c>
      <c r="V24" s="120">
        <f>'As-Filed Schedule 2J'!N24</f>
        <v>0</v>
      </c>
      <c r="W24" s="314">
        <f>SUMIFS(Adjustments!$G:$G,Adjustments!$H:$H,"2J",Adjustments!$I:$I,'Schedule 2J Adjustments'!$V$12,Adjustments!$J:$J,'Schedule 2J Adjustments'!$A24)</f>
        <v>0</v>
      </c>
      <c r="X24" s="310">
        <f t="shared" si="6"/>
        <v>0</v>
      </c>
      <c r="Y24" s="120">
        <f>'As-Filed Schedule 2J'!O24</f>
        <v>0</v>
      </c>
      <c r="Z24" s="314">
        <f>SUMIFS(Adjustments!$G:$G,Adjustments!$H:$H,"2J",Adjustments!$I:$I,'Schedule 2J Adjustments'!$Y$12,Adjustments!$J:$J,'Schedule 2J Adjustments'!$A24)</f>
        <v>0</v>
      </c>
      <c r="AA24" s="310">
        <f t="shared" si="7"/>
        <v>0</v>
      </c>
    </row>
    <row r="25" spans="1:27" x14ac:dyDescent="0.35">
      <c r="A25" s="24">
        <v>11</v>
      </c>
      <c r="B25" s="513" t="str">
        <f>IF('As-Filed Schedule 2J'!B25:D25=0,"",'As-Filed Schedule 2J'!B25:D25)</f>
        <v/>
      </c>
      <c r="C25" s="513"/>
      <c r="D25" s="513"/>
      <c r="F25" s="117">
        <f>'As-Filed Schedule 2J'!F25</f>
        <v>0</v>
      </c>
      <c r="G25" s="314">
        <f>SUMIFS(Adjustments!$G:$G,Adjustments!$H:$H,"2J",Adjustments!$I:$I,'Schedule 2J Adjustments'!$F$12,Adjustments!$J:$J,'Schedule 2J Adjustments'!$A25)</f>
        <v>0</v>
      </c>
      <c r="H25" s="310">
        <f t="shared" si="0"/>
        <v>0</v>
      </c>
      <c r="I25" s="68">
        <f>IFERROR(F25*'As-Filed Schedule 1'!$E$103,0)</f>
        <v>0</v>
      </c>
      <c r="J25" s="311">
        <f>IFERROR(H25*'Adjusted Schedule 1'!$E$104,0)</f>
        <v>0</v>
      </c>
      <c r="K25" s="68">
        <f t="shared" si="1"/>
        <v>0</v>
      </c>
      <c r="L25" s="311">
        <f t="shared" si="2"/>
        <v>0</v>
      </c>
      <c r="N25" s="117">
        <f>'As-Filed Schedule 2J'!J25</f>
        <v>0</v>
      </c>
      <c r="O25" s="314">
        <f>SUMIFS(Adjustments!$G:$G,Adjustments!$H:$H,"2J",Adjustments!$I:$I,'Schedule 2J Adjustments'!$N$12,Adjustments!$J:$J,'Schedule 2J Adjustments'!$A25)</f>
        <v>0</v>
      </c>
      <c r="P25" s="310">
        <f t="shared" si="3"/>
        <v>0</v>
      </c>
      <c r="Q25" s="68">
        <f>IFERROR(N25*'As-Filed Schedule 1'!$E$103,0)</f>
        <v>0</v>
      </c>
      <c r="R25" s="68">
        <f>IFERROR(P25*'Adjusted Schedule 1'!$E$104,0)</f>
        <v>0</v>
      </c>
      <c r="S25" s="68">
        <f t="shared" si="4"/>
        <v>0</v>
      </c>
      <c r="T25" s="311">
        <f t="shared" si="5"/>
        <v>0</v>
      </c>
      <c r="V25" s="120">
        <f>'As-Filed Schedule 2J'!N25</f>
        <v>0</v>
      </c>
      <c r="W25" s="314">
        <f>SUMIFS(Adjustments!$G:$G,Adjustments!$H:$H,"2J",Adjustments!$I:$I,'Schedule 2J Adjustments'!$V$12,Adjustments!$J:$J,'Schedule 2J Adjustments'!$A25)</f>
        <v>0</v>
      </c>
      <c r="X25" s="310">
        <f t="shared" si="6"/>
        <v>0</v>
      </c>
      <c r="Y25" s="120">
        <f>'As-Filed Schedule 2J'!O25</f>
        <v>0</v>
      </c>
      <c r="Z25" s="314">
        <f>SUMIFS(Adjustments!$G:$G,Adjustments!$H:$H,"2J",Adjustments!$I:$I,'Schedule 2J Adjustments'!$Y$12,Adjustments!$J:$J,'Schedule 2J Adjustments'!$A25)</f>
        <v>0</v>
      </c>
      <c r="AA25" s="310">
        <f t="shared" si="7"/>
        <v>0</v>
      </c>
    </row>
    <row r="26" spans="1:27" x14ac:dyDescent="0.35">
      <c r="A26" s="24">
        <v>12</v>
      </c>
      <c r="B26" s="513" t="str">
        <f>IF('As-Filed Schedule 2J'!B26:D26=0,"",'As-Filed Schedule 2J'!B26:D26)</f>
        <v/>
      </c>
      <c r="C26" s="513"/>
      <c r="D26" s="513"/>
      <c r="F26" s="117">
        <f>'As-Filed Schedule 2J'!F26</f>
        <v>0</v>
      </c>
      <c r="G26" s="314">
        <f>SUMIFS(Adjustments!$G:$G,Adjustments!$H:$H,"2J",Adjustments!$I:$I,'Schedule 2J Adjustments'!$F$12,Adjustments!$J:$J,'Schedule 2J Adjustments'!$A26)</f>
        <v>0</v>
      </c>
      <c r="H26" s="310">
        <f t="shared" si="0"/>
        <v>0</v>
      </c>
      <c r="I26" s="68">
        <f>IFERROR(F26*'As-Filed Schedule 1'!$E$103,0)</f>
        <v>0</v>
      </c>
      <c r="J26" s="311">
        <f>IFERROR(H26*'Adjusted Schedule 1'!$E$104,0)</f>
        <v>0</v>
      </c>
      <c r="K26" s="68">
        <f t="shared" si="1"/>
        <v>0</v>
      </c>
      <c r="L26" s="311">
        <f t="shared" si="2"/>
        <v>0</v>
      </c>
      <c r="N26" s="117">
        <f>'As-Filed Schedule 2J'!J26</f>
        <v>0</v>
      </c>
      <c r="O26" s="314">
        <f>SUMIFS(Adjustments!$G:$G,Adjustments!$H:$H,"2J",Adjustments!$I:$I,'Schedule 2J Adjustments'!$N$12,Adjustments!$J:$J,'Schedule 2J Adjustments'!$A26)</f>
        <v>0</v>
      </c>
      <c r="P26" s="310">
        <f t="shared" si="3"/>
        <v>0</v>
      </c>
      <c r="Q26" s="68">
        <f>IFERROR(N26*'As-Filed Schedule 1'!$E$103,0)</f>
        <v>0</v>
      </c>
      <c r="R26" s="68">
        <f>IFERROR(P26*'Adjusted Schedule 1'!$E$104,0)</f>
        <v>0</v>
      </c>
      <c r="S26" s="68">
        <f t="shared" si="4"/>
        <v>0</v>
      </c>
      <c r="T26" s="311">
        <f t="shared" si="5"/>
        <v>0</v>
      </c>
      <c r="V26" s="120">
        <f>'As-Filed Schedule 2J'!N26</f>
        <v>0</v>
      </c>
      <c r="W26" s="314">
        <f>SUMIFS(Adjustments!$G:$G,Adjustments!$H:$H,"2J",Adjustments!$I:$I,'Schedule 2J Adjustments'!$V$12,Adjustments!$J:$J,'Schedule 2J Adjustments'!$A26)</f>
        <v>0</v>
      </c>
      <c r="X26" s="310">
        <f t="shared" si="6"/>
        <v>0</v>
      </c>
      <c r="Y26" s="120">
        <f>'As-Filed Schedule 2J'!O26</f>
        <v>0</v>
      </c>
      <c r="Z26" s="314">
        <f>SUMIFS(Adjustments!$G:$G,Adjustments!$H:$H,"2J",Adjustments!$I:$I,'Schedule 2J Adjustments'!$Y$12,Adjustments!$J:$J,'Schedule 2J Adjustments'!$A26)</f>
        <v>0</v>
      </c>
      <c r="AA26" s="310">
        <f t="shared" si="7"/>
        <v>0</v>
      </c>
    </row>
    <row r="27" spans="1:27" x14ac:dyDescent="0.35">
      <c r="A27" s="24">
        <v>13</v>
      </c>
      <c r="B27" s="513" t="str">
        <f>IF('As-Filed Schedule 2J'!B27:D27=0,"",'As-Filed Schedule 2J'!B27:D27)</f>
        <v/>
      </c>
      <c r="C27" s="513"/>
      <c r="D27" s="513"/>
      <c r="F27" s="117">
        <f>'As-Filed Schedule 2J'!F27</f>
        <v>0</v>
      </c>
      <c r="G27" s="314">
        <f>SUMIFS(Adjustments!$G:$G,Adjustments!$H:$H,"2J",Adjustments!$I:$I,'Schedule 2J Adjustments'!$F$12,Adjustments!$J:$J,'Schedule 2J Adjustments'!$A27)</f>
        <v>0</v>
      </c>
      <c r="H27" s="310">
        <f t="shared" si="0"/>
        <v>0</v>
      </c>
      <c r="I27" s="68">
        <f>IFERROR(F27*'As-Filed Schedule 1'!$E$103,0)</f>
        <v>0</v>
      </c>
      <c r="J27" s="311">
        <f>IFERROR(H27*'Adjusted Schedule 1'!$E$104,0)</f>
        <v>0</v>
      </c>
      <c r="K27" s="68">
        <f t="shared" si="1"/>
        <v>0</v>
      </c>
      <c r="L27" s="311">
        <f t="shared" si="2"/>
        <v>0</v>
      </c>
      <c r="N27" s="117">
        <f>'As-Filed Schedule 2J'!J27</f>
        <v>0</v>
      </c>
      <c r="O27" s="314">
        <f>SUMIFS(Adjustments!$G:$G,Adjustments!$H:$H,"2J",Adjustments!$I:$I,'Schedule 2J Adjustments'!$N$12,Adjustments!$J:$J,'Schedule 2J Adjustments'!$A27)</f>
        <v>0</v>
      </c>
      <c r="P27" s="310">
        <f t="shared" si="3"/>
        <v>0</v>
      </c>
      <c r="Q27" s="68">
        <f>IFERROR(N27*'As-Filed Schedule 1'!$E$103,0)</f>
        <v>0</v>
      </c>
      <c r="R27" s="68">
        <f>IFERROR(P27*'Adjusted Schedule 1'!$E$104,0)</f>
        <v>0</v>
      </c>
      <c r="S27" s="68">
        <f t="shared" si="4"/>
        <v>0</v>
      </c>
      <c r="T27" s="311">
        <f t="shared" si="5"/>
        <v>0</v>
      </c>
      <c r="V27" s="120">
        <f>'As-Filed Schedule 2J'!N27</f>
        <v>0</v>
      </c>
      <c r="W27" s="314">
        <f>SUMIFS(Adjustments!$G:$G,Adjustments!$H:$H,"2J",Adjustments!$I:$I,'Schedule 2J Adjustments'!$V$12,Adjustments!$J:$J,'Schedule 2J Adjustments'!$A27)</f>
        <v>0</v>
      </c>
      <c r="X27" s="310">
        <f t="shared" si="6"/>
        <v>0</v>
      </c>
      <c r="Y27" s="120">
        <f>'As-Filed Schedule 2J'!O27</f>
        <v>0</v>
      </c>
      <c r="Z27" s="314">
        <f>SUMIFS(Adjustments!$G:$G,Adjustments!$H:$H,"2J",Adjustments!$I:$I,'Schedule 2J Adjustments'!$Y$12,Adjustments!$J:$J,'Schedule 2J Adjustments'!$A27)</f>
        <v>0</v>
      </c>
      <c r="AA27" s="310">
        <f t="shared" si="7"/>
        <v>0</v>
      </c>
    </row>
    <row r="28" spans="1:27" x14ac:dyDescent="0.35">
      <c r="A28" s="24">
        <v>14</v>
      </c>
      <c r="B28" s="513" t="str">
        <f>IF('As-Filed Schedule 2J'!B28:D28=0,"",'As-Filed Schedule 2J'!B28:D28)</f>
        <v/>
      </c>
      <c r="C28" s="513"/>
      <c r="D28" s="513"/>
      <c r="F28" s="117">
        <f>'As-Filed Schedule 2J'!F28</f>
        <v>0</v>
      </c>
      <c r="G28" s="314">
        <f>SUMIFS(Adjustments!$G:$G,Adjustments!$H:$H,"2J",Adjustments!$I:$I,'Schedule 2J Adjustments'!$F$12,Adjustments!$J:$J,'Schedule 2J Adjustments'!$A28)</f>
        <v>0</v>
      </c>
      <c r="H28" s="310">
        <f t="shared" si="0"/>
        <v>0</v>
      </c>
      <c r="I28" s="68">
        <f>IFERROR(F28*'As-Filed Schedule 1'!$E$103,0)</f>
        <v>0</v>
      </c>
      <c r="J28" s="311">
        <f>IFERROR(H28*'Adjusted Schedule 1'!$E$104,0)</f>
        <v>0</v>
      </c>
      <c r="K28" s="68">
        <f t="shared" si="1"/>
        <v>0</v>
      </c>
      <c r="L28" s="311">
        <f t="shared" si="2"/>
        <v>0</v>
      </c>
      <c r="N28" s="117">
        <f>'As-Filed Schedule 2J'!J28</f>
        <v>0</v>
      </c>
      <c r="O28" s="314">
        <f>SUMIFS(Adjustments!$G:$G,Adjustments!$H:$H,"2J",Adjustments!$I:$I,'Schedule 2J Adjustments'!$N$12,Adjustments!$J:$J,'Schedule 2J Adjustments'!$A28)</f>
        <v>0</v>
      </c>
      <c r="P28" s="310">
        <f t="shared" si="3"/>
        <v>0</v>
      </c>
      <c r="Q28" s="68">
        <f>IFERROR(N28*'As-Filed Schedule 1'!$E$103,0)</f>
        <v>0</v>
      </c>
      <c r="R28" s="68">
        <f>IFERROR(P28*'Adjusted Schedule 1'!$E$104,0)</f>
        <v>0</v>
      </c>
      <c r="S28" s="68">
        <f t="shared" si="4"/>
        <v>0</v>
      </c>
      <c r="T28" s="311">
        <f t="shared" si="5"/>
        <v>0</v>
      </c>
      <c r="V28" s="120">
        <f>'As-Filed Schedule 2J'!N28</f>
        <v>0</v>
      </c>
      <c r="W28" s="314">
        <f>SUMIFS(Adjustments!$G:$G,Adjustments!$H:$H,"2J",Adjustments!$I:$I,'Schedule 2J Adjustments'!$V$12,Adjustments!$J:$J,'Schedule 2J Adjustments'!$A28)</f>
        <v>0</v>
      </c>
      <c r="X28" s="310">
        <f t="shared" si="6"/>
        <v>0</v>
      </c>
      <c r="Y28" s="120">
        <f>'As-Filed Schedule 2J'!O28</f>
        <v>0</v>
      </c>
      <c r="Z28" s="314">
        <f>SUMIFS(Adjustments!$G:$G,Adjustments!$H:$H,"2J",Adjustments!$I:$I,'Schedule 2J Adjustments'!$Y$12,Adjustments!$J:$J,'Schedule 2J Adjustments'!$A28)</f>
        <v>0</v>
      </c>
      <c r="AA28" s="310">
        <f t="shared" si="7"/>
        <v>0</v>
      </c>
    </row>
    <row r="29" spans="1:27" x14ac:dyDescent="0.35">
      <c r="A29" s="24">
        <v>15</v>
      </c>
      <c r="B29" s="513" t="str">
        <f>IF('As-Filed Schedule 2J'!B29:D29=0,"",'As-Filed Schedule 2J'!B29:D29)</f>
        <v/>
      </c>
      <c r="C29" s="513"/>
      <c r="D29" s="513"/>
      <c r="F29" s="117">
        <f>'As-Filed Schedule 2J'!F29</f>
        <v>0</v>
      </c>
      <c r="G29" s="314">
        <f>SUMIFS(Adjustments!$G:$G,Adjustments!$H:$H,"2J",Adjustments!$I:$I,'Schedule 2J Adjustments'!$F$12,Adjustments!$J:$J,'Schedule 2J Adjustments'!$A29)</f>
        <v>0</v>
      </c>
      <c r="H29" s="310">
        <f t="shared" si="0"/>
        <v>0</v>
      </c>
      <c r="I29" s="68">
        <f>IFERROR(F29*'As-Filed Schedule 1'!$E$103,0)</f>
        <v>0</v>
      </c>
      <c r="J29" s="311">
        <f>IFERROR(H29*'Adjusted Schedule 1'!$E$104,0)</f>
        <v>0</v>
      </c>
      <c r="K29" s="68">
        <f t="shared" si="1"/>
        <v>0</v>
      </c>
      <c r="L29" s="311">
        <f t="shared" si="2"/>
        <v>0</v>
      </c>
      <c r="N29" s="117">
        <f>'As-Filed Schedule 2J'!J29</f>
        <v>0</v>
      </c>
      <c r="O29" s="314">
        <f>SUMIFS(Adjustments!$G:$G,Adjustments!$H:$H,"2J",Adjustments!$I:$I,'Schedule 2J Adjustments'!$N$12,Adjustments!$J:$J,'Schedule 2J Adjustments'!$A29)</f>
        <v>0</v>
      </c>
      <c r="P29" s="310">
        <f t="shared" si="3"/>
        <v>0</v>
      </c>
      <c r="Q29" s="68">
        <f>IFERROR(N29*'As-Filed Schedule 1'!$E$103,0)</f>
        <v>0</v>
      </c>
      <c r="R29" s="68">
        <f>IFERROR(P29*'Adjusted Schedule 1'!$E$104,0)</f>
        <v>0</v>
      </c>
      <c r="S29" s="68">
        <f t="shared" si="4"/>
        <v>0</v>
      </c>
      <c r="T29" s="311">
        <f t="shared" si="5"/>
        <v>0</v>
      </c>
      <c r="V29" s="120">
        <f>'As-Filed Schedule 2J'!N29</f>
        <v>0</v>
      </c>
      <c r="W29" s="314">
        <f>SUMIFS(Adjustments!$G:$G,Adjustments!$H:$H,"2J",Adjustments!$I:$I,'Schedule 2J Adjustments'!$V$12,Adjustments!$J:$J,'Schedule 2J Adjustments'!$A29)</f>
        <v>0</v>
      </c>
      <c r="X29" s="310">
        <f t="shared" si="6"/>
        <v>0</v>
      </c>
      <c r="Y29" s="120">
        <f>'As-Filed Schedule 2J'!O29</f>
        <v>0</v>
      </c>
      <c r="Z29" s="314">
        <f>SUMIFS(Adjustments!$G:$G,Adjustments!$H:$H,"2J",Adjustments!$I:$I,'Schedule 2J Adjustments'!$Y$12,Adjustments!$J:$J,'Schedule 2J Adjustments'!$A29)</f>
        <v>0</v>
      </c>
      <c r="AA29" s="310">
        <f t="shared" si="7"/>
        <v>0</v>
      </c>
    </row>
    <row r="30" spans="1:27" x14ac:dyDescent="0.35">
      <c r="A30" s="24">
        <v>16</v>
      </c>
      <c r="B30" s="513" t="str">
        <f>IF('As-Filed Schedule 2J'!B30:D30=0,"",'As-Filed Schedule 2J'!B30:D30)</f>
        <v/>
      </c>
      <c r="C30" s="513"/>
      <c r="D30" s="513"/>
      <c r="F30" s="117">
        <f>'As-Filed Schedule 2J'!F30</f>
        <v>0</v>
      </c>
      <c r="G30" s="314">
        <f>SUMIFS(Adjustments!$G:$G,Adjustments!$H:$H,"2J",Adjustments!$I:$I,'Schedule 2J Adjustments'!$F$12,Adjustments!$J:$J,'Schedule 2J Adjustments'!$A30)</f>
        <v>0</v>
      </c>
      <c r="H30" s="310">
        <f t="shared" si="0"/>
        <v>0</v>
      </c>
      <c r="I30" s="68">
        <f>IFERROR(F30*'As-Filed Schedule 1'!$E$103,0)</f>
        <v>0</v>
      </c>
      <c r="J30" s="311">
        <f>IFERROR(H30*'Adjusted Schedule 1'!$E$104,0)</f>
        <v>0</v>
      </c>
      <c r="K30" s="68">
        <f t="shared" si="1"/>
        <v>0</v>
      </c>
      <c r="L30" s="311">
        <f t="shared" si="2"/>
        <v>0</v>
      </c>
      <c r="N30" s="117">
        <f>'As-Filed Schedule 2J'!J30</f>
        <v>0</v>
      </c>
      <c r="O30" s="314">
        <f>SUMIFS(Adjustments!$G:$G,Adjustments!$H:$H,"2J",Adjustments!$I:$I,'Schedule 2J Adjustments'!$N$12,Adjustments!$J:$J,'Schedule 2J Adjustments'!$A30)</f>
        <v>0</v>
      </c>
      <c r="P30" s="310">
        <f t="shared" si="3"/>
        <v>0</v>
      </c>
      <c r="Q30" s="68">
        <f>IFERROR(N30*'As-Filed Schedule 1'!$E$103,0)</f>
        <v>0</v>
      </c>
      <c r="R30" s="68">
        <f>IFERROR(P30*'Adjusted Schedule 1'!$E$104,0)</f>
        <v>0</v>
      </c>
      <c r="S30" s="68">
        <f t="shared" si="4"/>
        <v>0</v>
      </c>
      <c r="T30" s="311">
        <f t="shared" si="5"/>
        <v>0</v>
      </c>
      <c r="V30" s="120">
        <f>'As-Filed Schedule 2J'!N30</f>
        <v>0</v>
      </c>
      <c r="W30" s="314">
        <f>SUMIFS(Adjustments!$G:$G,Adjustments!$H:$H,"2J",Adjustments!$I:$I,'Schedule 2J Adjustments'!$V$12,Adjustments!$J:$J,'Schedule 2J Adjustments'!$A30)</f>
        <v>0</v>
      </c>
      <c r="X30" s="310">
        <f t="shared" si="6"/>
        <v>0</v>
      </c>
      <c r="Y30" s="120">
        <f>'As-Filed Schedule 2J'!O30</f>
        <v>0</v>
      </c>
      <c r="Z30" s="314">
        <f>SUMIFS(Adjustments!$G:$G,Adjustments!$H:$H,"2J",Adjustments!$I:$I,'Schedule 2J Adjustments'!$Y$12,Adjustments!$J:$J,'Schedule 2J Adjustments'!$A30)</f>
        <v>0</v>
      </c>
      <c r="AA30" s="310">
        <f t="shared" si="7"/>
        <v>0</v>
      </c>
    </row>
    <row r="31" spans="1:27" x14ac:dyDescent="0.35">
      <c r="A31" s="24">
        <v>17</v>
      </c>
      <c r="B31" s="513" t="str">
        <f>IF('As-Filed Schedule 2J'!B31:D31=0,"",'As-Filed Schedule 2J'!B31:D31)</f>
        <v/>
      </c>
      <c r="C31" s="513"/>
      <c r="D31" s="513"/>
      <c r="F31" s="117">
        <f>'As-Filed Schedule 2J'!F31</f>
        <v>0</v>
      </c>
      <c r="G31" s="314">
        <f>SUMIFS(Adjustments!$G:$G,Adjustments!$H:$H,"2J",Adjustments!$I:$I,'Schedule 2J Adjustments'!$F$12,Adjustments!$J:$J,'Schedule 2J Adjustments'!$A31)</f>
        <v>0</v>
      </c>
      <c r="H31" s="310">
        <f t="shared" si="0"/>
        <v>0</v>
      </c>
      <c r="I31" s="68">
        <f>IFERROR(F31*'As-Filed Schedule 1'!$E$103,0)</f>
        <v>0</v>
      </c>
      <c r="J31" s="311">
        <f>IFERROR(H31*'Adjusted Schedule 1'!$E$104,0)</f>
        <v>0</v>
      </c>
      <c r="K31" s="68">
        <f t="shared" si="1"/>
        <v>0</v>
      </c>
      <c r="L31" s="311">
        <f t="shared" si="2"/>
        <v>0</v>
      </c>
      <c r="N31" s="117">
        <f>'As-Filed Schedule 2J'!J31</f>
        <v>0</v>
      </c>
      <c r="O31" s="314">
        <f>SUMIFS(Adjustments!$G:$G,Adjustments!$H:$H,"2J",Adjustments!$I:$I,'Schedule 2J Adjustments'!$N$12,Adjustments!$J:$J,'Schedule 2J Adjustments'!$A31)</f>
        <v>0</v>
      </c>
      <c r="P31" s="310">
        <f t="shared" si="3"/>
        <v>0</v>
      </c>
      <c r="Q31" s="68">
        <f>IFERROR(N31*'As-Filed Schedule 1'!$E$103,0)</f>
        <v>0</v>
      </c>
      <c r="R31" s="68">
        <f>IFERROR(P31*'Adjusted Schedule 1'!$E$104,0)</f>
        <v>0</v>
      </c>
      <c r="S31" s="68">
        <f t="shared" si="4"/>
        <v>0</v>
      </c>
      <c r="T31" s="311">
        <f t="shared" si="5"/>
        <v>0</v>
      </c>
      <c r="V31" s="120">
        <f>'As-Filed Schedule 2J'!N31</f>
        <v>0</v>
      </c>
      <c r="W31" s="314">
        <f>SUMIFS(Adjustments!$G:$G,Adjustments!$H:$H,"2J",Adjustments!$I:$I,'Schedule 2J Adjustments'!$V$12,Adjustments!$J:$J,'Schedule 2J Adjustments'!$A31)</f>
        <v>0</v>
      </c>
      <c r="X31" s="310">
        <f t="shared" si="6"/>
        <v>0</v>
      </c>
      <c r="Y31" s="120">
        <f>'As-Filed Schedule 2J'!O31</f>
        <v>0</v>
      </c>
      <c r="Z31" s="314">
        <f>SUMIFS(Adjustments!$G:$G,Adjustments!$H:$H,"2J",Adjustments!$I:$I,'Schedule 2J Adjustments'!$Y$12,Adjustments!$J:$J,'Schedule 2J Adjustments'!$A31)</f>
        <v>0</v>
      </c>
      <c r="AA31" s="310">
        <f t="shared" si="7"/>
        <v>0</v>
      </c>
    </row>
    <row r="32" spans="1:27" x14ac:dyDescent="0.35">
      <c r="A32" s="24">
        <v>18</v>
      </c>
      <c r="B32" s="513" t="str">
        <f>IF('As-Filed Schedule 2J'!B32:D32=0,"",'As-Filed Schedule 2J'!B32:D32)</f>
        <v/>
      </c>
      <c r="C32" s="513"/>
      <c r="D32" s="513"/>
      <c r="F32" s="117">
        <f>'As-Filed Schedule 2J'!F32</f>
        <v>0</v>
      </c>
      <c r="G32" s="314">
        <f>SUMIFS(Adjustments!$G:$G,Adjustments!$H:$H,"2J",Adjustments!$I:$I,'Schedule 2J Adjustments'!$F$12,Adjustments!$J:$J,'Schedule 2J Adjustments'!$A32)</f>
        <v>0</v>
      </c>
      <c r="H32" s="310">
        <f t="shared" si="0"/>
        <v>0</v>
      </c>
      <c r="I32" s="68">
        <f>IFERROR(F32*'As-Filed Schedule 1'!$E$103,0)</f>
        <v>0</v>
      </c>
      <c r="J32" s="311">
        <f>IFERROR(H32*'Adjusted Schedule 1'!$E$104,0)</f>
        <v>0</v>
      </c>
      <c r="K32" s="68">
        <f t="shared" si="1"/>
        <v>0</v>
      </c>
      <c r="L32" s="311">
        <f t="shared" si="2"/>
        <v>0</v>
      </c>
      <c r="N32" s="117">
        <f>'As-Filed Schedule 2J'!J32</f>
        <v>0</v>
      </c>
      <c r="O32" s="314">
        <f>SUMIFS(Adjustments!$G:$G,Adjustments!$H:$H,"2J",Adjustments!$I:$I,'Schedule 2J Adjustments'!$N$12,Adjustments!$J:$J,'Schedule 2J Adjustments'!$A32)</f>
        <v>0</v>
      </c>
      <c r="P32" s="310">
        <f t="shared" si="3"/>
        <v>0</v>
      </c>
      <c r="Q32" s="68">
        <f>IFERROR(N32*'As-Filed Schedule 1'!$E$103,0)</f>
        <v>0</v>
      </c>
      <c r="R32" s="68">
        <f>IFERROR(P32*'Adjusted Schedule 1'!$E$104,0)</f>
        <v>0</v>
      </c>
      <c r="S32" s="68">
        <f t="shared" si="4"/>
        <v>0</v>
      </c>
      <c r="T32" s="311">
        <f t="shared" si="5"/>
        <v>0</v>
      </c>
      <c r="V32" s="120">
        <f>'As-Filed Schedule 2J'!N32</f>
        <v>0</v>
      </c>
      <c r="W32" s="314">
        <f>SUMIFS(Adjustments!$G:$G,Adjustments!$H:$H,"2J",Adjustments!$I:$I,'Schedule 2J Adjustments'!$V$12,Adjustments!$J:$J,'Schedule 2J Adjustments'!$A32)</f>
        <v>0</v>
      </c>
      <c r="X32" s="310">
        <f t="shared" si="6"/>
        <v>0</v>
      </c>
      <c r="Y32" s="120">
        <f>'As-Filed Schedule 2J'!O32</f>
        <v>0</v>
      </c>
      <c r="Z32" s="314">
        <f>SUMIFS(Adjustments!$G:$G,Adjustments!$H:$H,"2J",Adjustments!$I:$I,'Schedule 2J Adjustments'!$Y$12,Adjustments!$J:$J,'Schedule 2J Adjustments'!$A32)</f>
        <v>0</v>
      </c>
      <c r="AA32" s="310">
        <f t="shared" si="7"/>
        <v>0</v>
      </c>
    </row>
    <row r="33" spans="1:27" x14ac:dyDescent="0.35">
      <c r="A33" s="24">
        <v>19</v>
      </c>
      <c r="B33" s="513" t="str">
        <f>IF('As-Filed Schedule 2J'!B33:D33=0,"",'As-Filed Schedule 2J'!B33:D33)</f>
        <v/>
      </c>
      <c r="C33" s="513"/>
      <c r="D33" s="513"/>
      <c r="F33" s="117">
        <f>'As-Filed Schedule 2J'!F33</f>
        <v>0</v>
      </c>
      <c r="G33" s="314">
        <f>SUMIFS(Adjustments!$G:$G,Adjustments!$H:$H,"2J",Adjustments!$I:$I,'Schedule 2J Adjustments'!$F$12,Adjustments!$J:$J,'Schedule 2J Adjustments'!$A33)</f>
        <v>0</v>
      </c>
      <c r="H33" s="310">
        <f t="shared" si="0"/>
        <v>0</v>
      </c>
      <c r="I33" s="68">
        <f>IFERROR(F33*'As-Filed Schedule 1'!$E$103,0)</f>
        <v>0</v>
      </c>
      <c r="J33" s="311">
        <f>IFERROR(H33*'Adjusted Schedule 1'!$E$104,0)</f>
        <v>0</v>
      </c>
      <c r="K33" s="68">
        <f t="shared" si="1"/>
        <v>0</v>
      </c>
      <c r="L33" s="311">
        <f t="shared" si="2"/>
        <v>0</v>
      </c>
      <c r="N33" s="117">
        <f>'As-Filed Schedule 2J'!J33</f>
        <v>0</v>
      </c>
      <c r="O33" s="314">
        <f>SUMIFS(Adjustments!$G:$G,Adjustments!$H:$H,"2J",Adjustments!$I:$I,'Schedule 2J Adjustments'!$N$12,Adjustments!$J:$J,'Schedule 2J Adjustments'!$A33)</f>
        <v>0</v>
      </c>
      <c r="P33" s="310">
        <f t="shared" si="3"/>
        <v>0</v>
      </c>
      <c r="Q33" s="68">
        <f>IFERROR(N33*'As-Filed Schedule 1'!$E$103,0)</f>
        <v>0</v>
      </c>
      <c r="R33" s="68">
        <f>IFERROR(P33*'Adjusted Schedule 1'!$E$104,0)</f>
        <v>0</v>
      </c>
      <c r="S33" s="68">
        <f t="shared" si="4"/>
        <v>0</v>
      </c>
      <c r="T33" s="311">
        <f t="shared" si="5"/>
        <v>0</v>
      </c>
      <c r="V33" s="120">
        <f>'As-Filed Schedule 2J'!N33</f>
        <v>0</v>
      </c>
      <c r="W33" s="314">
        <f>SUMIFS(Adjustments!$G:$G,Adjustments!$H:$H,"2J",Adjustments!$I:$I,'Schedule 2J Adjustments'!$V$12,Adjustments!$J:$J,'Schedule 2J Adjustments'!$A33)</f>
        <v>0</v>
      </c>
      <c r="X33" s="310">
        <f t="shared" si="6"/>
        <v>0</v>
      </c>
      <c r="Y33" s="120">
        <f>'As-Filed Schedule 2J'!O33</f>
        <v>0</v>
      </c>
      <c r="Z33" s="314">
        <f>SUMIFS(Adjustments!$G:$G,Adjustments!$H:$H,"2J",Adjustments!$I:$I,'Schedule 2J Adjustments'!$Y$12,Adjustments!$J:$J,'Schedule 2J Adjustments'!$A33)</f>
        <v>0</v>
      </c>
      <c r="AA33" s="310">
        <f t="shared" si="7"/>
        <v>0</v>
      </c>
    </row>
    <row r="34" spans="1:27" x14ac:dyDescent="0.35">
      <c r="A34" s="24">
        <v>20</v>
      </c>
      <c r="B34" s="513" t="str">
        <f>IF('As-Filed Schedule 2J'!B34:D34=0,"",'As-Filed Schedule 2J'!B34:D34)</f>
        <v/>
      </c>
      <c r="C34" s="513"/>
      <c r="D34" s="513"/>
      <c r="F34" s="117">
        <f>'As-Filed Schedule 2J'!F34</f>
        <v>0</v>
      </c>
      <c r="G34" s="314">
        <f>SUMIFS(Adjustments!$G:$G,Adjustments!$H:$H,"2J",Adjustments!$I:$I,'Schedule 2J Adjustments'!$F$12,Adjustments!$J:$J,'Schedule 2J Adjustments'!$A34)</f>
        <v>0</v>
      </c>
      <c r="H34" s="310">
        <f t="shared" si="0"/>
        <v>0</v>
      </c>
      <c r="I34" s="68">
        <f>IFERROR(F34*'As-Filed Schedule 1'!$E$103,0)</f>
        <v>0</v>
      </c>
      <c r="J34" s="311">
        <f>IFERROR(H34*'Adjusted Schedule 1'!$E$104,0)</f>
        <v>0</v>
      </c>
      <c r="K34" s="68">
        <f t="shared" si="1"/>
        <v>0</v>
      </c>
      <c r="L34" s="311">
        <f t="shared" si="2"/>
        <v>0</v>
      </c>
      <c r="N34" s="117">
        <f>'As-Filed Schedule 2J'!J34</f>
        <v>0</v>
      </c>
      <c r="O34" s="314">
        <f>SUMIFS(Adjustments!$G:$G,Adjustments!$H:$H,"2J",Adjustments!$I:$I,'Schedule 2J Adjustments'!$N$12,Adjustments!$J:$J,'Schedule 2J Adjustments'!$A34)</f>
        <v>0</v>
      </c>
      <c r="P34" s="310">
        <f t="shared" si="3"/>
        <v>0</v>
      </c>
      <c r="Q34" s="68">
        <f>IFERROR(N34*'As-Filed Schedule 1'!$E$103,0)</f>
        <v>0</v>
      </c>
      <c r="R34" s="68">
        <f>IFERROR(P34*'Adjusted Schedule 1'!$E$104,0)</f>
        <v>0</v>
      </c>
      <c r="S34" s="68">
        <f t="shared" si="4"/>
        <v>0</v>
      </c>
      <c r="T34" s="311">
        <f t="shared" si="5"/>
        <v>0</v>
      </c>
      <c r="V34" s="120">
        <f>'As-Filed Schedule 2J'!N34</f>
        <v>0</v>
      </c>
      <c r="W34" s="314">
        <f>SUMIFS(Adjustments!$G:$G,Adjustments!$H:$H,"2J",Adjustments!$I:$I,'Schedule 2J Adjustments'!$V$12,Adjustments!$J:$J,'Schedule 2J Adjustments'!$A34)</f>
        <v>0</v>
      </c>
      <c r="X34" s="310">
        <f t="shared" si="6"/>
        <v>0</v>
      </c>
      <c r="Y34" s="120">
        <f>'As-Filed Schedule 2J'!O34</f>
        <v>0</v>
      </c>
      <c r="Z34" s="314">
        <f>SUMIFS(Adjustments!$G:$G,Adjustments!$H:$H,"2J",Adjustments!$I:$I,'Schedule 2J Adjustments'!$Y$12,Adjustments!$J:$J,'Schedule 2J Adjustments'!$A34)</f>
        <v>0</v>
      </c>
      <c r="AA34" s="310">
        <f t="shared" si="7"/>
        <v>0</v>
      </c>
    </row>
    <row r="35" spans="1:27" x14ac:dyDescent="0.35">
      <c r="A35" s="24">
        <v>21</v>
      </c>
      <c r="B35" s="513" t="str">
        <f>IF('As-Filed Schedule 2J'!B35:D35=0,"",'As-Filed Schedule 2J'!B35:D35)</f>
        <v/>
      </c>
      <c r="C35" s="513"/>
      <c r="D35" s="513"/>
      <c r="F35" s="117">
        <f>'As-Filed Schedule 2J'!F35</f>
        <v>0</v>
      </c>
      <c r="G35" s="314">
        <f>SUMIFS(Adjustments!$G:$G,Adjustments!$H:$H,"2J",Adjustments!$I:$I,'Schedule 2J Adjustments'!$F$12,Adjustments!$J:$J,'Schedule 2J Adjustments'!$A35)</f>
        <v>0</v>
      </c>
      <c r="H35" s="310">
        <f t="shared" si="0"/>
        <v>0</v>
      </c>
      <c r="I35" s="68">
        <f>IFERROR(F35*'As-Filed Schedule 1'!$E$103,0)</f>
        <v>0</v>
      </c>
      <c r="J35" s="311">
        <f>IFERROR(H35*'Adjusted Schedule 1'!$E$104,0)</f>
        <v>0</v>
      </c>
      <c r="K35" s="68">
        <f t="shared" si="1"/>
        <v>0</v>
      </c>
      <c r="L35" s="311">
        <f t="shared" si="2"/>
        <v>0</v>
      </c>
      <c r="N35" s="117">
        <f>'As-Filed Schedule 2J'!J35</f>
        <v>0</v>
      </c>
      <c r="O35" s="314">
        <f>SUMIFS(Adjustments!$G:$G,Adjustments!$H:$H,"2J",Adjustments!$I:$I,'Schedule 2J Adjustments'!$N$12,Adjustments!$J:$J,'Schedule 2J Adjustments'!$A35)</f>
        <v>0</v>
      </c>
      <c r="P35" s="310">
        <f t="shared" si="3"/>
        <v>0</v>
      </c>
      <c r="Q35" s="68">
        <f>IFERROR(N35*'As-Filed Schedule 1'!$E$103,0)</f>
        <v>0</v>
      </c>
      <c r="R35" s="68">
        <f>IFERROR(P35*'Adjusted Schedule 1'!$E$104,0)</f>
        <v>0</v>
      </c>
      <c r="S35" s="68">
        <f t="shared" si="4"/>
        <v>0</v>
      </c>
      <c r="T35" s="311">
        <f t="shared" si="5"/>
        <v>0</v>
      </c>
      <c r="V35" s="120">
        <f>'As-Filed Schedule 2J'!N35</f>
        <v>0</v>
      </c>
      <c r="W35" s="314">
        <f>SUMIFS(Adjustments!$G:$G,Adjustments!$H:$H,"2J",Adjustments!$I:$I,'Schedule 2J Adjustments'!$V$12,Adjustments!$J:$J,'Schedule 2J Adjustments'!$A35)</f>
        <v>0</v>
      </c>
      <c r="X35" s="310">
        <f t="shared" si="6"/>
        <v>0</v>
      </c>
      <c r="Y35" s="120">
        <f>'As-Filed Schedule 2J'!O35</f>
        <v>0</v>
      </c>
      <c r="Z35" s="314">
        <f>SUMIFS(Adjustments!$G:$G,Adjustments!$H:$H,"2J",Adjustments!$I:$I,'Schedule 2J Adjustments'!$Y$12,Adjustments!$J:$J,'Schedule 2J Adjustments'!$A35)</f>
        <v>0</v>
      </c>
      <c r="AA35" s="310">
        <f t="shared" si="7"/>
        <v>0</v>
      </c>
    </row>
    <row r="36" spans="1:27" x14ac:dyDescent="0.35">
      <c r="A36" s="24">
        <v>22</v>
      </c>
      <c r="B36" s="513" t="str">
        <f>IF('As-Filed Schedule 2J'!B36:D36=0,"",'As-Filed Schedule 2J'!B36:D36)</f>
        <v/>
      </c>
      <c r="C36" s="513"/>
      <c r="D36" s="513"/>
      <c r="F36" s="117">
        <f>'As-Filed Schedule 2J'!F36</f>
        <v>0</v>
      </c>
      <c r="G36" s="314">
        <f>SUMIFS(Adjustments!$G:$G,Adjustments!$H:$H,"2J",Adjustments!$I:$I,'Schedule 2J Adjustments'!$F$12,Adjustments!$J:$J,'Schedule 2J Adjustments'!$A36)</f>
        <v>0</v>
      </c>
      <c r="H36" s="310">
        <f t="shared" si="0"/>
        <v>0</v>
      </c>
      <c r="I36" s="68">
        <f>IFERROR(F36*'As-Filed Schedule 1'!$E$103,0)</f>
        <v>0</v>
      </c>
      <c r="J36" s="311">
        <f>IFERROR(H36*'Adjusted Schedule 1'!$E$104,0)</f>
        <v>0</v>
      </c>
      <c r="K36" s="68">
        <f t="shared" si="1"/>
        <v>0</v>
      </c>
      <c r="L36" s="311">
        <f t="shared" si="2"/>
        <v>0</v>
      </c>
      <c r="N36" s="117">
        <f>'As-Filed Schedule 2J'!J36</f>
        <v>0</v>
      </c>
      <c r="O36" s="314">
        <f>SUMIFS(Adjustments!$G:$G,Adjustments!$H:$H,"2J",Adjustments!$I:$I,'Schedule 2J Adjustments'!$N$12,Adjustments!$J:$J,'Schedule 2J Adjustments'!$A36)</f>
        <v>0</v>
      </c>
      <c r="P36" s="310">
        <f t="shared" si="3"/>
        <v>0</v>
      </c>
      <c r="Q36" s="68">
        <f>IFERROR(N36*'As-Filed Schedule 1'!$E$103,0)</f>
        <v>0</v>
      </c>
      <c r="R36" s="68">
        <f>IFERROR(P36*'Adjusted Schedule 1'!$E$104,0)</f>
        <v>0</v>
      </c>
      <c r="S36" s="68">
        <f t="shared" si="4"/>
        <v>0</v>
      </c>
      <c r="T36" s="311">
        <f t="shared" si="5"/>
        <v>0</v>
      </c>
      <c r="V36" s="120">
        <f>'As-Filed Schedule 2J'!N36</f>
        <v>0</v>
      </c>
      <c r="W36" s="314">
        <f>SUMIFS(Adjustments!$G:$G,Adjustments!$H:$H,"2J",Adjustments!$I:$I,'Schedule 2J Adjustments'!$V$12,Adjustments!$J:$J,'Schedule 2J Adjustments'!$A36)</f>
        <v>0</v>
      </c>
      <c r="X36" s="310">
        <f t="shared" si="6"/>
        <v>0</v>
      </c>
      <c r="Y36" s="120">
        <f>'As-Filed Schedule 2J'!O36</f>
        <v>0</v>
      </c>
      <c r="Z36" s="314">
        <f>SUMIFS(Adjustments!$G:$G,Adjustments!$H:$H,"2J",Adjustments!$I:$I,'Schedule 2J Adjustments'!$Y$12,Adjustments!$J:$J,'Schedule 2J Adjustments'!$A36)</f>
        <v>0</v>
      </c>
      <c r="AA36" s="310">
        <f t="shared" si="7"/>
        <v>0</v>
      </c>
    </row>
    <row r="37" spans="1:27" x14ac:dyDescent="0.35">
      <c r="A37" s="24">
        <v>23</v>
      </c>
      <c r="B37" s="513" t="str">
        <f>IF('As-Filed Schedule 2J'!B37:D37=0,"",'As-Filed Schedule 2J'!B37:D37)</f>
        <v/>
      </c>
      <c r="C37" s="513"/>
      <c r="D37" s="513"/>
      <c r="F37" s="117">
        <f>'As-Filed Schedule 2J'!F37</f>
        <v>0</v>
      </c>
      <c r="G37" s="314">
        <f>SUMIFS(Adjustments!$G:$G,Adjustments!$H:$H,"2J",Adjustments!$I:$I,'Schedule 2J Adjustments'!$F$12,Adjustments!$J:$J,'Schedule 2J Adjustments'!$A37)</f>
        <v>0</v>
      </c>
      <c r="H37" s="310">
        <f t="shared" si="0"/>
        <v>0</v>
      </c>
      <c r="I37" s="68">
        <f>IFERROR(F37*'As-Filed Schedule 1'!$E$103,0)</f>
        <v>0</v>
      </c>
      <c r="J37" s="311">
        <f>IFERROR(H37*'Adjusted Schedule 1'!$E$104,0)</f>
        <v>0</v>
      </c>
      <c r="K37" s="68">
        <f t="shared" si="1"/>
        <v>0</v>
      </c>
      <c r="L37" s="311">
        <f t="shared" si="2"/>
        <v>0</v>
      </c>
      <c r="N37" s="117">
        <f>'As-Filed Schedule 2J'!J37</f>
        <v>0</v>
      </c>
      <c r="O37" s="314">
        <f>SUMIFS(Adjustments!$G:$G,Adjustments!$H:$H,"2J",Adjustments!$I:$I,'Schedule 2J Adjustments'!$N$12,Adjustments!$J:$J,'Schedule 2J Adjustments'!$A37)</f>
        <v>0</v>
      </c>
      <c r="P37" s="310">
        <f t="shared" si="3"/>
        <v>0</v>
      </c>
      <c r="Q37" s="68">
        <f>IFERROR(N37*'As-Filed Schedule 1'!$E$103,0)</f>
        <v>0</v>
      </c>
      <c r="R37" s="68">
        <f>IFERROR(P37*'Adjusted Schedule 1'!$E$104,0)</f>
        <v>0</v>
      </c>
      <c r="S37" s="68">
        <f t="shared" si="4"/>
        <v>0</v>
      </c>
      <c r="T37" s="311">
        <f t="shared" si="5"/>
        <v>0</v>
      </c>
      <c r="V37" s="120">
        <f>'As-Filed Schedule 2J'!N37</f>
        <v>0</v>
      </c>
      <c r="W37" s="314">
        <f>SUMIFS(Adjustments!$G:$G,Adjustments!$H:$H,"2J",Adjustments!$I:$I,'Schedule 2J Adjustments'!$V$12,Adjustments!$J:$J,'Schedule 2J Adjustments'!$A37)</f>
        <v>0</v>
      </c>
      <c r="X37" s="310">
        <f t="shared" si="6"/>
        <v>0</v>
      </c>
      <c r="Y37" s="120">
        <f>'As-Filed Schedule 2J'!O37</f>
        <v>0</v>
      </c>
      <c r="Z37" s="314">
        <f>SUMIFS(Adjustments!$G:$G,Adjustments!$H:$H,"2J",Adjustments!$I:$I,'Schedule 2J Adjustments'!$Y$12,Adjustments!$J:$J,'Schedule 2J Adjustments'!$A37)</f>
        <v>0</v>
      </c>
      <c r="AA37" s="310">
        <f t="shared" si="7"/>
        <v>0</v>
      </c>
    </row>
    <row r="38" spans="1:27" x14ac:dyDescent="0.35">
      <c r="A38" s="24">
        <v>24</v>
      </c>
      <c r="B38" s="513" t="str">
        <f>IF('As-Filed Schedule 2J'!B38:D38=0,"",'As-Filed Schedule 2J'!B38:D38)</f>
        <v/>
      </c>
      <c r="C38" s="513"/>
      <c r="D38" s="513"/>
      <c r="F38" s="117">
        <f>'As-Filed Schedule 2J'!F38</f>
        <v>0</v>
      </c>
      <c r="G38" s="314">
        <f>SUMIFS(Adjustments!$G:$G,Adjustments!$H:$H,"2J",Adjustments!$I:$I,'Schedule 2J Adjustments'!$F$12,Adjustments!$J:$J,'Schedule 2J Adjustments'!$A38)</f>
        <v>0</v>
      </c>
      <c r="H38" s="310">
        <f t="shared" si="0"/>
        <v>0</v>
      </c>
      <c r="I38" s="68">
        <f>IFERROR(F38*'As-Filed Schedule 1'!$E$103,0)</f>
        <v>0</v>
      </c>
      <c r="J38" s="311">
        <f>IFERROR(H38*'Adjusted Schedule 1'!$E$104,0)</f>
        <v>0</v>
      </c>
      <c r="K38" s="68">
        <f t="shared" si="1"/>
        <v>0</v>
      </c>
      <c r="L38" s="311">
        <f t="shared" si="2"/>
        <v>0</v>
      </c>
      <c r="N38" s="117">
        <f>'As-Filed Schedule 2J'!J38</f>
        <v>0</v>
      </c>
      <c r="O38" s="314">
        <f>SUMIFS(Adjustments!$G:$G,Adjustments!$H:$H,"2J",Adjustments!$I:$I,'Schedule 2J Adjustments'!$N$12,Adjustments!$J:$J,'Schedule 2J Adjustments'!$A38)</f>
        <v>0</v>
      </c>
      <c r="P38" s="310">
        <f t="shared" si="3"/>
        <v>0</v>
      </c>
      <c r="Q38" s="68">
        <f>IFERROR(N38*'As-Filed Schedule 1'!$E$103,0)</f>
        <v>0</v>
      </c>
      <c r="R38" s="68">
        <f>IFERROR(P38*'Adjusted Schedule 1'!$E$104,0)</f>
        <v>0</v>
      </c>
      <c r="S38" s="68">
        <f t="shared" si="4"/>
        <v>0</v>
      </c>
      <c r="T38" s="311">
        <f t="shared" si="5"/>
        <v>0</v>
      </c>
      <c r="V38" s="120">
        <f>'As-Filed Schedule 2J'!N38</f>
        <v>0</v>
      </c>
      <c r="W38" s="314">
        <f>SUMIFS(Adjustments!$G:$G,Adjustments!$H:$H,"2J",Adjustments!$I:$I,'Schedule 2J Adjustments'!$V$12,Adjustments!$J:$J,'Schedule 2J Adjustments'!$A38)</f>
        <v>0</v>
      </c>
      <c r="X38" s="310">
        <f t="shared" si="6"/>
        <v>0</v>
      </c>
      <c r="Y38" s="120">
        <f>'As-Filed Schedule 2J'!O38</f>
        <v>0</v>
      </c>
      <c r="Z38" s="314">
        <f>SUMIFS(Adjustments!$G:$G,Adjustments!$H:$H,"2J",Adjustments!$I:$I,'Schedule 2J Adjustments'!$Y$12,Adjustments!$J:$J,'Schedule 2J Adjustments'!$A38)</f>
        <v>0</v>
      </c>
      <c r="AA38" s="310">
        <f t="shared" si="7"/>
        <v>0</v>
      </c>
    </row>
    <row r="39" spans="1:27" x14ac:dyDescent="0.35">
      <c r="A39" s="24">
        <v>25</v>
      </c>
      <c r="B39" s="513" t="str">
        <f>IF('As-Filed Schedule 2J'!B39:D39=0,"",'As-Filed Schedule 2J'!B39:D39)</f>
        <v/>
      </c>
      <c r="C39" s="513"/>
      <c r="D39" s="513"/>
      <c r="F39" s="117">
        <f>'As-Filed Schedule 2J'!F39</f>
        <v>0</v>
      </c>
      <c r="G39" s="314">
        <f>SUMIFS(Adjustments!$G:$G,Adjustments!$H:$H,"2J",Adjustments!$I:$I,'Schedule 2J Adjustments'!$F$12,Adjustments!$J:$J,'Schedule 2J Adjustments'!$A39)</f>
        <v>0</v>
      </c>
      <c r="H39" s="310">
        <f t="shared" si="0"/>
        <v>0</v>
      </c>
      <c r="I39" s="68">
        <f>IFERROR(F39*'As-Filed Schedule 1'!$E$103,0)</f>
        <v>0</v>
      </c>
      <c r="J39" s="311">
        <f>IFERROR(H39*'Adjusted Schedule 1'!$E$104,0)</f>
        <v>0</v>
      </c>
      <c r="K39" s="68">
        <f t="shared" si="1"/>
        <v>0</v>
      </c>
      <c r="L39" s="311">
        <f t="shared" si="2"/>
        <v>0</v>
      </c>
      <c r="N39" s="117">
        <f>'As-Filed Schedule 2J'!J39</f>
        <v>0</v>
      </c>
      <c r="O39" s="314">
        <f>SUMIFS(Adjustments!$G:$G,Adjustments!$H:$H,"2J",Adjustments!$I:$I,'Schedule 2J Adjustments'!$N$12,Adjustments!$J:$J,'Schedule 2J Adjustments'!$A39)</f>
        <v>0</v>
      </c>
      <c r="P39" s="310">
        <f t="shared" si="3"/>
        <v>0</v>
      </c>
      <c r="Q39" s="68">
        <f>IFERROR(N39*'As-Filed Schedule 1'!$E$103,0)</f>
        <v>0</v>
      </c>
      <c r="R39" s="68">
        <f>IFERROR(P39*'Adjusted Schedule 1'!$E$104,0)</f>
        <v>0</v>
      </c>
      <c r="S39" s="68">
        <f t="shared" si="4"/>
        <v>0</v>
      </c>
      <c r="T39" s="311">
        <f t="shared" si="5"/>
        <v>0</v>
      </c>
      <c r="V39" s="120">
        <f>'As-Filed Schedule 2J'!N39</f>
        <v>0</v>
      </c>
      <c r="W39" s="314">
        <f>SUMIFS(Adjustments!$G:$G,Adjustments!$H:$H,"2J",Adjustments!$I:$I,'Schedule 2J Adjustments'!$V$12,Adjustments!$J:$J,'Schedule 2J Adjustments'!$A39)</f>
        <v>0</v>
      </c>
      <c r="X39" s="310">
        <f t="shared" si="6"/>
        <v>0</v>
      </c>
      <c r="Y39" s="120">
        <f>'As-Filed Schedule 2J'!O39</f>
        <v>0</v>
      </c>
      <c r="Z39" s="314">
        <f>SUMIFS(Adjustments!$G:$G,Adjustments!$H:$H,"2J",Adjustments!$I:$I,'Schedule 2J Adjustments'!$Y$12,Adjustments!$J:$J,'Schedule 2J Adjustments'!$A39)</f>
        <v>0</v>
      </c>
      <c r="AA39" s="310">
        <f t="shared" si="7"/>
        <v>0</v>
      </c>
    </row>
    <row r="40" spans="1:27" x14ac:dyDescent="0.35">
      <c r="A40" s="24">
        <v>26</v>
      </c>
      <c r="B40" s="513" t="str">
        <f>IF('As-Filed Schedule 2J'!B40:D40=0,"",'As-Filed Schedule 2J'!B40:D40)</f>
        <v/>
      </c>
      <c r="C40" s="513"/>
      <c r="D40" s="513"/>
      <c r="F40" s="117">
        <f>'As-Filed Schedule 2J'!F40</f>
        <v>0</v>
      </c>
      <c r="G40" s="314">
        <f>SUMIFS(Adjustments!$G:$G,Adjustments!$H:$H,"2J",Adjustments!$I:$I,'Schedule 2J Adjustments'!$F$12,Adjustments!$J:$J,'Schedule 2J Adjustments'!$A40)</f>
        <v>0</v>
      </c>
      <c r="H40" s="310">
        <f t="shared" si="0"/>
        <v>0</v>
      </c>
      <c r="I40" s="68">
        <f>IFERROR(F40*'As-Filed Schedule 1'!$E$103,0)</f>
        <v>0</v>
      </c>
      <c r="J40" s="311">
        <f>IFERROR(H40*'Adjusted Schedule 1'!$E$104,0)</f>
        <v>0</v>
      </c>
      <c r="K40" s="68">
        <f t="shared" si="1"/>
        <v>0</v>
      </c>
      <c r="L40" s="311">
        <f t="shared" si="2"/>
        <v>0</v>
      </c>
      <c r="N40" s="117">
        <f>'As-Filed Schedule 2J'!J40</f>
        <v>0</v>
      </c>
      <c r="O40" s="314">
        <f>SUMIFS(Adjustments!$G:$G,Adjustments!$H:$H,"2J",Adjustments!$I:$I,'Schedule 2J Adjustments'!$N$12,Adjustments!$J:$J,'Schedule 2J Adjustments'!$A40)</f>
        <v>0</v>
      </c>
      <c r="P40" s="310">
        <f t="shared" si="3"/>
        <v>0</v>
      </c>
      <c r="Q40" s="68">
        <f>IFERROR(N40*'As-Filed Schedule 1'!$E$103,0)</f>
        <v>0</v>
      </c>
      <c r="R40" s="68">
        <f>IFERROR(P40*'Adjusted Schedule 1'!$E$104,0)</f>
        <v>0</v>
      </c>
      <c r="S40" s="68">
        <f t="shared" si="4"/>
        <v>0</v>
      </c>
      <c r="T40" s="311">
        <f t="shared" si="5"/>
        <v>0</v>
      </c>
      <c r="V40" s="120">
        <f>'As-Filed Schedule 2J'!N40</f>
        <v>0</v>
      </c>
      <c r="W40" s="314">
        <f>SUMIFS(Adjustments!$G:$G,Adjustments!$H:$H,"2J",Adjustments!$I:$I,'Schedule 2J Adjustments'!$V$12,Adjustments!$J:$J,'Schedule 2J Adjustments'!$A40)</f>
        <v>0</v>
      </c>
      <c r="X40" s="310">
        <f t="shared" si="6"/>
        <v>0</v>
      </c>
      <c r="Y40" s="120">
        <f>'As-Filed Schedule 2J'!O40</f>
        <v>0</v>
      </c>
      <c r="Z40" s="314">
        <f>SUMIFS(Adjustments!$G:$G,Adjustments!$H:$H,"2J",Adjustments!$I:$I,'Schedule 2J Adjustments'!$Y$12,Adjustments!$J:$J,'Schedule 2J Adjustments'!$A40)</f>
        <v>0</v>
      </c>
      <c r="AA40" s="310">
        <f t="shared" si="7"/>
        <v>0</v>
      </c>
    </row>
    <row r="41" spans="1:27" x14ac:dyDescent="0.35">
      <c r="A41" s="24">
        <v>27</v>
      </c>
      <c r="B41" s="513" t="str">
        <f>IF('As-Filed Schedule 2J'!B41:D41=0,"",'As-Filed Schedule 2J'!B41:D41)</f>
        <v/>
      </c>
      <c r="C41" s="513"/>
      <c r="D41" s="513"/>
      <c r="F41" s="117">
        <f>'As-Filed Schedule 2J'!F41</f>
        <v>0</v>
      </c>
      <c r="G41" s="314">
        <f>SUMIFS(Adjustments!$G:$G,Adjustments!$H:$H,"2J",Adjustments!$I:$I,'Schedule 2J Adjustments'!$F$12,Adjustments!$J:$J,'Schedule 2J Adjustments'!$A41)</f>
        <v>0</v>
      </c>
      <c r="H41" s="310">
        <f t="shared" si="0"/>
        <v>0</v>
      </c>
      <c r="I41" s="68">
        <f>IFERROR(F41*'As-Filed Schedule 1'!$E$103,0)</f>
        <v>0</v>
      </c>
      <c r="J41" s="311">
        <f>IFERROR(H41*'Adjusted Schedule 1'!$E$104,0)</f>
        <v>0</v>
      </c>
      <c r="K41" s="68">
        <f t="shared" si="1"/>
        <v>0</v>
      </c>
      <c r="L41" s="311">
        <f t="shared" si="2"/>
        <v>0</v>
      </c>
      <c r="N41" s="117">
        <f>'As-Filed Schedule 2J'!J41</f>
        <v>0</v>
      </c>
      <c r="O41" s="314">
        <f>SUMIFS(Adjustments!$G:$G,Adjustments!$H:$H,"2J",Adjustments!$I:$I,'Schedule 2J Adjustments'!$N$12,Adjustments!$J:$J,'Schedule 2J Adjustments'!$A41)</f>
        <v>0</v>
      </c>
      <c r="P41" s="310">
        <f t="shared" si="3"/>
        <v>0</v>
      </c>
      <c r="Q41" s="68">
        <f>IFERROR(N41*'As-Filed Schedule 1'!$E$103,0)</f>
        <v>0</v>
      </c>
      <c r="R41" s="68">
        <f>IFERROR(P41*'Adjusted Schedule 1'!$E$104,0)</f>
        <v>0</v>
      </c>
      <c r="S41" s="68">
        <f t="shared" si="4"/>
        <v>0</v>
      </c>
      <c r="T41" s="311">
        <f t="shared" si="5"/>
        <v>0</v>
      </c>
      <c r="V41" s="120">
        <f>'As-Filed Schedule 2J'!N41</f>
        <v>0</v>
      </c>
      <c r="W41" s="314">
        <f>SUMIFS(Adjustments!$G:$G,Adjustments!$H:$H,"2J",Adjustments!$I:$I,'Schedule 2J Adjustments'!$V$12,Adjustments!$J:$J,'Schedule 2J Adjustments'!$A41)</f>
        <v>0</v>
      </c>
      <c r="X41" s="310">
        <f t="shared" si="6"/>
        <v>0</v>
      </c>
      <c r="Y41" s="120">
        <f>'As-Filed Schedule 2J'!O41</f>
        <v>0</v>
      </c>
      <c r="Z41" s="314">
        <f>SUMIFS(Adjustments!$G:$G,Adjustments!$H:$H,"2J",Adjustments!$I:$I,'Schedule 2J Adjustments'!$Y$12,Adjustments!$J:$J,'Schedule 2J Adjustments'!$A41)</f>
        <v>0</v>
      </c>
      <c r="AA41" s="310">
        <f t="shared" si="7"/>
        <v>0</v>
      </c>
    </row>
    <row r="42" spans="1:27" x14ac:dyDescent="0.35">
      <c r="A42" s="24">
        <v>28</v>
      </c>
      <c r="B42" s="513" t="str">
        <f>IF('As-Filed Schedule 2J'!B42:D42=0,"",'As-Filed Schedule 2J'!B42:D42)</f>
        <v/>
      </c>
      <c r="C42" s="513"/>
      <c r="D42" s="513"/>
      <c r="F42" s="117">
        <f>'As-Filed Schedule 2J'!F42</f>
        <v>0</v>
      </c>
      <c r="G42" s="314">
        <f>SUMIFS(Adjustments!$G:$G,Adjustments!$H:$H,"2J",Adjustments!$I:$I,'Schedule 2J Adjustments'!$F$12,Adjustments!$J:$J,'Schedule 2J Adjustments'!$A42)</f>
        <v>0</v>
      </c>
      <c r="H42" s="310">
        <f t="shared" si="0"/>
        <v>0</v>
      </c>
      <c r="I42" s="68">
        <f>IFERROR(F42*'As-Filed Schedule 1'!$E$103,0)</f>
        <v>0</v>
      </c>
      <c r="J42" s="311">
        <f>IFERROR(H42*'Adjusted Schedule 1'!$E$104,0)</f>
        <v>0</v>
      </c>
      <c r="K42" s="68">
        <f t="shared" si="1"/>
        <v>0</v>
      </c>
      <c r="L42" s="311">
        <f t="shared" si="2"/>
        <v>0</v>
      </c>
      <c r="N42" s="117">
        <f>'As-Filed Schedule 2J'!J42</f>
        <v>0</v>
      </c>
      <c r="O42" s="314">
        <f>SUMIFS(Adjustments!$G:$G,Adjustments!$H:$H,"2J",Adjustments!$I:$I,'Schedule 2J Adjustments'!$N$12,Adjustments!$J:$J,'Schedule 2J Adjustments'!$A42)</f>
        <v>0</v>
      </c>
      <c r="P42" s="310">
        <f t="shared" si="3"/>
        <v>0</v>
      </c>
      <c r="Q42" s="68">
        <f>IFERROR(N42*'As-Filed Schedule 1'!$E$103,0)</f>
        <v>0</v>
      </c>
      <c r="R42" s="68">
        <f>IFERROR(P42*'Adjusted Schedule 1'!$E$104,0)</f>
        <v>0</v>
      </c>
      <c r="S42" s="68">
        <f t="shared" si="4"/>
        <v>0</v>
      </c>
      <c r="T42" s="311">
        <f t="shared" si="5"/>
        <v>0</v>
      </c>
      <c r="V42" s="120">
        <f>'As-Filed Schedule 2J'!N42</f>
        <v>0</v>
      </c>
      <c r="W42" s="314">
        <f>SUMIFS(Adjustments!$G:$G,Adjustments!$H:$H,"2J",Adjustments!$I:$I,'Schedule 2J Adjustments'!$V$12,Adjustments!$J:$J,'Schedule 2J Adjustments'!$A42)</f>
        <v>0</v>
      </c>
      <c r="X42" s="310">
        <f t="shared" si="6"/>
        <v>0</v>
      </c>
      <c r="Y42" s="120">
        <f>'As-Filed Schedule 2J'!O42</f>
        <v>0</v>
      </c>
      <c r="Z42" s="314">
        <f>SUMIFS(Adjustments!$G:$G,Adjustments!$H:$H,"2J",Adjustments!$I:$I,'Schedule 2J Adjustments'!$Y$12,Adjustments!$J:$J,'Schedule 2J Adjustments'!$A42)</f>
        <v>0</v>
      </c>
      <c r="AA42" s="310">
        <f t="shared" si="7"/>
        <v>0</v>
      </c>
    </row>
    <row r="43" spans="1:27" x14ac:dyDescent="0.35">
      <c r="A43" s="24">
        <v>29</v>
      </c>
      <c r="B43" s="513" t="str">
        <f>IF('As-Filed Schedule 2J'!B43:D43=0,"",'As-Filed Schedule 2J'!B43:D43)</f>
        <v/>
      </c>
      <c r="C43" s="513"/>
      <c r="D43" s="513"/>
      <c r="F43" s="117">
        <f>'As-Filed Schedule 2J'!F43</f>
        <v>0</v>
      </c>
      <c r="G43" s="314">
        <f>SUMIFS(Adjustments!$G:$G,Adjustments!$H:$H,"2J",Adjustments!$I:$I,'Schedule 2J Adjustments'!$F$12,Adjustments!$J:$J,'Schedule 2J Adjustments'!$A43)</f>
        <v>0</v>
      </c>
      <c r="H43" s="310">
        <f t="shared" si="0"/>
        <v>0</v>
      </c>
      <c r="I43" s="68">
        <f>IFERROR(F43*'As-Filed Schedule 1'!$E$103,0)</f>
        <v>0</v>
      </c>
      <c r="J43" s="311">
        <f>IFERROR(H43*'Adjusted Schedule 1'!$E$104,0)</f>
        <v>0</v>
      </c>
      <c r="K43" s="68">
        <f t="shared" si="1"/>
        <v>0</v>
      </c>
      <c r="L43" s="311">
        <f t="shared" si="2"/>
        <v>0</v>
      </c>
      <c r="N43" s="117">
        <f>'As-Filed Schedule 2J'!J43</f>
        <v>0</v>
      </c>
      <c r="O43" s="314">
        <f>SUMIFS(Adjustments!$G:$G,Adjustments!$H:$H,"2J",Adjustments!$I:$I,'Schedule 2J Adjustments'!$N$12,Adjustments!$J:$J,'Schedule 2J Adjustments'!$A43)</f>
        <v>0</v>
      </c>
      <c r="P43" s="310">
        <f t="shared" si="3"/>
        <v>0</v>
      </c>
      <c r="Q43" s="68">
        <f>IFERROR(N43*'As-Filed Schedule 1'!$E$103,0)</f>
        <v>0</v>
      </c>
      <c r="R43" s="68">
        <f>IFERROR(P43*'Adjusted Schedule 1'!$E$104,0)</f>
        <v>0</v>
      </c>
      <c r="S43" s="68">
        <f t="shared" si="4"/>
        <v>0</v>
      </c>
      <c r="T43" s="311">
        <f t="shared" si="5"/>
        <v>0</v>
      </c>
      <c r="V43" s="120">
        <f>'As-Filed Schedule 2J'!N43</f>
        <v>0</v>
      </c>
      <c r="W43" s="314">
        <f>SUMIFS(Adjustments!$G:$G,Adjustments!$H:$H,"2J",Adjustments!$I:$I,'Schedule 2J Adjustments'!$V$12,Adjustments!$J:$J,'Schedule 2J Adjustments'!$A43)</f>
        <v>0</v>
      </c>
      <c r="X43" s="310">
        <f t="shared" si="6"/>
        <v>0</v>
      </c>
      <c r="Y43" s="120">
        <f>'As-Filed Schedule 2J'!O43</f>
        <v>0</v>
      </c>
      <c r="Z43" s="314">
        <f>SUMIFS(Adjustments!$G:$G,Adjustments!$H:$H,"2J",Adjustments!$I:$I,'Schedule 2J Adjustments'!$Y$12,Adjustments!$J:$J,'Schedule 2J Adjustments'!$A43)</f>
        <v>0</v>
      </c>
      <c r="AA43" s="310">
        <f t="shared" si="7"/>
        <v>0</v>
      </c>
    </row>
    <row r="44" spans="1:27" x14ac:dyDescent="0.35">
      <c r="A44" s="24">
        <v>30</v>
      </c>
      <c r="B44" s="513" t="str">
        <f>IF('As-Filed Schedule 2J'!B44:D44=0,"",'As-Filed Schedule 2J'!B44:D44)</f>
        <v/>
      </c>
      <c r="C44" s="513"/>
      <c r="D44" s="513"/>
      <c r="F44" s="117">
        <f>'As-Filed Schedule 2J'!F44</f>
        <v>0</v>
      </c>
      <c r="G44" s="314">
        <f>SUMIFS(Adjustments!$G:$G,Adjustments!$H:$H,"2J",Adjustments!$I:$I,'Schedule 2J Adjustments'!$F$12,Adjustments!$J:$J,'Schedule 2J Adjustments'!$A44)</f>
        <v>0</v>
      </c>
      <c r="H44" s="310">
        <f t="shared" si="0"/>
        <v>0</v>
      </c>
      <c r="I44" s="68">
        <f>IFERROR(F44*'As-Filed Schedule 1'!$E$103,0)</f>
        <v>0</v>
      </c>
      <c r="J44" s="311">
        <f>IFERROR(H44*'Adjusted Schedule 1'!$E$104,0)</f>
        <v>0</v>
      </c>
      <c r="K44" s="68">
        <f t="shared" si="1"/>
        <v>0</v>
      </c>
      <c r="L44" s="311">
        <f t="shared" si="2"/>
        <v>0</v>
      </c>
      <c r="N44" s="117">
        <f>'As-Filed Schedule 2J'!J44</f>
        <v>0</v>
      </c>
      <c r="O44" s="314">
        <f>SUMIFS(Adjustments!$G:$G,Adjustments!$H:$H,"2J",Adjustments!$I:$I,'Schedule 2J Adjustments'!$N$12,Adjustments!$J:$J,'Schedule 2J Adjustments'!$A44)</f>
        <v>0</v>
      </c>
      <c r="P44" s="310">
        <f t="shared" si="3"/>
        <v>0</v>
      </c>
      <c r="Q44" s="68">
        <f>IFERROR(N44*'As-Filed Schedule 1'!$E$103,0)</f>
        <v>0</v>
      </c>
      <c r="R44" s="68">
        <f>IFERROR(P44*'Adjusted Schedule 1'!$E$104,0)</f>
        <v>0</v>
      </c>
      <c r="S44" s="68">
        <f t="shared" si="4"/>
        <v>0</v>
      </c>
      <c r="T44" s="311">
        <f t="shared" si="5"/>
        <v>0</v>
      </c>
      <c r="V44" s="120">
        <f>'As-Filed Schedule 2J'!N44</f>
        <v>0</v>
      </c>
      <c r="W44" s="314">
        <f>SUMIFS(Adjustments!$G:$G,Adjustments!$H:$H,"2J",Adjustments!$I:$I,'Schedule 2J Adjustments'!$V$12,Adjustments!$J:$J,'Schedule 2J Adjustments'!$A44)</f>
        <v>0</v>
      </c>
      <c r="X44" s="310">
        <f t="shared" si="6"/>
        <v>0</v>
      </c>
      <c r="Y44" s="120">
        <f>'As-Filed Schedule 2J'!O44</f>
        <v>0</v>
      </c>
      <c r="Z44" s="314">
        <f>SUMIFS(Adjustments!$G:$G,Adjustments!$H:$H,"2J",Adjustments!$I:$I,'Schedule 2J Adjustments'!$Y$12,Adjustments!$J:$J,'Schedule 2J Adjustments'!$A44)</f>
        <v>0</v>
      </c>
      <c r="AA44" s="310">
        <f t="shared" si="7"/>
        <v>0</v>
      </c>
    </row>
    <row r="45" spans="1:27" x14ac:dyDescent="0.35">
      <c r="A45" s="24">
        <v>31</v>
      </c>
      <c r="B45" s="513" t="str">
        <f>IF('As-Filed Schedule 2J'!B45:D45=0,"",'As-Filed Schedule 2J'!B45:D45)</f>
        <v/>
      </c>
      <c r="C45" s="513"/>
      <c r="D45" s="513"/>
      <c r="F45" s="117">
        <f>'As-Filed Schedule 2J'!F45</f>
        <v>0</v>
      </c>
      <c r="G45" s="314">
        <f>SUMIFS(Adjustments!$G:$G,Adjustments!$H:$H,"2J",Adjustments!$I:$I,'Schedule 2J Adjustments'!$F$12,Adjustments!$J:$J,'Schedule 2J Adjustments'!$A45)</f>
        <v>0</v>
      </c>
      <c r="H45" s="310">
        <f t="shared" si="0"/>
        <v>0</v>
      </c>
      <c r="I45" s="68">
        <f>IFERROR(F45*'As-Filed Schedule 1'!$E$103,0)</f>
        <v>0</v>
      </c>
      <c r="J45" s="311">
        <f>IFERROR(H45*'Adjusted Schedule 1'!$E$104,0)</f>
        <v>0</v>
      </c>
      <c r="K45" s="68">
        <f t="shared" si="1"/>
        <v>0</v>
      </c>
      <c r="L45" s="311">
        <f t="shared" si="2"/>
        <v>0</v>
      </c>
      <c r="N45" s="117">
        <f>'As-Filed Schedule 2J'!J45</f>
        <v>0</v>
      </c>
      <c r="O45" s="314">
        <f>SUMIFS(Adjustments!$G:$G,Adjustments!$H:$H,"2J",Adjustments!$I:$I,'Schedule 2J Adjustments'!$N$12,Adjustments!$J:$J,'Schedule 2J Adjustments'!$A45)</f>
        <v>0</v>
      </c>
      <c r="P45" s="310">
        <f t="shared" si="3"/>
        <v>0</v>
      </c>
      <c r="Q45" s="68">
        <f>IFERROR(N45*'As-Filed Schedule 1'!$E$103,0)</f>
        <v>0</v>
      </c>
      <c r="R45" s="68">
        <f>IFERROR(P45*'Adjusted Schedule 1'!$E$104,0)</f>
        <v>0</v>
      </c>
      <c r="S45" s="68">
        <f t="shared" si="4"/>
        <v>0</v>
      </c>
      <c r="T45" s="311">
        <f t="shared" si="5"/>
        <v>0</v>
      </c>
      <c r="V45" s="120">
        <f>'As-Filed Schedule 2J'!N45</f>
        <v>0</v>
      </c>
      <c r="W45" s="314">
        <f>SUMIFS(Adjustments!$G:$G,Adjustments!$H:$H,"2J",Adjustments!$I:$I,'Schedule 2J Adjustments'!$V$12,Adjustments!$J:$J,'Schedule 2J Adjustments'!$A45)</f>
        <v>0</v>
      </c>
      <c r="X45" s="310">
        <f t="shared" si="6"/>
        <v>0</v>
      </c>
      <c r="Y45" s="120">
        <f>'As-Filed Schedule 2J'!O45</f>
        <v>0</v>
      </c>
      <c r="Z45" s="314">
        <f>SUMIFS(Adjustments!$G:$G,Adjustments!$H:$H,"2J",Adjustments!$I:$I,'Schedule 2J Adjustments'!$Y$12,Adjustments!$J:$J,'Schedule 2J Adjustments'!$A45)</f>
        <v>0</v>
      </c>
      <c r="AA45" s="310">
        <f t="shared" si="7"/>
        <v>0</v>
      </c>
    </row>
    <row r="46" spans="1:27" x14ac:dyDescent="0.35">
      <c r="A46" s="24">
        <v>32</v>
      </c>
      <c r="B46" s="513" t="str">
        <f>IF('As-Filed Schedule 2J'!B46:D46=0,"",'As-Filed Schedule 2J'!B46:D46)</f>
        <v/>
      </c>
      <c r="C46" s="513"/>
      <c r="D46" s="513"/>
      <c r="F46" s="117">
        <f>'As-Filed Schedule 2J'!F46</f>
        <v>0</v>
      </c>
      <c r="G46" s="314">
        <f>SUMIFS(Adjustments!$G:$G,Adjustments!$H:$H,"2J",Adjustments!$I:$I,'Schedule 2J Adjustments'!$F$12,Adjustments!$J:$J,'Schedule 2J Adjustments'!$A46)</f>
        <v>0</v>
      </c>
      <c r="H46" s="310">
        <f t="shared" si="0"/>
        <v>0</v>
      </c>
      <c r="I46" s="68">
        <f>IFERROR(F46*'As-Filed Schedule 1'!$E$103,0)</f>
        <v>0</v>
      </c>
      <c r="J46" s="311">
        <f>IFERROR(H46*'Adjusted Schedule 1'!$E$104,0)</f>
        <v>0</v>
      </c>
      <c r="K46" s="68">
        <f t="shared" si="1"/>
        <v>0</v>
      </c>
      <c r="L46" s="311">
        <f t="shared" si="2"/>
        <v>0</v>
      </c>
      <c r="N46" s="117">
        <f>'As-Filed Schedule 2J'!J46</f>
        <v>0</v>
      </c>
      <c r="O46" s="314">
        <f>SUMIFS(Adjustments!$G:$G,Adjustments!$H:$H,"2J",Adjustments!$I:$I,'Schedule 2J Adjustments'!$N$12,Adjustments!$J:$J,'Schedule 2J Adjustments'!$A46)</f>
        <v>0</v>
      </c>
      <c r="P46" s="310">
        <f t="shared" si="3"/>
        <v>0</v>
      </c>
      <c r="Q46" s="68">
        <f>IFERROR(N46*'As-Filed Schedule 1'!$E$103,0)</f>
        <v>0</v>
      </c>
      <c r="R46" s="68">
        <f>IFERROR(P46*'Adjusted Schedule 1'!$E$104,0)</f>
        <v>0</v>
      </c>
      <c r="S46" s="68">
        <f t="shared" si="4"/>
        <v>0</v>
      </c>
      <c r="T46" s="311">
        <f t="shared" si="5"/>
        <v>0</v>
      </c>
      <c r="V46" s="120">
        <f>'As-Filed Schedule 2J'!N46</f>
        <v>0</v>
      </c>
      <c r="W46" s="314">
        <f>SUMIFS(Adjustments!$G:$G,Adjustments!$H:$H,"2J",Adjustments!$I:$I,'Schedule 2J Adjustments'!$V$12,Adjustments!$J:$J,'Schedule 2J Adjustments'!$A46)</f>
        <v>0</v>
      </c>
      <c r="X46" s="310">
        <f t="shared" si="6"/>
        <v>0</v>
      </c>
      <c r="Y46" s="120">
        <f>'As-Filed Schedule 2J'!O46</f>
        <v>0</v>
      </c>
      <c r="Z46" s="314">
        <f>SUMIFS(Adjustments!$G:$G,Adjustments!$H:$H,"2J",Adjustments!$I:$I,'Schedule 2J Adjustments'!$Y$12,Adjustments!$J:$J,'Schedule 2J Adjustments'!$A46)</f>
        <v>0</v>
      </c>
      <c r="AA46" s="310">
        <f t="shared" si="7"/>
        <v>0</v>
      </c>
    </row>
    <row r="47" spans="1:27" x14ac:dyDescent="0.35">
      <c r="A47" s="24">
        <v>33</v>
      </c>
      <c r="B47" s="513" t="str">
        <f>IF('As-Filed Schedule 2J'!B47:D47=0,"",'As-Filed Schedule 2J'!B47:D47)</f>
        <v/>
      </c>
      <c r="C47" s="513"/>
      <c r="D47" s="513"/>
      <c r="F47" s="117">
        <f>'As-Filed Schedule 2J'!F47</f>
        <v>0</v>
      </c>
      <c r="G47" s="314">
        <f>SUMIFS(Adjustments!$G:$G,Adjustments!$H:$H,"2J",Adjustments!$I:$I,'Schedule 2J Adjustments'!$F$12,Adjustments!$J:$J,'Schedule 2J Adjustments'!$A47)</f>
        <v>0</v>
      </c>
      <c r="H47" s="310">
        <f t="shared" si="0"/>
        <v>0</v>
      </c>
      <c r="I47" s="68">
        <f>IFERROR(F47*'As-Filed Schedule 1'!$E$103,0)</f>
        <v>0</v>
      </c>
      <c r="J47" s="311">
        <f>IFERROR(H47*'Adjusted Schedule 1'!$E$104,0)</f>
        <v>0</v>
      </c>
      <c r="K47" s="68">
        <f t="shared" si="1"/>
        <v>0</v>
      </c>
      <c r="L47" s="311">
        <f t="shared" si="2"/>
        <v>0</v>
      </c>
      <c r="N47" s="117">
        <f>'As-Filed Schedule 2J'!J47</f>
        <v>0</v>
      </c>
      <c r="O47" s="314">
        <f>SUMIFS(Adjustments!$G:$G,Adjustments!$H:$H,"2J",Adjustments!$I:$I,'Schedule 2J Adjustments'!$N$12,Adjustments!$J:$J,'Schedule 2J Adjustments'!$A47)</f>
        <v>0</v>
      </c>
      <c r="P47" s="310">
        <f t="shared" si="3"/>
        <v>0</v>
      </c>
      <c r="Q47" s="68">
        <f>IFERROR(N47*'As-Filed Schedule 1'!$E$103,0)</f>
        <v>0</v>
      </c>
      <c r="R47" s="68">
        <f>IFERROR(P47*'Adjusted Schedule 1'!$E$104,0)</f>
        <v>0</v>
      </c>
      <c r="S47" s="68">
        <f t="shared" si="4"/>
        <v>0</v>
      </c>
      <c r="T47" s="311">
        <f t="shared" si="5"/>
        <v>0</v>
      </c>
      <c r="V47" s="120">
        <f>'As-Filed Schedule 2J'!N47</f>
        <v>0</v>
      </c>
      <c r="W47" s="314">
        <f>SUMIFS(Adjustments!$G:$G,Adjustments!$H:$H,"2J",Adjustments!$I:$I,'Schedule 2J Adjustments'!$V$12,Adjustments!$J:$J,'Schedule 2J Adjustments'!$A47)</f>
        <v>0</v>
      </c>
      <c r="X47" s="310">
        <f t="shared" si="6"/>
        <v>0</v>
      </c>
      <c r="Y47" s="120">
        <f>'As-Filed Schedule 2J'!O47</f>
        <v>0</v>
      </c>
      <c r="Z47" s="314">
        <f>SUMIFS(Adjustments!$G:$G,Adjustments!$H:$H,"2J",Adjustments!$I:$I,'Schedule 2J Adjustments'!$Y$12,Adjustments!$J:$J,'Schedule 2J Adjustments'!$A47)</f>
        <v>0</v>
      </c>
      <c r="AA47" s="310">
        <f t="shared" si="7"/>
        <v>0</v>
      </c>
    </row>
    <row r="48" spans="1:27" x14ac:dyDescent="0.35">
      <c r="A48" s="24">
        <v>34</v>
      </c>
      <c r="B48" s="513" t="str">
        <f>IF('As-Filed Schedule 2J'!B48:D48=0,"",'As-Filed Schedule 2J'!B48:D48)</f>
        <v/>
      </c>
      <c r="C48" s="513"/>
      <c r="D48" s="513"/>
      <c r="F48" s="117">
        <f>'As-Filed Schedule 2J'!F48</f>
        <v>0</v>
      </c>
      <c r="G48" s="314">
        <f>SUMIFS(Adjustments!$G:$G,Adjustments!$H:$H,"2J",Adjustments!$I:$I,'Schedule 2J Adjustments'!$F$12,Adjustments!$J:$J,'Schedule 2J Adjustments'!$A48)</f>
        <v>0</v>
      </c>
      <c r="H48" s="310">
        <f t="shared" si="0"/>
        <v>0</v>
      </c>
      <c r="I48" s="68">
        <f>IFERROR(F48*'As-Filed Schedule 1'!$E$103,0)</f>
        <v>0</v>
      </c>
      <c r="J48" s="311">
        <f>IFERROR(H48*'Adjusted Schedule 1'!$E$104,0)</f>
        <v>0</v>
      </c>
      <c r="K48" s="68">
        <f t="shared" si="1"/>
        <v>0</v>
      </c>
      <c r="L48" s="311">
        <f t="shared" si="2"/>
        <v>0</v>
      </c>
      <c r="N48" s="117">
        <f>'As-Filed Schedule 2J'!J48</f>
        <v>0</v>
      </c>
      <c r="O48" s="314">
        <f>SUMIFS(Adjustments!$G:$G,Adjustments!$H:$H,"2J",Adjustments!$I:$I,'Schedule 2J Adjustments'!$N$12,Adjustments!$J:$J,'Schedule 2J Adjustments'!$A48)</f>
        <v>0</v>
      </c>
      <c r="P48" s="310">
        <f t="shared" si="3"/>
        <v>0</v>
      </c>
      <c r="Q48" s="68">
        <f>IFERROR(N48*'As-Filed Schedule 1'!$E$103,0)</f>
        <v>0</v>
      </c>
      <c r="R48" s="68">
        <f>IFERROR(P48*'Adjusted Schedule 1'!$E$104,0)</f>
        <v>0</v>
      </c>
      <c r="S48" s="68">
        <f t="shared" si="4"/>
        <v>0</v>
      </c>
      <c r="T48" s="311">
        <f t="shared" si="5"/>
        <v>0</v>
      </c>
      <c r="V48" s="120">
        <f>'As-Filed Schedule 2J'!N48</f>
        <v>0</v>
      </c>
      <c r="W48" s="314">
        <f>SUMIFS(Adjustments!$G:$G,Adjustments!$H:$H,"2J",Adjustments!$I:$I,'Schedule 2J Adjustments'!$V$12,Adjustments!$J:$J,'Schedule 2J Adjustments'!$A48)</f>
        <v>0</v>
      </c>
      <c r="X48" s="310">
        <f t="shared" si="6"/>
        <v>0</v>
      </c>
      <c r="Y48" s="120">
        <f>'As-Filed Schedule 2J'!O48</f>
        <v>0</v>
      </c>
      <c r="Z48" s="314">
        <f>SUMIFS(Adjustments!$G:$G,Adjustments!$H:$H,"2J",Adjustments!$I:$I,'Schedule 2J Adjustments'!$Y$12,Adjustments!$J:$J,'Schedule 2J Adjustments'!$A48)</f>
        <v>0</v>
      </c>
      <c r="AA48" s="310">
        <f t="shared" si="7"/>
        <v>0</v>
      </c>
    </row>
    <row r="49" spans="1:27" x14ac:dyDescent="0.35">
      <c r="A49" s="24">
        <v>35</v>
      </c>
      <c r="B49" s="513" t="str">
        <f>IF('As-Filed Schedule 2J'!B49:D49=0,"",'As-Filed Schedule 2J'!B49:D49)</f>
        <v/>
      </c>
      <c r="C49" s="513"/>
      <c r="D49" s="513"/>
      <c r="F49" s="117">
        <f>'As-Filed Schedule 2J'!F49</f>
        <v>0</v>
      </c>
      <c r="G49" s="314">
        <f>SUMIFS(Adjustments!$G:$G,Adjustments!$H:$H,"2J",Adjustments!$I:$I,'Schedule 2J Adjustments'!$F$12,Adjustments!$J:$J,'Schedule 2J Adjustments'!$A49)</f>
        <v>0</v>
      </c>
      <c r="H49" s="310">
        <f t="shared" si="0"/>
        <v>0</v>
      </c>
      <c r="I49" s="68">
        <f>IFERROR(F49*'As-Filed Schedule 1'!$E$103,0)</f>
        <v>0</v>
      </c>
      <c r="J49" s="311">
        <f>IFERROR(H49*'Adjusted Schedule 1'!$E$104,0)</f>
        <v>0</v>
      </c>
      <c r="K49" s="68">
        <f t="shared" si="1"/>
        <v>0</v>
      </c>
      <c r="L49" s="311">
        <f t="shared" si="2"/>
        <v>0</v>
      </c>
      <c r="N49" s="117">
        <f>'As-Filed Schedule 2J'!J49</f>
        <v>0</v>
      </c>
      <c r="O49" s="314">
        <f>SUMIFS(Adjustments!$G:$G,Adjustments!$H:$H,"2J",Adjustments!$I:$I,'Schedule 2J Adjustments'!$N$12,Adjustments!$J:$J,'Schedule 2J Adjustments'!$A49)</f>
        <v>0</v>
      </c>
      <c r="P49" s="310">
        <f t="shared" si="3"/>
        <v>0</v>
      </c>
      <c r="Q49" s="68">
        <f>IFERROR(N49*'As-Filed Schedule 1'!$E$103,0)</f>
        <v>0</v>
      </c>
      <c r="R49" s="68">
        <f>IFERROR(P49*'Adjusted Schedule 1'!$E$104,0)</f>
        <v>0</v>
      </c>
      <c r="S49" s="68">
        <f t="shared" si="4"/>
        <v>0</v>
      </c>
      <c r="T49" s="311">
        <f t="shared" si="5"/>
        <v>0</v>
      </c>
      <c r="V49" s="120">
        <f>'As-Filed Schedule 2J'!N49</f>
        <v>0</v>
      </c>
      <c r="W49" s="314">
        <f>SUMIFS(Adjustments!$G:$G,Adjustments!$H:$H,"2J",Adjustments!$I:$I,'Schedule 2J Adjustments'!$V$12,Adjustments!$J:$J,'Schedule 2J Adjustments'!$A49)</f>
        <v>0</v>
      </c>
      <c r="X49" s="310">
        <f t="shared" si="6"/>
        <v>0</v>
      </c>
      <c r="Y49" s="120">
        <f>'As-Filed Schedule 2J'!O49</f>
        <v>0</v>
      </c>
      <c r="Z49" s="314">
        <f>SUMIFS(Adjustments!$G:$G,Adjustments!$H:$H,"2J",Adjustments!$I:$I,'Schedule 2J Adjustments'!$Y$12,Adjustments!$J:$J,'Schedule 2J Adjustments'!$A49)</f>
        <v>0</v>
      </c>
      <c r="AA49" s="310">
        <f t="shared" si="7"/>
        <v>0</v>
      </c>
    </row>
    <row r="50" spans="1:27" x14ac:dyDescent="0.35">
      <c r="A50" s="24">
        <v>36</v>
      </c>
      <c r="B50" s="513" t="str">
        <f>IF('As-Filed Schedule 2J'!B50:D50=0,"",'As-Filed Schedule 2J'!B50:D50)</f>
        <v/>
      </c>
      <c r="C50" s="513"/>
      <c r="D50" s="513"/>
      <c r="F50" s="117">
        <f>'As-Filed Schedule 2J'!F50</f>
        <v>0</v>
      </c>
      <c r="G50" s="314">
        <f>SUMIFS(Adjustments!$G:$G,Adjustments!$H:$H,"2J",Adjustments!$I:$I,'Schedule 2J Adjustments'!$F$12,Adjustments!$J:$J,'Schedule 2J Adjustments'!$A50)</f>
        <v>0</v>
      </c>
      <c r="H50" s="310">
        <f t="shared" si="0"/>
        <v>0</v>
      </c>
      <c r="I50" s="68">
        <f>IFERROR(F50*'As-Filed Schedule 1'!$E$103,0)</f>
        <v>0</v>
      </c>
      <c r="J50" s="311">
        <f>IFERROR(H50*'Adjusted Schedule 1'!$E$104,0)</f>
        <v>0</v>
      </c>
      <c r="K50" s="68">
        <f t="shared" si="1"/>
        <v>0</v>
      </c>
      <c r="L50" s="311">
        <f t="shared" si="2"/>
        <v>0</v>
      </c>
      <c r="N50" s="117">
        <f>'As-Filed Schedule 2J'!J50</f>
        <v>0</v>
      </c>
      <c r="O50" s="314">
        <f>SUMIFS(Adjustments!$G:$G,Adjustments!$H:$H,"2J",Adjustments!$I:$I,'Schedule 2J Adjustments'!$N$12,Adjustments!$J:$J,'Schedule 2J Adjustments'!$A50)</f>
        <v>0</v>
      </c>
      <c r="P50" s="310">
        <f t="shared" si="3"/>
        <v>0</v>
      </c>
      <c r="Q50" s="68">
        <f>IFERROR(N50*'As-Filed Schedule 1'!$E$103,0)</f>
        <v>0</v>
      </c>
      <c r="R50" s="68">
        <f>IFERROR(P50*'Adjusted Schedule 1'!$E$104,0)</f>
        <v>0</v>
      </c>
      <c r="S50" s="68">
        <f t="shared" si="4"/>
        <v>0</v>
      </c>
      <c r="T50" s="311">
        <f t="shared" si="5"/>
        <v>0</v>
      </c>
      <c r="V50" s="120">
        <f>'As-Filed Schedule 2J'!N50</f>
        <v>0</v>
      </c>
      <c r="W50" s="314">
        <f>SUMIFS(Adjustments!$G:$G,Adjustments!$H:$H,"2J",Adjustments!$I:$I,'Schedule 2J Adjustments'!$V$12,Adjustments!$J:$J,'Schedule 2J Adjustments'!$A50)</f>
        <v>0</v>
      </c>
      <c r="X50" s="310">
        <f t="shared" si="6"/>
        <v>0</v>
      </c>
      <c r="Y50" s="120">
        <f>'As-Filed Schedule 2J'!O50</f>
        <v>0</v>
      </c>
      <c r="Z50" s="314">
        <f>SUMIFS(Adjustments!$G:$G,Adjustments!$H:$H,"2J",Adjustments!$I:$I,'Schedule 2J Adjustments'!$Y$12,Adjustments!$J:$J,'Schedule 2J Adjustments'!$A50)</f>
        <v>0</v>
      </c>
      <c r="AA50" s="310">
        <f t="shared" si="7"/>
        <v>0</v>
      </c>
    </row>
    <row r="51" spans="1:27" x14ac:dyDescent="0.35">
      <c r="A51" s="24">
        <v>37</v>
      </c>
      <c r="B51" s="513" t="str">
        <f>IF('As-Filed Schedule 2J'!B51:D51=0,"",'As-Filed Schedule 2J'!B51:D51)</f>
        <v/>
      </c>
      <c r="C51" s="513"/>
      <c r="D51" s="513"/>
      <c r="F51" s="117">
        <f>'As-Filed Schedule 2J'!F51</f>
        <v>0</v>
      </c>
      <c r="G51" s="314">
        <f>SUMIFS(Adjustments!$G:$G,Adjustments!$H:$H,"2J",Adjustments!$I:$I,'Schedule 2J Adjustments'!$F$12,Adjustments!$J:$J,'Schedule 2J Adjustments'!$A51)</f>
        <v>0</v>
      </c>
      <c r="H51" s="310">
        <f t="shared" si="0"/>
        <v>0</v>
      </c>
      <c r="I51" s="68">
        <f>IFERROR(F51*'As-Filed Schedule 1'!$E$103,0)</f>
        <v>0</v>
      </c>
      <c r="J51" s="311">
        <f>IFERROR(H51*'Adjusted Schedule 1'!$E$104,0)</f>
        <v>0</v>
      </c>
      <c r="K51" s="68">
        <f t="shared" si="1"/>
        <v>0</v>
      </c>
      <c r="L51" s="311">
        <f t="shared" si="2"/>
        <v>0</v>
      </c>
      <c r="N51" s="117">
        <f>'As-Filed Schedule 2J'!J51</f>
        <v>0</v>
      </c>
      <c r="O51" s="314">
        <f>SUMIFS(Adjustments!$G:$G,Adjustments!$H:$H,"2J",Adjustments!$I:$I,'Schedule 2J Adjustments'!$N$12,Adjustments!$J:$J,'Schedule 2J Adjustments'!$A51)</f>
        <v>0</v>
      </c>
      <c r="P51" s="310">
        <f t="shared" si="3"/>
        <v>0</v>
      </c>
      <c r="Q51" s="68">
        <f>IFERROR(N51*'As-Filed Schedule 1'!$E$103,0)</f>
        <v>0</v>
      </c>
      <c r="R51" s="68">
        <f>IFERROR(P51*'Adjusted Schedule 1'!$E$104,0)</f>
        <v>0</v>
      </c>
      <c r="S51" s="68">
        <f t="shared" si="4"/>
        <v>0</v>
      </c>
      <c r="T51" s="311">
        <f t="shared" si="5"/>
        <v>0</v>
      </c>
      <c r="V51" s="120">
        <f>'As-Filed Schedule 2J'!N51</f>
        <v>0</v>
      </c>
      <c r="W51" s="314">
        <f>SUMIFS(Adjustments!$G:$G,Adjustments!$H:$H,"2J",Adjustments!$I:$I,'Schedule 2J Adjustments'!$V$12,Adjustments!$J:$J,'Schedule 2J Adjustments'!$A51)</f>
        <v>0</v>
      </c>
      <c r="X51" s="310">
        <f t="shared" si="6"/>
        <v>0</v>
      </c>
      <c r="Y51" s="120">
        <f>'As-Filed Schedule 2J'!O51</f>
        <v>0</v>
      </c>
      <c r="Z51" s="314">
        <f>SUMIFS(Adjustments!$G:$G,Adjustments!$H:$H,"2J",Adjustments!$I:$I,'Schedule 2J Adjustments'!$Y$12,Adjustments!$J:$J,'Schedule 2J Adjustments'!$A51)</f>
        <v>0</v>
      </c>
      <c r="AA51" s="310">
        <f t="shared" si="7"/>
        <v>0</v>
      </c>
    </row>
    <row r="52" spans="1:27" x14ac:dyDescent="0.35">
      <c r="A52" s="24">
        <v>38</v>
      </c>
      <c r="B52" s="513" t="str">
        <f>IF('As-Filed Schedule 2J'!B52:D52=0,"",'As-Filed Schedule 2J'!B52:D52)</f>
        <v/>
      </c>
      <c r="C52" s="513"/>
      <c r="D52" s="513"/>
      <c r="F52" s="117">
        <f>'As-Filed Schedule 2J'!F52</f>
        <v>0</v>
      </c>
      <c r="G52" s="314">
        <f>SUMIFS(Adjustments!$G:$G,Adjustments!$H:$H,"2J",Adjustments!$I:$I,'Schedule 2J Adjustments'!$F$12,Adjustments!$J:$J,'Schedule 2J Adjustments'!$A52)</f>
        <v>0</v>
      </c>
      <c r="H52" s="310">
        <f t="shared" si="0"/>
        <v>0</v>
      </c>
      <c r="I52" s="68">
        <f>IFERROR(F52*'As-Filed Schedule 1'!$E$103,0)</f>
        <v>0</v>
      </c>
      <c r="J52" s="311">
        <f>IFERROR(H52*'Adjusted Schedule 1'!$E$104,0)</f>
        <v>0</v>
      </c>
      <c r="K52" s="68">
        <f t="shared" si="1"/>
        <v>0</v>
      </c>
      <c r="L52" s="311">
        <f t="shared" si="2"/>
        <v>0</v>
      </c>
      <c r="N52" s="117">
        <f>'As-Filed Schedule 2J'!J52</f>
        <v>0</v>
      </c>
      <c r="O52" s="314">
        <f>SUMIFS(Adjustments!$G:$G,Adjustments!$H:$H,"2J",Adjustments!$I:$I,'Schedule 2J Adjustments'!$N$12,Adjustments!$J:$J,'Schedule 2J Adjustments'!$A52)</f>
        <v>0</v>
      </c>
      <c r="P52" s="310">
        <f t="shared" si="3"/>
        <v>0</v>
      </c>
      <c r="Q52" s="68">
        <f>IFERROR(N52*'As-Filed Schedule 1'!$E$103,0)</f>
        <v>0</v>
      </c>
      <c r="R52" s="68">
        <f>IFERROR(P52*'Adjusted Schedule 1'!$E$104,0)</f>
        <v>0</v>
      </c>
      <c r="S52" s="68">
        <f t="shared" si="4"/>
        <v>0</v>
      </c>
      <c r="T52" s="311">
        <f t="shared" si="5"/>
        <v>0</v>
      </c>
      <c r="V52" s="120">
        <f>'As-Filed Schedule 2J'!N52</f>
        <v>0</v>
      </c>
      <c r="W52" s="314">
        <f>SUMIFS(Adjustments!$G:$G,Adjustments!$H:$H,"2J",Adjustments!$I:$I,'Schedule 2J Adjustments'!$V$12,Adjustments!$J:$J,'Schedule 2J Adjustments'!$A52)</f>
        <v>0</v>
      </c>
      <c r="X52" s="310">
        <f t="shared" si="6"/>
        <v>0</v>
      </c>
      <c r="Y52" s="120">
        <f>'As-Filed Schedule 2J'!O52</f>
        <v>0</v>
      </c>
      <c r="Z52" s="314">
        <f>SUMIFS(Adjustments!$G:$G,Adjustments!$H:$H,"2J",Adjustments!$I:$I,'Schedule 2J Adjustments'!$Y$12,Adjustments!$J:$J,'Schedule 2J Adjustments'!$A52)</f>
        <v>0</v>
      </c>
      <c r="AA52" s="310">
        <f t="shared" si="7"/>
        <v>0</v>
      </c>
    </row>
    <row r="53" spans="1:27" x14ac:dyDescent="0.35">
      <c r="A53" s="24">
        <v>39</v>
      </c>
      <c r="B53" s="513" t="str">
        <f>IF('As-Filed Schedule 2J'!B53:D53=0,"",'As-Filed Schedule 2J'!B53:D53)</f>
        <v/>
      </c>
      <c r="C53" s="513"/>
      <c r="D53" s="513"/>
      <c r="F53" s="117">
        <f>'As-Filed Schedule 2J'!F53</f>
        <v>0</v>
      </c>
      <c r="G53" s="314">
        <f>SUMIFS(Adjustments!$G:$G,Adjustments!$H:$H,"2J",Adjustments!$I:$I,'Schedule 2J Adjustments'!$F$12,Adjustments!$J:$J,'Schedule 2J Adjustments'!$A53)</f>
        <v>0</v>
      </c>
      <c r="H53" s="310">
        <f t="shared" si="0"/>
        <v>0</v>
      </c>
      <c r="I53" s="68">
        <f>IFERROR(F53*'As-Filed Schedule 1'!$E$103,0)</f>
        <v>0</v>
      </c>
      <c r="J53" s="311">
        <f>IFERROR(H53*'Adjusted Schedule 1'!$E$104,0)</f>
        <v>0</v>
      </c>
      <c r="K53" s="68">
        <f t="shared" si="1"/>
        <v>0</v>
      </c>
      <c r="L53" s="311">
        <f t="shared" si="2"/>
        <v>0</v>
      </c>
      <c r="N53" s="117">
        <f>'As-Filed Schedule 2J'!J53</f>
        <v>0</v>
      </c>
      <c r="O53" s="314">
        <f>SUMIFS(Adjustments!$G:$G,Adjustments!$H:$H,"2J",Adjustments!$I:$I,'Schedule 2J Adjustments'!$N$12,Adjustments!$J:$J,'Schedule 2J Adjustments'!$A53)</f>
        <v>0</v>
      </c>
      <c r="P53" s="310">
        <f t="shared" si="3"/>
        <v>0</v>
      </c>
      <c r="Q53" s="68">
        <f>IFERROR(N53*'As-Filed Schedule 1'!$E$103,0)</f>
        <v>0</v>
      </c>
      <c r="R53" s="68">
        <f>IFERROR(P53*'Adjusted Schedule 1'!$E$104,0)</f>
        <v>0</v>
      </c>
      <c r="S53" s="68">
        <f t="shared" si="4"/>
        <v>0</v>
      </c>
      <c r="T53" s="311">
        <f t="shared" si="5"/>
        <v>0</v>
      </c>
      <c r="V53" s="120">
        <f>'As-Filed Schedule 2J'!N53</f>
        <v>0</v>
      </c>
      <c r="W53" s="314">
        <f>SUMIFS(Adjustments!$G:$G,Adjustments!$H:$H,"2J",Adjustments!$I:$I,'Schedule 2J Adjustments'!$V$12,Adjustments!$J:$J,'Schedule 2J Adjustments'!$A53)</f>
        <v>0</v>
      </c>
      <c r="X53" s="310">
        <f t="shared" si="6"/>
        <v>0</v>
      </c>
      <c r="Y53" s="120">
        <f>'As-Filed Schedule 2J'!O53</f>
        <v>0</v>
      </c>
      <c r="Z53" s="314">
        <f>SUMIFS(Adjustments!$G:$G,Adjustments!$H:$H,"2J",Adjustments!$I:$I,'Schedule 2J Adjustments'!$Y$12,Adjustments!$J:$J,'Schedule 2J Adjustments'!$A53)</f>
        <v>0</v>
      </c>
      <c r="AA53" s="310">
        <f t="shared" si="7"/>
        <v>0</v>
      </c>
    </row>
    <row r="54" spans="1:27" x14ac:dyDescent="0.35">
      <c r="A54" s="24">
        <v>40</v>
      </c>
      <c r="B54" s="513" t="str">
        <f>IF('As-Filed Schedule 2J'!B54:D54=0,"",'As-Filed Schedule 2J'!B54:D54)</f>
        <v/>
      </c>
      <c r="C54" s="513"/>
      <c r="D54" s="513"/>
      <c r="F54" s="117">
        <f>'As-Filed Schedule 2J'!F54</f>
        <v>0</v>
      </c>
      <c r="G54" s="314">
        <f>SUMIFS(Adjustments!$G:$G,Adjustments!$H:$H,"2J",Adjustments!$I:$I,'Schedule 2J Adjustments'!$F$12,Adjustments!$J:$J,'Schedule 2J Adjustments'!$A54)</f>
        <v>0</v>
      </c>
      <c r="H54" s="310">
        <f t="shared" si="0"/>
        <v>0</v>
      </c>
      <c r="I54" s="68">
        <f>IFERROR(F54*'As-Filed Schedule 1'!$E$103,0)</f>
        <v>0</v>
      </c>
      <c r="J54" s="311">
        <f>IFERROR(H54*'Adjusted Schedule 1'!$E$104,0)</f>
        <v>0</v>
      </c>
      <c r="K54" s="68">
        <f t="shared" si="1"/>
        <v>0</v>
      </c>
      <c r="L54" s="311">
        <f t="shared" si="2"/>
        <v>0</v>
      </c>
      <c r="N54" s="117">
        <f>'As-Filed Schedule 2J'!J54</f>
        <v>0</v>
      </c>
      <c r="O54" s="314">
        <f>SUMIFS(Adjustments!$G:$G,Adjustments!$H:$H,"2J",Adjustments!$I:$I,'Schedule 2J Adjustments'!$N$12,Adjustments!$J:$J,'Schedule 2J Adjustments'!$A54)</f>
        <v>0</v>
      </c>
      <c r="P54" s="310">
        <f t="shared" si="3"/>
        <v>0</v>
      </c>
      <c r="Q54" s="68">
        <f>IFERROR(N54*'As-Filed Schedule 1'!$E$103,0)</f>
        <v>0</v>
      </c>
      <c r="R54" s="68">
        <f>IFERROR(P54*'Adjusted Schedule 1'!$E$104,0)</f>
        <v>0</v>
      </c>
      <c r="S54" s="68">
        <f t="shared" si="4"/>
        <v>0</v>
      </c>
      <c r="T54" s="311">
        <f t="shared" si="5"/>
        <v>0</v>
      </c>
      <c r="V54" s="120">
        <f>'As-Filed Schedule 2J'!N54</f>
        <v>0</v>
      </c>
      <c r="W54" s="314">
        <f>SUMIFS(Adjustments!$G:$G,Adjustments!$H:$H,"2J",Adjustments!$I:$I,'Schedule 2J Adjustments'!$V$12,Adjustments!$J:$J,'Schedule 2J Adjustments'!$A54)</f>
        <v>0</v>
      </c>
      <c r="X54" s="310">
        <f t="shared" si="6"/>
        <v>0</v>
      </c>
      <c r="Y54" s="120">
        <f>'As-Filed Schedule 2J'!O54</f>
        <v>0</v>
      </c>
      <c r="Z54" s="314">
        <f>SUMIFS(Adjustments!$G:$G,Adjustments!$H:$H,"2J",Adjustments!$I:$I,'Schedule 2J Adjustments'!$Y$12,Adjustments!$J:$J,'Schedule 2J Adjustments'!$A54)</f>
        <v>0</v>
      </c>
      <c r="AA54" s="310">
        <f t="shared" si="7"/>
        <v>0</v>
      </c>
    </row>
    <row r="55" spans="1:27" x14ac:dyDescent="0.35">
      <c r="A55" s="24">
        <v>41</v>
      </c>
      <c r="B55" s="513" t="str">
        <f>IF('As-Filed Schedule 2J'!B55:D55=0,"",'As-Filed Schedule 2J'!B55:D55)</f>
        <v/>
      </c>
      <c r="C55" s="513"/>
      <c r="D55" s="513"/>
      <c r="F55" s="117">
        <f>'As-Filed Schedule 2J'!F55</f>
        <v>0</v>
      </c>
      <c r="G55" s="314">
        <f>SUMIFS(Adjustments!$G:$G,Adjustments!$H:$H,"2J",Adjustments!$I:$I,'Schedule 2J Adjustments'!$F$12,Adjustments!$J:$J,'Schedule 2J Adjustments'!$A55)</f>
        <v>0</v>
      </c>
      <c r="H55" s="310">
        <f t="shared" si="0"/>
        <v>0</v>
      </c>
      <c r="I55" s="68">
        <f>IFERROR(F55*'As-Filed Schedule 1'!$E$103,0)</f>
        <v>0</v>
      </c>
      <c r="J55" s="311">
        <f>IFERROR(H55*'Adjusted Schedule 1'!$E$104,0)</f>
        <v>0</v>
      </c>
      <c r="K55" s="68">
        <f t="shared" si="1"/>
        <v>0</v>
      </c>
      <c r="L55" s="311">
        <f t="shared" si="2"/>
        <v>0</v>
      </c>
      <c r="N55" s="117">
        <f>'As-Filed Schedule 2J'!J55</f>
        <v>0</v>
      </c>
      <c r="O55" s="314">
        <f>SUMIFS(Adjustments!$G:$G,Adjustments!$H:$H,"2J",Adjustments!$I:$I,'Schedule 2J Adjustments'!$N$12,Adjustments!$J:$J,'Schedule 2J Adjustments'!$A55)</f>
        <v>0</v>
      </c>
      <c r="P55" s="310">
        <f t="shared" si="3"/>
        <v>0</v>
      </c>
      <c r="Q55" s="68">
        <f>IFERROR(N55*'As-Filed Schedule 1'!$E$103,0)</f>
        <v>0</v>
      </c>
      <c r="R55" s="68">
        <f>IFERROR(P55*'Adjusted Schedule 1'!$E$104,0)</f>
        <v>0</v>
      </c>
      <c r="S55" s="68">
        <f t="shared" si="4"/>
        <v>0</v>
      </c>
      <c r="T55" s="311">
        <f t="shared" si="5"/>
        <v>0</v>
      </c>
      <c r="V55" s="120">
        <f>'As-Filed Schedule 2J'!N55</f>
        <v>0</v>
      </c>
      <c r="W55" s="314">
        <f>SUMIFS(Adjustments!$G:$G,Adjustments!$H:$H,"2J",Adjustments!$I:$I,'Schedule 2J Adjustments'!$V$12,Adjustments!$J:$J,'Schedule 2J Adjustments'!$A55)</f>
        <v>0</v>
      </c>
      <c r="X55" s="310">
        <f t="shared" si="6"/>
        <v>0</v>
      </c>
      <c r="Y55" s="120">
        <f>'As-Filed Schedule 2J'!O55</f>
        <v>0</v>
      </c>
      <c r="Z55" s="314">
        <f>SUMIFS(Adjustments!$G:$G,Adjustments!$H:$H,"2J",Adjustments!$I:$I,'Schedule 2J Adjustments'!$Y$12,Adjustments!$J:$J,'Schedule 2J Adjustments'!$A55)</f>
        <v>0</v>
      </c>
      <c r="AA55" s="310">
        <f t="shared" si="7"/>
        <v>0</v>
      </c>
    </row>
    <row r="56" spans="1:27" x14ac:dyDescent="0.35">
      <c r="A56" s="24">
        <v>42</v>
      </c>
      <c r="B56" s="513" t="str">
        <f>IF('As-Filed Schedule 2J'!B56:D56=0,"",'As-Filed Schedule 2J'!B56:D56)</f>
        <v/>
      </c>
      <c r="C56" s="513"/>
      <c r="D56" s="513"/>
      <c r="F56" s="117">
        <f>'As-Filed Schedule 2J'!F56</f>
        <v>0</v>
      </c>
      <c r="G56" s="314">
        <f>SUMIFS(Adjustments!$G:$G,Adjustments!$H:$H,"2J",Adjustments!$I:$I,'Schedule 2J Adjustments'!$F$12,Adjustments!$J:$J,'Schedule 2J Adjustments'!$A56)</f>
        <v>0</v>
      </c>
      <c r="H56" s="310">
        <f t="shared" si="0"/>
        <v>0</v>
      </c>
      <c r="I56" s="68">
        <f>IFERROR(F56*'As-Filed Schedule 1'!$E$103,0)</f>
        <v>0</v>
      </c>
      <c r="J56" s="311">
        <f>IFERROR(H56*'Adjusted Schedule 1'!$E$104,0)</f>
        <v>0</v>
      </c>
      <c r="K56" s="68">
        <f t="shared" si="1"/>
        <v>0</v>
      </c>
      <c r="L56" s="311">
        <f t="shared" si="2"/>
        <v>0</v>
      </c>
      <c r="N56" s="117">
        <f>'As-Filed Schedule 2J'!J56</f>
        <v>0</v>
      </c>
      <c r="O56" s="314">
        <f>SUMIFS(Adjustments!$G:$G,Adjustments!$H:$H,"2J",Adjustments!$I:$I,'Schedule 2J Adjustments'!$N$12,Adjustments!$J:$J,'Schedule 2J Adjustments'!$A56)</f>
        <v>0</v>
      </c>
      <c r="P56" s="310">
        <f t="shared" si="3"/>
        <v>0</v>
      </c>
      <c r="Q56" s="68">
        <f>IFERROR(N56*'As-Filed Schedule 1'!$E$103,0)</f>
        <v>0</v>
      </c>
      <c r="R56" s="68">
        <f>IFERROR(P56*'Adjusted Schedule 1'!$E$104,0)</f>
        <v>0</v>
      </c>
      <c r="S56" s="68">
        <f t="shared" si="4"/>
        <v>0</v>
      </c>
      <c r="T56" s="311">
        <f t="shared" si="5"/>
        <v>0</v>
      </c>
      <c r="V56" s="120">
        <f>'As-Filed Schedule 2J'!N56</f>
        <v>0</v>
      </c>
      <c r="W56" s="314">
        <f>SUMIFS(Adjustments!$G:$G,Adjustments!$H:$H,"2J",Adjustments!$I:$I,'Schedule 2J Adjustments'!$V$12,Adjustments!$J:$J,'Schedule 2J Adjustments'!$A56)</f>
        <v>0</v>
      </c>
      <c r="X56" s="310">
        <f t="shared" si="6"/>
        <v>0</v>
      </c>
      <c r="Y56" s="120">
        <f>'As-Filed Schedule 2J'!O56</f>
        <v>0</v>
      </c>
      <c r="Z56" s="314">
        <f>SUMIFS(Adjustments!$G:$G,Adjustments!$H:$H,"2J",Adjustments!$I:$I,'Schedule 2J Adjustments'!$Y$12,Adjustments!$J:$J,'Schedule 2J Adjustments'!$A56)</f>
        <v>0</v>
      </c>
      <c r="AA56" s="310">
        <f t="shared" si="7"/>
        <v>0</v>
      </c>
    </row>
    <row r="57" spans="1:27" x14ac:dyDescent="0.35">
      <c r="A57" s="24">
        <v>43</v>
      </c>
      <c r="B57" s="513" t="str">
        <f>IF('As-Filed Schedule 2J'!B57:D57=0,"",'As-Filed Schedule 2J'!B57:D57)</f>
        <v/>
      </c>
      <c r="C57" s="513"/>
      <c r="D57" s="513"/>
      <c r="F57" s="117">
        <f>'As-Filed Schedule 2J'!F57</f>
        <v>0</v>
      </c>
      <c r="G57" s="314">
        <f>SUMIFS(Adjustments!$G:$G,Adjustments!$H:$H,"2J",Adjustments!$I:$I,'Schedule 2J Adjustments'!$F$12,Adjustments!$J:$J,'Schedule 2J Adjustments'!$A57)</f>
        <v>0</v>
      </c>
      <c r="H57" s="310">
        <f t="shared" si="0"/>
        <v>0</v>
      </c>
      <c r="I57" s="68">
        <f>IFERROR(F57*'As-Filed Schedule 1'!$E$103,0)</f>
        <v>0</v>
      </c>
      <c r="J57" s="311">
        <f>IFERROR(H57*'Adjusted Schedule 1'!$E$104,0)</f>
        <v>0</v>
      </c>
      <c r="K57" s="68">
        <f t="shared" si="1"/>
        <v>0</v>
      </c>
      <c r="L57" s="311">
        <f t="shared" si="2"/>
        <v>0</v>
      </c>
      <c r="N57" s="117">
        <f>'As-Filed Schedule 2J'!J57</f>
        <v>0</v>
      </c>
      <c r="O57" s="314">
        <f>SUMIFS(Adjustments!$G:$G,Adjustments!$H:$H,"2J",Adjustments!$I:$I,'Schedule 2J Adjustments'!$N$12,Adjustments!$J:$J,'Schedule 2J Adjustments'!$A57)</f>
        <v>0</v>
      </c>
      <c r="P57" s="310">
        <f t="shared" si="3"/>
        <v>0</v>
      </c>
      <c r="Q57" s="68">
        <f>IFERROR(N57*'As-Filed Schedule 1'!$E$103,0)</f>
        <v>0</v>
      </c>
      <c r="R57" s="68">
        <f>IFERROR(P57*'Adjusted Schedule 1'!$E$104,0)</f>
        <v>0</v>
      </c>
      <c r="S57" s="68">
        <f t="shared" si="4"/>
        <v>0</v>
      </c>
      <c r="T57" s="311">
        <f t="shared" si="5"/>
        <v>0</v>
      </c>
      <c r="V57" s="120">
        <f>'As-Filed Schedule 2J'!N57</f>
        <v>0</v>
      </c>
      <c r="W57" s="314">
        <f>SUMIFS(Adjustments!$G:$G,Adjustments!$H:$H,"2J",Adjustments!$I:$I,'Schedule 2J Adjustments'!$V$12,Adjustments!$J:$J,'Schedule 2J Adjustments'!$A57)</f>
        <v>0</v>
      </c>
      <c r="X57" s="310">
        <f t="shared" si="6"/>
        <v>0</v>
      </c>
      <c r="Y57" s="120">
        <f>'As-Filed Schedule 2J'!O57</f>
        <v>0</v>
      </c>
      <c r="Z57" s="314">
        <f>SUMIFS(Adjustments!$G:$G,Adjustments!$H:$H,"2J",Adjustments!$I:$I,'Schedule 2J Adjustments'!$Y$12,Adjustments!$J:$J,'Schedule 2J Adjustments'!$A57)</f>
        <v>0</v>
      </c>
      <c r="AA57" s="310">
        <f t="shared" si="7"/>
        <v>0</v>
      </c>
    </row>
    <row r="58" spans="1:27" x14ac:dyDescent="0.35">
      <c r="A58" s="24">
        <v>44</v>
      </c>
      <c r="B58" s="513" t="str">
        <f>IF('As-Filed Schedule 2J'!B58:D58=0,"",'As-Filed Schedule 2J'!B58:D58)</f>
        <v/>
      </c>
      <c r="C58" s="513"/>
      <c r="D58" s="513"/>
      <c r="F58" s="117">
        <f>'As-Filed Schedule 2J'!F58</f>
        <v>0</v>
      </c>
      <c r="G58" s="314">
        <f>SUMIFS(Adjustments!$G:$G,Adjustments!$H:$H,"2J",Adjustments!$I:$I,'Schedule 2J Adjustments'!$F$12,Adjustments!$J:$J,'Schedule 2J Adjustments'!$A58)</f>
        <v>0</v>
      </c>
      <c r="H58" s="310">
        <f t="shared" si="0"/>
        <v>0</v>
      </c>
      <c r="I58" s="68">
        <f>IFERROR(F58*'As-Filed Schedule 1'!$E$103,0)</f>
        <v>0</v>
      </c>
      <c r="J58" s="311">
        <f>IFERROR(H58*'Adjusted Schedule 1'!$E$104,0)</f>
        <v>0</v>
      </c>
      <c r="K58" s="68">
        <f t="shared" si="1"/>
        <v>0</v>
      </c>
      <c r="L58" s="311">
        <f t="shared" si="2"/>
        <v>0</v>
      </c>
      <c r="N58" s="117">
        <f>'As-Filed Schedule 2J'!J58</f>
        <v>0</v>
      </c>
      <c r="O58" s="314">
        <f>SUMIFS(Adjustments!$G:$G,Adjustments!$H:$H,"2J",Adjustments!$I:$I,'Schedule 2J Adjustments'!$N$12,Adjustments!$J:$J,'Schedule 2J Adjustments'!$A58)</f>
        <v>0</v>
      </c>
      <c r="P58" s="310">
        <f t="shared" si="3"/>
        <v>0</v>
      </c>
      <c r="Q58" s="68">
        <f>IFERROR(N58*'As-Filed Schedule 1'!$E$103,0)</f>
        <v>0</v>
      </c>
      <c r="R58" s="68">
        <f>IFERROR(P58*'Adjusted Schedule 1'!$E$104,0)</f>
        <v>0</v>
      </c>
      <c r="S58" s="68">
        <f t="shared" si="4"/>
        <v>0</v>
      </c>
      <c r="T58" s="311">
        <f t="shared" si="5"/>
        <v>0</v>
      </c>
      <c r="V58" s="120">
        <f>'As-Filed Schedule 2J'!N58</f>
        <v>0</v>
      </c>
      <c r="W58" s="314">
        <f>SUMIFS(Adjustments!$G:$G,Adjustments!$H:$H,"2J",Adjustments!$I:$I,'Schedule 2J Adjustments'!$V$12,Adjustments!$J:$J,'Schedule 2J Adjustments'!$A58)</f>
        <v>0</v>
      </c>
      <c r="X58" s="310">
        <f t="shared" si="6"/>
        <v>0</v>
      </c>
      <c r="Y58" s="120">
        <f>'As-Filed Schedule 2J'!O58</f>
        <v>0</v>
      </c>
      <c r="Z58" s="314">
        <f>SUMIFS(Adjustments!$G:$G,Adjustments!$H:$H,"2J",Adjustments!$I:$I,'Schedule 2J Adjustments'!$Y$12,Adjustments!$J:$J,'Schedule 2J Adjustments'!$A58)</f>
        <v>0</v>
      </c>
      <c r="AA58" s="310">
        <f t="shared" si="7"/>
        <v>0</v>
      </c>
    </row>
    <row r="59" spans="1:27" x14ac:dyDescent="0.35">
      <c r="A59" s="24">
        <v>45</v>
      </c>
      <c r="B59" s="513" t="str">
        <f>IF('As-Filed Schedule 2J'!B59:D59=0,"",'As-Filed Schedule 2J'!B59:D59)</f>
        <v/>
      </c>
      <c r="C59" s="513"/>
      <c r="D59" s="513"/>
      <c r="F59" s="117">
        <f>'As-Filed Schedule 2J'!F59</f>
        <v>0</v>
      </c>
      <c r="G59" s="314">
        <f>SUMIFS(Adjustments!$G:$G,Adjustments!$H:$H,"2J",Adjustments!$I:$I,'Schedule 2J Adjustments'!$F$12,Adjustments!$J:$J,'Schedule 2J Adjustments'!$A59)</f>
        <v>0</v>
      </c>
      <c r="H59" s="310">
        <f t="shared" si="0"/>
        <v>0</v>
      </c>
      <c r="I59" s="68">
        <f>IFERROR(F59*'As-Filed Schedule 1'!$E$103,0)</f>
        <v>0</v>
      </c>
      <c r="J59" s="311">
        <f>IFERROR(H59*'Adjusted Schedule 1'!$E$104,0)</f>
        <v>0</v>
      </c>
      <c r="K59" s="68">
        <f t="shared" si="1"/>
        <v>0</v>
      </c>
      <c r="L59" s="311">
        <f t="shared" si="2"/>
        <v>0</v>
      </c>
      <c r="N59" s="117">
        <f>'As-Filed Schedule 2J'!J59</f>
        <v>0</v>
      </c>
      <c r="O59" s="314">
        <f>SUMIFS(Adjustments!$G:$G,Adjustments!$H:$H,"2J",Adjustments!$I:$I,'Schedule 2J Adjustments'!$N$12,Adjustments!$J:$J,'Schedule 2J Adjustments'!$A59)</f>
        <v>0</v>
      </c>
      <c r="P59" s="310">
        <f t="shared" si="3"/>
        <v>0</v>
      </c>
      <c r="Q59" s="68">
        <f>IFERROR(N59*'As-Filed Schedule 1'!$E$103,0)</f>
        <v>0</v>
      </c>
      <c r="R59" s="68">
        <f>IFERROR(P59*'Adjusted Schedule 1'!$E$104,0)</f>
        <v>0</v>
      </c>
      <c r="S59" s="68">
        <f t="shared" si="4"/>
        <v>0</v>
      </c>
      <c r="T59" s="311">
        <f t="shared" si="5"/>
        <v>0</v>
      </c>
      <c r="V59" s="120">
        <f>'As-Filed Schedule 2J'!N59</f>
        <v>0</v>
      </c>
      <c r="W59" s="314">
        <f>SUMIFS(Adjustments!$G:$G,Adjustments!$H:$H,"2J",Adjustments!$I:$I,'Schedule 2J Adjustments'!$V$12,Adjustments!$J:$J,'Schedule 2J Adjustments'!$A59)</f>
        <v>0</v>
      </c>
      <c r="X59" s="310">
        <f t="shared" si="6"/>
        <v>0</v>
      </c>
      <c r="Y59" s="120">
        <f>'As-Filed Schedule 2J'!O59</f>
        <v>0</v>
      </c>
      <c r="Z59" s="314">
        <f>SUMIFS(Adjustments!$G:$G,Adjustments!$H:$H,"2J",Adjustments!$I:$I,'Schedule 2J Adjustments'!$Y$12,Adjustments!$J:$J,'Schedule 2J Adjustments'!$A59)</f>
        <v>0</v>
      </c>
      <c r="AA59" s="310">
        <f t="shared" si="7"/>
        <v>0</v>
      </c>
    </row>
    <row r="60" spans="1:27" x14ac:dyDescent="0.35">
      <c r="A60" s="24">
        <v>46</v>
      </c>
      <c r="B60" s="513" t="str">
        <f>IF('As-Filed Schedule 2J'!B60:D60=0,"",'As-Filed Schedule 2J'!B60:D60)</f>
        <v/>
      </c>
      <c r="C60" s="513"/>
      <c r="D60" s="513"/>
      <c r="F60" s="117">
        <f>'As-Filed Schedule 2J'!F60</f>
        <v>0</v>
      </c>
      <c r="G60" s="314">
        <f>SUMIFS(Adjustments!$G:$G,Adjustments!$H:$H,"2J",Adjustments!$I:$I,'Schedule 2J Adjustments'!$F$12,Adjustments!$J:$J,'Schedule 2J Adjustments'!$A60)</f>
        <v>0</v>
      </c>
      <c r="H60" s="310">
        <f t="shared" si="0"/>
        <v>0</v>
      </c>
      <c r="I60" s="68">
        <f>IFERROR(F60*'As-Filed Schedule 1'!$E$103,0)</f>
        <v>0</v>
      </c>
      <c r="J60" s="311">
        <f>IFERROR(H60*'Adjusted Schedule 1'!$E$104,0)</f>
        <v>0</v>
      </c>
      <c r="K60" s="68">
        <f t="shared" si="1"/>
        <v>0</v>
      </c>
      <c r="L60" s="311">
        <f t="shared" si="2"/>
        <v>0</v>
      </c>
      <c r="N60" s="117">
        <f>'As-Filed Schedule 2J'!J60</f>
        <v>0</v>
      </c>
      <c r="O60" s="314">
        <f>SUMIFS(Adjustments!$G:$G,Adjustments!$H:$H,"2J",Adjustments!$I:$I,'Schedule 2J Adjustments'!$N$12,Adjustments!$J:$J,'Schedule 2J Adjustments'!$A60)</f>
        <v>0</v>
      </c>
      <c r="P60" s="310">
        <f t="shared" si="3"/>
        <v>0</v>
      </c>
      <c r="Q60" s="68">
        <f>IFERROR(N60*'As-Filed Schedule 1'!$E$103,0)</f>
        <v>0</v>
      </c>
      <c r="R60" s="68">
        <f>IFERROR(P60*'Adjusted Schedule 1'!$E$104,0)</f>
        <v>0</v>
      </c>
      <c r="S60" s="68">
        <f t="shared" si="4"/>
        <v>0</v>
      </c>
      <c r="T60" s="311">
        <f t="shared" si="5"/>
        <v>0</v>
      </c>
      <c r="V60" s="120">
        <f>'As-Filed Schedule 2J'!N60</f>
        <v>0</v>
      </c>
      <c r="W60" s="314">
        <f>SUMIFS(Adjustments!$G:$G,Adjustments!$H:$H,"2J",Adjustments!$I:$I,'Schedule 2J Adjustments'!$V$12,Adjustments!$J:$J,'Schedule 2J Adjustments'!$A60)</f>
        <v>0</v>
      </c>
      <c r="X60" s="310">
        <f t="shared" si="6"/>
        <v>0</v>
      </c>
      <c r="Y60" s="120">
        <f>'As-Filed Schedule 2J'!O60</f>
        <v>0</v>
      </c>
      <c r="Z60" s="314">
        <f>SUMIFS(Adjustments!$G:$G,Adjustments!$H:$H,"2J",Adjustments!$I:$I,'Schedule 2J Adjustments'!$Y$12,Adjustments!$J:$J,'Schedule 2J Adjustments'!$A60)</f>
        <v>0</v>
      </c>
      <c r="AA60" s="310">
        <f t="shared" si="7"/>
        <v>0</v>
      </c>
    </row>
    <row r="61" spans="1:27" x14ac:dyDescent="0.35">
      <c r="A61" s="24">
        <v>47</v>
      </c>
      <c r="B61" s="513" t="str">
        <f>IF('As-Filed Schedule 2J'!B61:D61=0,"",'As-Filed Schedule 2J'!B61:D61)</f>
        <v/>
      </c>
      <c r="C61" s="513"/>
      <c r="D61" s="513"/>
      <c r="F61" s="117">
        <f>'As-Filed Schedule 2J'!F61</f>
        <v>0</v>
      </c>
      <c r="G61" s="314">
        <f>SUMIFS(Adjustments!$G:$G,Adjustments!$H:$H,"2J",Adjustments!$I:$I,'Schedule 2J Adjustments'!$F$12,Adjustments!$J:$J,'Schedule 2J Adjustments'!$A61)</f>
        <v>0</v>
      </c>
      <c r="H61" s="310">
        <f t="shared" si="0"/>
        <v>0</v>
      </c>
      <c r="I61" s="68">
        <f>IFERROR(F61*'As-Filed Schedule 1'!$E$103,0)</f>
        <v>0</v>
      </c>
      <c r="J61" s="311">
        <f>IFERROR(H61*'Adjusted Schedule 1'!$E$104,0)</f>
        <v>0</v>
      </c>
      <c r="K61" s="68">
        <f t="shared" si="1"/>
        <v>0</v>
      </c>
      <c r="L61" s="311">
        <f t="shared" si="2"/>
        <v>0</v>
      </c>
      <c r="N61" s="117">
        <f>'As-Filed Schedule 2J'!J61</f>
        <v>0</v>
      </c>
      <c r="O61" s="314">
        <f>SUMIFS(Adjustments!$G:$G,Adjustments!$H:$H,"2J",Adjustments!$I:$I,'Schedule 2J Adjustments'!$N$12,Adjustments!$J:$J,'Schedule 2J Adjustments'!$A61)</f>
        <v>0</v>
      </c>
      <c r="P61" s="310">
        <f t="shared" si="3"/>
        <v>0</v>
      </c>
      <c r="Q61" s="68">
        <f>IFERROR(N61*'As-Filed Schedule 1'!$E$103,0)</f>
        <v>0</v>
      </c>
      <c r="R61" s="68">
        <f>IFERROR(P61*'Adjusted Schedule 1'!$E$104,0)</f>
        <v>0</v>
      </c>
      <c r="S61" s="68">
        <f t="shared" si="4"/>
        <v>0</v>
      </c>
      <c r="T61" s="311">
        <f t="shared" si="5"/>
        <v>0</v>
      </c>
      <c r="V61" s="120">
        <f>'As-Filed Schedule 2J'!N61</f>
        <v>0</v>
      </c>
      <c r="W61" s="314">
        <f>SUMIFS(Adjustments!$G:$G,Adjustments!$H:$H,"2J",Adjustments!$I:$I,'Schedule 2J Adjustments'!$V$12,Adjustments!$J:$J,'Schedule 2J Adjustments'!$A61)</f>
        <v>0</v>
      </c>
      <c r="X61" s="310">
        <f t="shared" si="6"/>
        <v>0</v>
      </c>
      <c r="Y61" s="120">
        <f>'As-Filed Schedule 2J'!O61</f>
        <v>0</v>
      </c>
      <c r="Z61" s="314">
        <f>SUMIFS(Adjustments!$G:$G,Adjustments!$H:$H,"2J",Adjustments!$I:$I,'Schedule 2J Adjustments'!$Y$12,Adjustments!$J:$J,'Schedule 2J Adjustments'!$A61)</f>
        <v>0</v>
      </c>
      <c r="AA61" s="310">
        <f t="shared" si="7"/>
        <v>0</v>
      </c>
    </row>
    <row r="62" spans="1:27" x14ac:dyDescent="0.35">
      <c r="A62" s="24">
        <v>48</v>
      </c>
      <c r="B62" s="513" t="str">
        <f>IF('As-Filed Schedule 2J'!B62:D62=0,"",'As-Filed Schedule 2J'!B62:D62)</f>
        <v/>
      </c>
      <c r="C62" s="513"/>
      <c r="D62" s="513"/>
      <c r="F62" s="117">
        <f>'As-Filed Schedule 2J'!F62</f>
        <v>0</v>
      </c>
      <c r="G62" s="314">
        <f>SUMIFS(Adjustments!$G:$G,Adjustments!$H:$H,"2J",Adjustments!$I:$I,'Schedule 2J Adjustments'!$F$12,Adjustments!$J:$J,'Schedule 2J Adjustments'!$A62)</f>
        <v>0</v>
      </c>
      <c r="H62" s="310">
        <f t="shared" si="0"/>
        <v>0</v>
      </c>
      <c r="I62" s="68">
        <f>IFERROR(F62*'As-Filed Schedule 1'!$E$103,0)</f>
        <v>0</v>
      </c>
      <c r="J62" s="311">
        <f>IFERROR(H62*'Adjusted Schedule 1'!$E$104,0)</f>
        <v>0</v>
      </c>
      <c r="K62" s="68">
        <f t="shared" si="1"/>
        <v>0</v>
      </c>
      <c r="L62" s="311">
        <f t="shared" si="2"/>
        <v>0</v>
      </c>
      <c r="N62" s="117">
        <f>'As-Filed Schedule 2J'!J62</f>
        <v>0</v>
      </c>
      <c r="O62" s="314">
        <f>SUMIFS(Adjustments!$G:$G,Adjustments!$H:$H,"2J",Adjustments!$I:$I,'Schedule 2J Adjustments'!$N$12,Adjustments!$J:$J,'Schedule 2J Adjustments'!$A62)</f>
        <v>0</v>
      </c>
      <c r="P62" s="310">
        <f t="shared" si="3"/>
        <v>0</v>
      </c>
      <c r="Q62" s="68">
        <f>IFERROR(N62*'As-Filed Schedule 1'!$E$103,0)</f>
        <v>0</v>
      </c>
      <c r="R62" s="68">
        <f>IFERROR(P62*'Adjusted Schedule 1'!$E$104,0)</f>
        <v>0</v>
      </c>
      <c r="S62" s="68">
        <f t="shared" si="4"/>
        <v>0</v>
      </c>
      <c r="T62" s="311">
        <f t="shared" si="5"/>
        <v>0</v>
      </c>
      <c r="V62" s="120">
        <f>'As-Filed Schedule 2J'!N62</f>
        <v>0</v>
      </c>
      <c r="W62" s="314">
        <f>SUMIFS(Adjustments!$G:$G,Adjustments!$H:$H,"2J",Adjustments!$I:$I,'Schedule 2J Adjustments'!$V$12,Adjustments!$J:$J,'Schedule 2J Adjustments'!$A62)</f>
        <v>0</v>
      </c>
      <c r="X62" s="310">
        <f t="shared" si="6"/>
        <v>0</v>
      </c>
      <c r="Y62" s="120">
        <f>'As-Filed Schedule 2J'!O62</f>
        <v>0</v>
      </c>
      <c r="Z62" s="314">
        <f>SUMIFS(Adjustments!$G:$G,Adjustments!$H:$H,"2J",Adjustments!$I:$I,'Schedule 2J Adjustments'!$Y$12,Adjustments!$J:$J,'Schedule 2J Adjustments'!$A62)</f>
        <v>0</v>
      </c>
      <c r="AA62" s="310">
        <f t="shared" si="7"/>
        <v>0</v>
      </c>
    </row>
    <row r="63" spans="1:27" x14ac:dyDescent="0.35">
      <c r="A63" s="24">
        <v>49</v>
      </c>
      <c r="B63" s="513" t="str">
        <f>IF('As-Filed Schedule 2J'!B63:D63=0,"",'As-Filed Schedule 2J'!B63:D63)</f>
        <v/>
      </c>
      <c r="C63" s="513"/>
      <c r="D63" s="513"/>
      <c r="F63" s="117">
        <f>'As-Filed Schedule 2J'!F63</f>
        <v>0</v>
      </c>
      <c r="G63" s="314">
        <f>SUMIFS(Adjustments!$G:$G,Adjustments!$H:$H,"2J",Adjustments!$I:$I,'Schedule 2J Adjustments'!$F$12,Adjustments!$J:$J,'Schedule 2J Adjustments'!$A63)</f>
        <v>0</v>
      </c>
      <c r="H63" s="310">
        <f t="shared" si="0"/>
        <v>0</v>
      </c>
      <c r="I63" s="68">
        <f>IFERROR(F63*'As-Filed Schedule 1'!$E$103,0)</f>
        <v>0</v>
      </c>
      <c r="J63" s="311">
        <f>IFERROR(H63*'Adjusted Schedule 1'!$E$104,0)</f>
        <v>0</v>
      </c>
      <c r="K63" s="68">
        <f t="shared" si="1"/>
        <v>0</v>
      </c>
      <c r="L63" s="311">
        <f t="shared" si="2"/>
        <v>0</v>
      </c>
      <c r="N63" s="117">
        <f>'As-Filed Schedule 2J'!J63</f>
        <v>0</v>
      </c>
      <c r="O63" s="314">
        <f>SUMIFS(Adjustments!$G:$G,Adjustments!$H:$H,"2J",Adjustments!$I:$I,'Schedule 2J Adjustments'!$N$12,Adjustments!$J:$J,'Schedule 2J Adjustments'!$A63)</f>
        <v>0</v>
      </c>
      <c r="P63" s="310">
        <f t="shared" si="3"/>
        <v>0</v>
      </c>
      <c r="Q63" s="68">
        <f>IFERROR(N63*'As-Filed Schedule 1'!$E$103,0)</f>
        <v>0</v>
      </c>
      <c r="R63" s="68">
        <f>IFERROR(P63*'Adjusted Schedule 1'!$E$104,0)</f>
        <v>0</v>
      </c>
      <c r="S63" s="68">
        <f t="shared" si="4"/>
        <v>0</v>
      </c>
      <c r="T63" s="311">
        <f t="shared" si="5"/>
        <v>0</v>
      </c>
      <c r="V63" s="120">
        <f>'As-Filed Schedule 2J'!N63</f>
        <v>0</v>
      </c>
      <c r="W63" s="314">
        <f>SUMIFS(Adjustments!$G:$G,Adjustments!$H:$H,"2J",Adjustments!$I:$I,'Schedule 2J Adjustments'!$V$12,Adjustments!$J:$J,'Schedule 2J Adjustments'!$A63)</f>
        <v>0</v>
      </c>
      <c r="X63" s="310">
        <f t="shared" si="6"/>
        <v>0</v>
      </c>
      <c r="Y63" s="120">
        <f>'As-Filed Schedule 2J'!O63</f>
        <v>0</v>
      </c>
      <c r="Z63" s="314">
        <f>SUMIFS(Adjustments!$G:$G,Adjustments!$H:$H,"2J",Adjustments!$I:$I,'Schedule 2J Adjustments'!$Y$12,Adjustments!$J:$J,'Schedule 2J Adjustments'!$A63)</f>
        <v>0</v>
      </c>
      <c r="AA63" s="310">
        <f t="shared" si="7"/>
        <v>0</v>
      </c>
    </row>
    <row r="64" spans="1:27" x14ac:dyDescent="0.35">
      <c r="A64" s="24">
        <v>50</v>
      </c>
      <c r="B64" s="513" t="str">
        <f>IF('As-Filed Schedule 2J'!B64:D64=0,"",'As-Filed Schedule 2J'!B64:D64)</f>
        <v/>
      </c>
      <c r="C64" s="513"/>
      <c r="D64" s="513"/>
      <c r="F64" s="117">
        <f>'As-Filed Schedule 2J'!F64</f>
        <v>0</v>
      </c>
      <c r="G64" s="314">
        <f>SUMIFS(Adjustments!$G:$G,Adjustments!$H:$H,"2J",Adjustments!$I:$I,'Schedule 2J Adjustments'!$F$12,Adjustments!$J:$J,'Schedule 2J Adjustments'!$A64)</f>
        <v>0</v>
      </c>
      <c r="H64" s="310">
        <f t="shared" si="0"/>
        <v>0</v>
      </c>
      <c r="I64" s="68">
        <f>IFERROR(F64*'As-Filed Schedule 1'!$E$103,0)</f>
        <v>0</v>
      </c>
      <c r="J64" s="311">
        <f>IFERROR(H64*'Adjusted Schedule 1'!$E$104,0)</f>
        <v>0</v>
      </c>
      <c r="K64" s="68">
        <f t="shared" si="1"/>
        <v>0</v>
      </c>
      <c r="L64" s="311">
        <f t="shared" si="2"/>
        <v>0</v>
      </c>
      <c r="N64" s="117">
        <f>'As-Filed Schedule 2J'!J64</f>
        <v>0</v>
      </c>
      <c r="O64" s="314">
        <f>SUMIFS(Adjustments!$G:$G,Adjustments!$H:$H,"2J",Adjustments!$I:$I,'Schedule 2J Adjustments'!$N$12,Adjustments!$J:$J,'Schedule 2J Adjustments'!$A64)</f>
        <v>0</v>
      </c>
      <c r="P64" s="310">
        <f t="shared" si="3"/>
        <v>0</v>
      </c>
      <c r="Q64" s="68">
        <f>IFERROR(N64*'As-Filed Schedule 1'!$E$103,0)</f>
        <v>0</v>
      </c>
      <c r="R64" s="68">
        <f>IFERROR(P64*'Adjusted Schedule 1'!$E$104,0)</f>
        <v>0</v>
      </c>
      <c r="S64" s="68">
        <f t="shared" si="4"/>
        <v>0</v>
      </c>
      <c r="T64" s="311">
        <f t="shared" si="5"/>
        <v>0</v>
      </c>
      <c r="V64" s="120">
        <f>'As-Filed Schedule 2J'!N64</f>
        <v>0</v>
      </c>
      <c r="W64" s="314">
        <f>SUMIFS(Adjustments!$G:$G,Adjustments!$H:$H,"2J",Adjustments!$I:$I,'Schedule 2J Adjustments'!$V$12,Adjustments!$J:$J,'Schedule 2J Adjustments'!$A64)</f>
        <v>0</v>
      </c>
      <c r="X64" s="310">
        <f t="shared" si="6"/>
        <v>0</v>
      </c>
      <c r="Y64" s="120">
        <f>'As-Filed Schedule 2J'!O64</f>
        <v>0</v>
      </c>
      <c r="Z64" s="314">
        <f>SUMIFS(Adjustments!$G:$G,Adjustments!$H:$H,"2J",Adjustments!$I:$I,'Schedule 2J Adjustments'!$Y$12,Adjustments!$J:$J,'Schedule 2J Adjustments'!$A64)</f>
        <v>0</v>
      </c>
      <c r="AA64" s="310">
        <f t="shared" si="7"/>
        <v>0</v>
      </c>
    </row>
    <row r="65" spans="1:27" x14ac:dyDescent="0.35">
      <c r="A65" s="24">
        <v>51</v>
      </c>
      <c r="B65" s="513" t="str">
        <f>IF('As-Filed Schedule 2J'!B65:D65=0,"",'As-Filed Schedule 2J'!B65:D65)</f>
        <v/>
      </c>
      <c r="C65" s="513"/>
      <c r="D65" s="513"/>
      <c r="F65" s="117">
        <f>'As-Filed Schedule 2J'!F65</f>
        <v>0</v>
      </c>
      <c r="G65" s="314">
        <f>SUMIFS(Adjustments!$G:$G,Adjustments!$H:$H,"2J",Adjustments!$I:$I,'Schedule 2J Adjustments'!$F$12,Adjustments!$J:$J,'Schedule 2J Adjustments'!$A65)</f>
        <v>0</v>
      </c>
      <c r="H65" s="310">
        <f t="shared" si="0"/>
        <v>0</v>
      </c>
      <c r="I65" s="68">
        <f>IFERROR(F65*'As-Filed Schedule 1'!$E$103,0)</f>
        <v>0</v>
      </c>
      <c r="J65" s="311">
        <f>IFERROR(H65*'Adjusted Schedule 1'!$E$104,0)</f>
        <v>0</v>
      </c>
      <c r="K65" s="68">
        <f t="shared" si="1"/>
        <v>0</v>
      </c>
      <c r="L65" s="311">
        <f t="shared" si="2"/>
        <v>0</v>
      </c>
      <c r="N65" s="117">
        <f>'As-Filed Schedule 2J'!J65</f>
        <v>0</v>
      </c>
      <c r="O65" s="314">
        <f>SUMIFS(Adjustments!$G:$G,Adjustments!$H:$H,"2J",Adjustments!$I:$I,'Schedule 2J Adjustments'!$N$12,Adjustments!$J:$J,'Schedule 2J Adjustments'!$A65)</f>
        <v>0</v>
      </c>
      <c r="P65" s="310">
        <f t="shared" si="3"/>
        <v>0</v>
      </c>
      <c r="Q65" s="68">
        <f>IFERROR(N65*'As-Filed Schedule 1'!$E$103,0)</f>
        <v>0</v>
      </c>
      <c r="R65" s="68">
        <f>IFERROR(P65*'Adjusted Schedule 1'!$E$104,0)</f>
        <v>0</v>
      </c>
      <c r="S65" s="68">
        <f t="shared" si="4"/>
        <v>0</v>
      </c>
      <c r="T65" s="311">
        <f t="shared" si="5"/>
        <v>0</v>
      </c>
      <c r="V65" s="120">
        <f>'As-Filed Schedule 2J'!N65</f>
        <v>0</v>
      </c>
      <c r="W65" s="314">
        <f>SUMIFS(Adjustments!$G:$G,Adjustments!$H:$H,"2J",Adjustments!$I:$I,'Schedule 2J Adjustments'!$V$12,Adjustments!$J:$J,'Schedule 2J Adjustments'!$A65)</f>
        <v>0</v>
      </c>
      <c r="X65" s="310">
        <f t="shared" si="6"/>
        <v>0</v>
      </c>
      <c r="Y65" s="120">
        <f>'As-Filed Schedule 2J'!O65</f>
        <v>0</v>
      </c>
      <c r="Z65" s="314">
        <f>SUMIFS(Adjustments!$G:$G,Adjustments!$H:$H,"2J",Adjustments!$I:$I,'Schedule 2J Adjustments'!$Y$12,Adjustments!$J:$J,'Schedule 2J Adjustments'!$A65)</f>
        <v>0</v>
      </c>
      <c r="AA65" s="310">
        <f t="shared" si="7"/>
        <v>0</v>
      </c>
    </row>
    <row r="66" spans="1:27" x14ac:dyDescent="0.35">
      <c r="A66" s="24">
        <v>52</v>
      </c>
      <c r="B66" s="513" t="str">
        <f>IF('As-Filed Schedule 2J'!B66:D66=0,"",'As-Filed Schedule 2J'!B66:D66)</f>
        <v/>
      </c>
      <c r="C66" s="513"/>
      <c r="D66" s="513"/>
      <c r="F66" s="117">
        <f>'As-Filed Schedule 2J'!F66</f>
        <v>0</v>
      </c>
      <c r="G66" s="314">
        <f>SUMIFS(Adjustments!$G:$G,Adjustments!$H:$H,"2J",Adjustments!$I:$I,'Schedule 2J Adjustments'!$F$12,Adjustments!$J:$J,'Schedule 2J Adjustments'!$A66)</f>
        <v>0</v>
      </c>
      <c r="H66" s="310">
        <f t="shared" si="0"/>
        <v>0</v>
      </c>
      <c r="I66" s="68">
        <f>IFERROR(F66*'As-Filed Schedule 1'!$E$103,0)</f>
        <v>0</v>
      </c>
      <c r="J66" s="311">
        <f>IFERROR(H66*'Adjusted Schedule 1'!$E$104,0)</f>
        <v>0</v>
      </c>
      <c r="K66" s="68">
        <f t="shared" si="1"/>
        <v>0</v>
      </c>
      <c r="L66" s="311">
        <f t="shared" si="2"/>
        <v>0</v>
      </c>
      <c r="N66" s="117">
        <f>'As-Filed Schedule 2J'!J66</f>
        <v>0</v>
      </c>
      <c r="O66" s="314">
        <f>SUMIFS(Adjustments!$G:$G,Adjustments!$H:$H,"2J",Adjustments!$I:$I,'Schedule 2J Adjustments'!$N$12,Adjustments!$J:$J,'Schedule 2J Adjustments'!$A66)</f>
        <v>0</v>
      </c>
      <c r="P66" s="310">
        <f t="shared" si="3"/>
        <v>0</v>
      </c>
      <c r="Q66" s="68">
        <f>IFERROR(N66*'As-Filed Schedule 1'!$E$103,0)</f>
        <v>0</v>
      </c>
      <c r="R66" s="68">
        <f>IFERROR(P66*'Adjusted Schedule 1'!$E$104,0)</f>
        <v>0</v>
      </c>
      <c r="S66" s="68">
        <f t="shared" si="4"/>
        <v>0</v>
      </c>
      <c r="T66" s="311">
        <f t="shared" si="5"/>
        <v>0</v>
      </c>
      <c r="V66" s="120">
        <f>'As-Filed Schedule 2J'!N66</f>
        <v>0</v>
      </c>
      <c r="W66" s="314">
        <f>SUMIFS(Adjustments!$G:$G,Adjustments!$H:$H,"2J",Adjustments!$I:$I,'Schedule 2J Adjustments'!$V$12,Adjustments!$J:$J,'Schedule 2J Adjustments'!$A66)</f>
        <v>0</v>
      </c>
      <c r="X66" s="310">
        <f t="shared" si="6"/>
        <v>0</v>
      </c>
      <c r="Y66" s="120">
        <f>'As-Filed Schedule 2J'!O66</f>
        <v>0</v>
      </c>
      <c r="Z66" s="314">
        <f>SUMIFS(Adjustments!$G:$G,Adjustments!$H:$H,"2J",Adjustments!$I:$I,'Schedule 2J Adjustments'!$Y$12,Adjustments!$J:$J,'Schedule 2J Adjustments'!$A66)</f>
        <v>0</v>
      </c>
      <c r="AA66" s="310">
        <f t="shared" si="7"/>
        <v>0</v>
      </c>
    </row>
    <row r="67" spans="1:27" x14ac:dyDescent="0.35">
      <c r="A67" s="24">
        <v>53</v>
      </c>
      <c r="B67" s="513" t="str">
        <f>IF('As-Filed Schedule 2J'!B67:D67=0,"",'As-Filed Schedule 2J'!B67:D67)</f>
        <v/>
      </c>
      <c r="C67" s="513"/>
      <c r="D67" s="513"/>
      <c r="F67" s="117">
        <f>'As-Filed Schedule 2J'!F67</f>
        <v>0</v>
      </c>
      <c r="G67" s="314">
        <f>SUMIFS(Adjustments!$G:$G,Adjustments!$H:$H,"2J",Adjustments!$I:$I,'Schedule 2J Adjustments'!$F$12,Adjustments!$J:$J,'Schedule 2J Adjustments'!$A67)</f>
        <v>0</v>
      </c>
      <c r="H67" s="310">
        <f t="shared" si="0"/>
        <v>0</v>
      </c>
      <c r="I67" s="68">
        <f>IFERROR(F67*'As-Filed Schedule 1'!$E$103,0)</f>
        <v>0</v>
      </c>
      <c r="J67" s="311">
        <f>IFERROR(H67*'Adjusted Schedule 1'!$E$104,0)</f>
        <v>0</v>
      </c>
      <c r="K67" s="68">
        <f t="shared" si="1"/>
        <v>0</v>
      </c>
      <c r="L67" s="311">
        <f t="shared" si="2"/>
        <v>0</v>
      </c>
      <c r="N67" s="117">
        <f>'As-Filed Schedule 2J'!J67</f>
        <v>0</v>
      </c>
      <c r="O67" s="314">
        <f>SUMIFS(Adjustments!$G:$G,Adjustments!$H:$H,"2J",Adjustments!$I:$I,'Schedule 2J Adjustments'!$N$12,Adjustments!$J:$J,'Schedule 2J Adjustments'!$A67)</f>
        <v>0</v>
      </c>
      <c r="P67" s="310">
        <f t="shared" si="3"/>
        <v>0</v>
      </c>
      <c r="Q67" s="68">
        <f>IFERROR(N67*'As-Filed Schedule 1'!$E$103,0)</f>
        <v>0</v>
      </c>
      <c r="R67" s="68">
        <f>IFERROR(P67*'Adjusted Schedule 1'!$E$104,0)</f>
        <v>0</v>
      </c>
      <c r="S67" s="68">
        <f t="shared" si="4"/>
        <v>0</v>
      </c>
      <c r="T67" s="311">
        <f t="shared" si="5"/>
        <v>0</v>
      </c>
      <c r="V67" s="120">
        <f>'As-Filed Schedule 2J'!N67</f>
        <v>0</v>
      </c>
      <c r="W67" s="314">
        <f>SUMIFS(Adjustments!$G:$G,Adjustments!$H:$H,"2J",Adjustments!$I:$I,'Schedule 2J Adjustments'!$V$12,Adjustments!$J:$J,'Schedule 2J Adjustments'!$A67)</f>
        <v>0</v>
      </c>
      <c r="X67" s="310">
        <f t="shared" si="6"/>
        <v>0</v>
      </c>
      <c r="Y67" s="120">
        <f>'As-Filed Schedule 2J'!O67</f>
        <v>0</v>
      </c>
      <c r="Z67" s="314">
        <f>SUMIFS(Adjustments!$G:$G,Adjustments!$H:$H,"2J",Adjustments!$I:$I,'Schedule 2J Adjustments'!$Y$12,Adjustments!$J:$J,'Schedule 2J Adjustments'!$A67)</f>
        <v>0</v>
      </c>
      <c r="AA67" s="310">
        <f t="shared" si="7"/>
        <v>0</v>
      </c>
    </row>
    <row r="68" spans="1:27" x14ac:dyDescent="0.35">
      <c r="A68" s="24">
        <v>54</v>
      </c>
      <c r="B68" s="513" t="str">
        <f>IF('As-Filed Schedule 2J'!B68:D68=0,"",'As-Filed Schedule 2J'!B68:D68)</f>
        <v/>
      </c>
      <c r="C68" s="513"/>
      <c r="D68" s="513"/>
      <c r="F68" s="117">
        <f>'As-Filed Schedule 2J'!F68</f>
        <v>0</v>
      </c>
      <c r="G68" s="314">
        <f>SUMIFS(Adjustments!$G:$G,Adjustments!$H:$H,"2J",Adjustments!$I:$I,'Schedule 2J Adjustments'!$F$12,Adjustments!$J:$J,'Schedule 2J Adjustments'!$A68)</f>
        <v>0</v>
      </c>
      <c r="H68" s="310">
        <f t="shared" si="0"/>
        <v>0</v>
      </c>
      <c r="I68" s="68">
        <f>IFERROR(F68*'As-Filed Schedule 1'!$E$103,0)</f>
        <v>0</v>
      </c>
      <c r="J68" s="311">
        <f>IFERROR(H68*'Adjusted Schedule 1'!$E$104,0)</f>
        <v>0</v>
      </c>
      <c r="K68" s="68">
        <f t="shared" si="1"/>
        <v>0</v>
      </c>
      <c r="L68" s="311">
        <f t="shared" si="2"/>
        <v>0</v>
      </c>
      <c r="N68" s="117">
        <f>'As-Filed Schedule 2J'!J68</f>
        <v>0</v>
      </c>
      <c r="O68" s="314">
        <f>SUMIFS(Adjustments!$G:$G,Adjustments!$H:$H,"2J",Adjustments!$I:$I,'Schedule 2J Adjustments'!$N$12,Adjustments!$J:$J,'Schedule 2J Adjustments'!$A68)</f>
        <v>0</v>
      </c>
      <c r="P68" s="310">
        <f t="shared" si="3"/>
        <v>0</v>
      </c>
      <c r="Q68" s="68">
        <f>IFERROR(N68*'As-Filed Schedule 1'!$E$103,0)</f>
        <v>0</v>
      </c>
      <c r="R68" s="68">
        <f>IFERROR(P68*'Adjusted Schedule 1'!$E$104,0)</f>
        <v>0</v>
      </c>
      <c r="S68" s="68">
        <f t="shared" si="4"/>
        <v>0</v>
      </c>
      <c r="T68" s="311">
        <f t="shared" si="5"/>
        <v>0</v>
      </c>
      <c r="V68" s="120">
        <f>'As-Filed Schedule 2J'!N68</f>
        <v>0</v>
      </c>
      <c r="W68" s="314">
        <f>SUMIFS(Adjustments!$G:$G,Adjustments!$H:$H,"2J",Adjustments!$I:$I,'Schedule 2J Adjustments'!$V$12,Adjustments!$J:$J,'Schedule 2J Adjustments'!$A68)</f>
        <v>0</v>
      </c>
      <c r="X68" s="310">
        <f t="shared" si="6"/>
        <v>0</v>
      </c>
      <c r="Y68" s="120">
        <f>'As-Filed Schedule 2J'!O68</f>
        <v>0</v>
      </c>
      <c r="Z68" s="314">
        <f>SUMIFS(Adjustments!$G:$G,Adjustments!$H:$H,"2J",Adjustments!$I:$I,'Schedule 2J Adjustments'!$Y$12,Adjustments!$J:$J,'Schedule 2J Adjustments'!$A68)</f>
        <v>0</v>
      </c>
      <c r="AA68" s="310">
        <f t="shared" si="7"/>
        <v>0</v>
      </c>
    </row>
    <row r="69" spans="1:27" x14ac:dyDescent="0.35">
      <c r="A69" s="24">
        <v>55</v>
      </c>
      <c r="B69" s="513" t="str">
        <f>IF('As-Filed Schedule 2J'!B69:D69=0,"",'As-Filed Schedule 2J'!B69:D69)</f>
        <v/>
      </c>
      <c r="C69" s="513"/>
      <c r="D69" s="513"/>
      <c r="F69" s="117">
        <f>'As-Filed Schedule 2J'!F69</f>
        <v>0</v>
      </c>
      <c r="G69" s="314">
        <f>SUMIFS(Adjustments!$G:$G,Adjustments!$H:$H,"2J",Adjustments!$I:$I,'Schedule 2J Adjustments'!$F$12,Adjustments!$J:$J,'Schedule 2J Adjustments'!$A69)</f>
        <v>0</v>
      </c>
      <c r="H69" s="310">
        <f t="shared" si="0"/>
        <v>0</v>
      </c>
      <c r="I69" s="68">
        <f>IFERROR(F69*'As-Filed Schedule 1'!$E$103,0)</f>
        <v>0</v>
      </c>
      <c r="J69" s="311">
        <f>IFERROR(H69*'Adjusted Schedule 1'!$E$104,0)</f>
        <v>0</v>
      </c>
      <c r="K69" s="68">
        <f t="shared" si="1"/>
        <v>0</v>
      </c>
      <c r="L69" s="311">
        <f t="shared" si="2"/>
        <v>0</v>
      </c>
      <c r="N69" s="117">
        <f>'As-Filed Schedule 2J'!J69</f>
        <v>0</v>
      </c>
      <c r="O69" s="314">
        <f>SUMIFS(Adjustments!$G:$G,Adjustments!$H:$H,"2J",Adjustments!$I:$I,'Schedule 2J Adjustments'!$N$12,Adjustments!$J:$J,'Schedule 2J Adjustments'!$A69)</f>
        <v>0</v>
      </c>
      <c r="P69" s="310">
        <f t="shared" si="3"/>
        <v>0</v>
      </c>
      <c r="Q69" s="68">
        <f>IFERROR(N69*'As-Filed Schedule 1'!$E$103,0)</f>
        <v>0</v>
      </c>
      <c r="R69" s="68">
        <f>IFERROR(P69*'Adjusted Schedule 1'!$E$104,0)</f>
        <v>0</v>
      </c>
      <c r="S69" s="68">
        <f t="shared" si="4"/>
        <v>0</v>
      </c>
      <c r="T69" s="311">
        <f t="shared" si="5"/>
        <v>0</v>
      </c>
      <c r="V69" s="120">
        <f>'As-Filed Schedule 2J'!N69</f>
        <v>0</v>
      </c>
      <c r="W69" s="314">
        <f>SUMIFS(Adjustments!$G:$G,Adjustments!$H:$H,"2J",Adjustments!$I:$I,'Schedule 2J Adjustments'!$V$12,Adjustments!$J:$J,'Schedule 2J Adjustments'!$A69)</f>
        <v>0</v>
      </c>
      <c r="X69" s="310">
        <f t="shared" si="6"/>
        <v>0</v>
      </c>
      <c r="Y69" s="120">
        <f>'As-Filed Schedule 2J'!O69</f>
        <v>0</v>
      </c>
      <c r="Z69" s="314">
        <f>SUMIFS(Adjustments!$G:$G,Adjustments!$H:$H,"2J",Adjustments!$I:$I,'Schedule 2J Adjustments'!$Y$12,Adjustments!$J:$J,'Schedule 2J Adjustments'!$A69)</f>
        <v>0</v>
      </c>
      <c r="AA69" s="310">
        <f t="shared" si="7"/>
        <v>0</v>
      </c>
    </row>
    <row r="70" spans="1:27" x14ac:dyDescent="0.35">
      <c r="A70" s="24">
        <v>56</v>
      </c>
      <c r="B70" s="513" t="str">
        <f>IF('As-Filed Schedule 2J'!B70:D70=0,"",'As-Filed Schedule 2J'!B70:D70)</f>
        <v/>
      </c>
      <c r="C70" s="513"/>
      <c r="D70" s="513"/>
      <c r="F70" s="117">
        <f>'As-Filed Schedule 2J'!F70</f>
        <v>0</v>
      </c>
      <c r="G70" s="314">
        <f>SUMIFS(Adjustments!$G:$G,Adjustments!$H:$H,"2J",Adjustments!$I:$I,'Schedule 2J Adjustments'!$F$12,Adjustments!$J:$J,'Schedule 2J Adjustments'!$A70)</f>
        <v>0</v>
      </c>
      <c r="H70" s="310">
        <f t="shared" si="0"/>
        <v>0</v>
      </c>
      <c r="I70" s="68">
        <f>IFERROR(F70*'As-Filed Schedule 1'!$E$103,0)</f>
        <v>0</v>
      </c>
      <c r="J70" s="311">
        <f>IFERROR(H70*'Adjusted Schedule 1'!$E$104,0)</f>
        <v>0</v>
      </c>
      <c r="K70" s="68">
        <f t="shared" si="1"/>
        <v>0</v>
      </c>
      <c r="L70" s="311">
        <f t="shared" si="2"/>
        <v>0</v>
      </c>
      <c r="N70" s="117">
        <f>'As-Filed Schedule 2J'!J70</f>
        <v>0</v>
      </c>
      <c r="O70" s="314">
        <f>SUMIFS(Adjustments!$G:$G,Adjustments!$H:$H,"2J",Adjustments!$I:$I,'Schedule 2J Adjustments'!$N$12,Adjustments!$J:$J,'Schedule 2J Adjustments'!$A70)</f>
        <v>0</v>
      </c>
      <c r="P70" s="310">
        <f t="shared" si="3"/>
        <v>0</v>
      </c>
      <c r="Q70" s="68">
        <f>IFERROR(N70*'As-Filed Schedule 1'!$E$103,0)</f>
        <v>0</v>
      </c>
      <c r="R70" s="68">
        <f>IFERROR(P70*'Adjusted Schedule 1'!$E$104,0)</f>
        <v>0</v>
      </c>
      <c r="S70" s="68">
        <f t="shared" si="4"/>
        <v>0</v>
      </c>
      <c r="T70" s="311">
        <f t="shared" si="5"/>
        <v>0</v>
      </c>
      <c r="V70" s="120">
        <f>'As-Filed Schedule 2J'!N70</f>
        <v>0</v>
      </c>
      <c r="W70" s="314">
        <f>SUMIFS(Adjustments!$G:$G,Adjustments!$H:$H,"2J",Adjustments!$I:$I,'Schedule 2J Adjustments'!$V$12,Adjustments!$J:$J,'Schedule 2J Adjustments'!$A70)</f>
        <v>0</v>
      </c>
      <c r="X70" s="310">
        <f t="shared" si="6"/>
        <v>0</v>
      </c>
      <c r="Y70" s="120">
        <f>'As-Filed Schedule 2J'!O70</f>
        <v>0</v>
      </c>
      <c r="Z70" s="314">
        <f>SUMIFS(Adjustments!$G:$G,Adjustments!$H:$H,"2J",Adjustments!$I:$I,'Schedule 2J Adjustments'!$Y$12,Adjustments!$J:$J,'Schedule 2J Adjustments'!$A70)</f>
        <v>0</v>
      </c>
      <c r="AA70" s="310">
        <f t="shared" si="7"/>
        <v>0</v>
      </c>
    </row>
    <row r="71" spans="1:27" x14ac:dyDescent="0.35">
      <c r="A71" s="24">
        <v>57</v>
      </c>
      <c r="B71" s="513" t="str">
        <f>IF('As-Filed Schedule 2J'!B71:D71=0,"",'As-Filed Schedule 2J'!B71:D71)</f>
        <v/>
      </c>
      <c r="C71" s="513"/>
      <c r="D71" s="513"/>
      <c r="F71" s="117">
        <f>'As-Filed Schedule 2J'!F71</f>
        <v>0</v>
      </c>
      <c r="G71" s="314">
        <f>SUMIFS(Adjustments!$G:$G,Adjustments!$H:$H,"2J",Adjustments!$I:$I,'Schedule 2J Adjustments'!$F$12,Adjustments!$J:$J,'Schedule 2J Adjustments'!$A71)</f>
        <v>0</v>
      </c>
      <c r="H71" s="310">
        <f t="shared" si="0"/>
        <v>0</v>
      </c>
      <c r="I71" s="68">
        <f>IFERROR(F71*'As-Filed Schedule 1'!$E$103,0)</f>
        <v>0</v>
      </c>
      <c r="J71" s="311">
        <f>IFERROR(H71*'Adjusted Schedule 1'!$E$104,0)</f>
        <v>0</v>
      </c>
      <c r="K71" s="68">
        <f t="shared" si="1"/>
        <v>0</v>
      </c>
      <c r="L71" s="311">
        <f t="shared" si="2"/>
        <v>0</v>
      </c>
      <c r="N71" s="117">
        <f>'As-Filed Schedule 2J'!J71</f>
        <v>0</v>
      </c>
      <c r="O71" s="314">
        <f>SUMIFS(Adjustments!$G:$G,Adjustments!$H:$H,"2J",Adjustments!$I:$I,'Schedule 2J Adjustments'!$N$12,Adjustments!$J:$J,'Schedule 2J Adjustments'!$A71)</f>
        <v>0</v>
      </c>
      <c r="P71" s="310">
        <f t="shared" si="3"/>
        <v>0</v>
      </c>
      <c r="Q71" s="68">
        <f>IFERROR(N71*'As-Filed Schedule 1'!$E$103,0)</f>
        <v>0</v>
      </c>
      <c r="R71" s="68">
        <f>IFERROR(P71*'Adjusted Schedule 1'!$E$104,0)</f>
        <v>0</v>
      </c>
      <c r="S71" s="68">
        <f t="shared" si="4"/>
        <v>0</v>
      </c>
      <c r="T71" s="311">
        <f t="shared" si="5"/>
        <v>0</v>
      </c>
      <c r="V71" s="120">
        <f>'As-Filed Schedule 2J'!N71</f>
        <v>0</v>
      </c>
      <c r="W71" s="314">
        <f>SUMIFS(Adjustments!$G:$G,Adjustments!$H:$H,"2J",Adjustments!$I:$I,'Schedule 2J Adjustments'!$V$12,Adjustments!$J:$J,'Schedule 2J Adjustments'!$A71)</f>
        <v>0</v>
      </c>
      <c r="X71" s="310">
        <f t="shared" si="6"/>
        <v>0</v>
      </c>
      <c r="Y71" s="120">
        <f>'As-Filed Schedule 2J'!O71</f>
        <v>0</v>
      </c>
      <c r="Z71" s="314">
        <f>SUMIFS(Adjustments!$G:$G,Adjustments!$H:$H,"2J",Adjustments!$I:$I,'Schedule 2J Adjustments'!$Y$12,Adjustments!$J:$J,'Schedule 2J Adjustments'!$A71)</f>
        <v>0</v>
      </c>
      <c r="AA71" s="310">
        <f t="shared" si="7"/>
        <v>0</v>
      </c>
    </row>
    <row r="72" spans="1:27" x14ac:dyDescent="0.35">
      <c r="A72" s="24">
        <v>58</v>
      </c>
      <c r="B72" s="513" t="str">
        <f>IF('As-Filed Schedule 2J'!B72:D72=0,"",'As-Filed Schedule 2J'!B72:D72)</f>
        <v/>
      </c>
      <c r="C72" s="513"/>
      <c r="D72" s="513"/>
      <c r="F72" s="117">
        <f>'As-Filed Schedule 2J'!F72</f>
        <v>0</v>
      </c>
      <c r="G72" s="314">
        <f>SUMIFS(Adjustments!$G:$G,Adjustments!$H:$H,"2J",Adjustments!$I:$I,'Schedule 2J Adjustments'!$F$12,Adjustments!$J:$J,'Schedule 2J Adjustments'!$A72)</f>
        <v>0</v>
      </c>
      <c r="H72" s="310">
        <f t="shared" si="0"/>
        <v>0</v>
      </c>
      <c r="I72" s="68">
        <f>IFERROR(F72*'As-Filed Schedule 1'!$E$103,0)</f>
        <v>0</v>
      </c>
      <c r="J72" s="311">
        <f>IFERROR(H72*'Adjusted Schedule 1'!$E$104,0)</f>
        <v>0</v>
      </c>
      <c r="K72" s="68">
        <f t="shared" si="1"/>
        <v>0</v>
      </c>
      <c r="L72" s="311">
        <f t="shared" si="2"/>
        <v>0</v>
      </c>
      <c r="N72" s="117">
        <f>'As-Filed Schedule 2J'!J72</f>
        <v>0</v>
      </c>
      <c r="O72" s="314">
        <f>SUMIFS(Adjustments!$G:$G,Adjustments!$H:$H,"2J",Adjustments!$I:$I,'Schedule 2J Adjustments'!$N$12,Adjustments!$J:$J,'Schedule 2J Adjustments'!$A72)</f>
        <v>0</v>
      </c>
      <c r="P72" s="310">
        <f t="shared" si="3"/>
        <v>0</v>
      </c>
      <c r="Q72" s="68">
        <f>IFERROR(N72*'As-Filed Schedule 1'!$E$103,0)</f>
        <v>0</v>
      </c>
      <c r="R72" s="68">
        <f>IFERROR(P72*'Adjusted Schedule 1'!$E$104,0)</f>
        <v>0</v>
      </c>
      <c r="S72" s="68">
        <f t="shared" si="4"/>
        <v>0</v>
      </c>
      <c r="T72" s="311">
        <f t="shared" si="5"/>
        <v>0</v>
      </c>
      <c r="V72" s="120">
        <f>'As-Filed Schedule 2J'!N72</f>
        <v>0</v>
      </c>
      <c r="W72" s="314">
        <f>SUMIFS(Adjustments!$G:$G,Adjustments!$H:$H,"2J",Adjustments!$I:$I,'Schedule 2J Adjustments'!$V$12,Adjustments!$J:$J,'Schedule 2J Adjustments'!$A72)</f>
        <v>0</v>
      </c>
      <c r="X72" s="310">
        <f t="shared" si="6"/>
        <v>0</v>
      </c>
      <c r="Y72" s="120">
        <f>'As-Filed Schedule 2J'!O72</f>
        <v>0</v>
      </c>
      <c r="Z72" s="314">
        <f>SUMIFS(Adjustments!$G:$G,Adjustments!$H:$H,"2J",Adjustments!$I:$I,'Schedule 2J Adjustments'!$Y$12,Adjustments!$J:$J,'Schedule 2J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dataConsolidate/>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1"/>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494" t="s">
        <v>845</v>
      </c>
      <c r="B3" s="494"/>
      <c r="C3" s="494"/>
      <c r="D3" s="494"/>
      <c r="E3" s="494"/>
      <c r="F3" s="494"/>
      <c r="G3" s="494"/>
      <c r="H3" s="494"/>
      <c r="I3" s="494"/>
      <c r="J3" s="494"/>
      <c r="K3" s="494"/>
      <c r="L3" s="322"/>
    </row>
    <row r="5" spans="1:27" x14ac:dyDescent="0.35">
      <c r="A5" s="1" t="s">
        <v>773</v>
      </c>
      <c r="C5" s="421" t="str">
        <f>Results!$C$6</f>
        <v>Health Solutions</v>
      </c>
    </row>
    <row r="6" spans="1:27" x14ac:dyDescent="0.35">
      <c r="A6" s="1" t="s">
        <v>0</v>
      </c>
      <c r="C6" s="35">
        <f>Results!$C$7</f>
        <v>45473</v>
      </c>
      <c r="F6" s="35"/>
      <c r="G6" s="320"/>
      <c r="H6" s="60"/>
    </row>
    <row r="8" spans="1:27" x14ac:dyDescent="0.35">
      <c r="A8" s="1" t="s">
        <v>253</v>
      </c>
      <c r="B8" s="1" t="s">
        <v>828</v>
      </c>
      <c r="C8" s="1"/>
      <c r="F8" s="119" t="str">
        <f>'As-Filed Schedule 2K'!F8</f>
        <v>Yes/No</v>
      </c>
      <c r="G8" s="41" t="s">
        <v>259</v>
      </c>
    </row>
    <row r="10" spans="1:27" x14ac:dyDescent="0.35">
      <c r="A10" s="1" t="s">
        <v>254</v>
      </c>
      <c r="B10" s="1" t="s">
        <v>256</v>
      </c>
      <c r="C10" s="1"/>
    </row>
    <row r="12" spans="1:27" x14ac:dyDescent="0.35">
      <c r="B12" s="508">
        <v>1</v>
      </c>
      <c r="C12" s="508"/>
      <c r="D12" s="508"/>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09" t="s">
        <v>255</v>
      </c>
      <c r="C13" s="509"/>
      <c r="D13" s="509"/>
      <c r="F13" s="511" t="s">
        <v>261</v>
      </c>
      <c r="G13" s="516"/>
      <c r="H13" s="516"/>
      <c r="I13" s="516"/>
      <c r="J13" s="516"/>
      <c r="K13" s="516"/>
      <c r="L13" s="512"/>
      <c r="N13" s="511" t="s">
        <v>262</v>
      </c>
      <c r="O13" s="516"/>
      <c r="P13" s="516"/>
      <c r="Q13" s="516"/>
      <c r="R13" s="516"/>
      <c r="S13" s="516"/>
      <c r="T13" s="512"/>
      <c r="V13" s="510" t="s">
        <v>250</v>
      </c>
      <c r="W13" s="568" t="s">
        <v>620</v>
      </c>
      <c r="X13" s="569" t="s">
        <v>621</v>
      </c>
      <c r="Y13" s="510" t="s">
        <v>312</v>
      </c>
      <c r="Z13" s="568" t="s">
        <v>630</v>
      </c>
      <c r="AA13" s="569" t="s">
        <v>631</v>
      </c>
    </row>
    <row r="14" spans="1:27" ht="55.5" customHeight="1" x14ac:dyDescent="0.35">
      <c r="B14" s="509"/>
      <c r="C14" s="509"/>
      <c r="D14" s="509"/>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0"/>
      <c r="W14" s="568"/>
      <c r="X14" s="569"/>
      <c r="Y14" s="510"/>
      <c r="Z14" s="568"/>
      <c r="AA14" s="569"/>
    </row>
    <row r="15" spans="1:27" x14ac:dyDescent="0.35">
      <c r="A15" s="24">
        <v>1</v>
      </c>
      <c r="B15" s="513" t="str">
        <f>IF('As-Filed Schedule 2K'!B15:D15=0,"",'As-Filed Schedule 2K'!B15:D15)</f>
        <v/>
      </c>
      <c r="C15" s="513"/>
      <c r="D15" s="513"/>
      <c r="F15" s="117">
        <f>'As-Filed Schedule 2K'!F15</f>
        <v>0</v>
      </c>
      <c r="G15" s="314">
        <f>SUMIFS(Adjustments!$G:$G,Adjustments!$H:$H,"2K",Adjustments!$I:$I,'Schedule 2K Adjustments'!$F$12,Adjustments!$J:$J,'Schedule 2K Adjustments'!$A15)</f>
        <v>0</v>
      </c>
      <c r="H15" s="310">
        <f>SUM(F15:G15)</f>
        <v>0</v>
      </c>
      <c r="I15" s="68">
        <f>IFERROR(F15*'As-Filed Schedule 1'!$E$103,0)</f>
        <v>0</v>
      </c>
      <c r="J15" s="311">
        <f>IFERROR(H15*'Adjusted Schedule 1'!$E$104,0)</f>
        <v>0</v>
      </c>
      <c r="K15" s="68">
        <f>SUM(F15,I15)</f>
        <v>0</v>
      </c>
      <c r="L15" s="311">
        <f>SUM(H15,J15)</f>
        <v>0</v>
      </c>
      <c r="N15" s="117">
        <f>'As-Filed Schedule 2K'!J15</f>
        <v>0</v>
      </c>
      <c r="O15" s="314">
        <f>SUMIFS(Adjustments!$G:$G,Adjustments!$H:$H,"2K",Adjustments!$I:$I,'Schedule 2K Adjustments'!$N$12,Adjustments!$J:$J,'Schedule 2K Adjustments'!$A15)</f>
        <v>0</v>
      </c>
      <c r="P15" s="310">
        <f>SUM(N15:O15)</f>
        <v>0</v>
      </c>
      <c r="Q15" s="68">
        <f>IFERROR(N15*'As-Filed Schedule 1'!$E$103,0)</f>
        <v>0</v>
      </c>
      <c r="R15" s="68">
        <f>IFERROR(P15*'Adjusted Schedule 1'!$E$104,0)</f>
        <v>0</v>
      </c>
      <c r="S15" s="68">
        <f>SUM(N15,Q15)</f>
        <v>0</v>
      </c>
      <c r="T15" s="311">
        <f>SUM(P15,R15)</f>
        <v>0</v>
      </c>
      <c r="V15" s="120">
        <f>'As-Filed Schedule 2K'!N15</f>
        <v>0</v>
      </c>
      <c r="W15" s="314">
        <f>SUMIFS(Adjustments!$G:$G,Adjustments!$H:$H,"2K",Adjustments!$I:$I,'Schedule 2K Adjustments'!$V$12,Adjustments!$J:$J,'Schedule 2K Adjustments'!$A15)</f>
        <v>0</v>
      </c>
      <c r="X15" s="310">
        <f>SUM(V15:W15)</f>
        <v>0</v>
      </c>
      <c r="Y15" s="120">
        <f>'As-Filed Schedule 2K'!O15</f>
        <v>0</v>
      </c>
      <c r="Z15" s="314">
        <f>SUMIFS(Adjustments!$G:$G,Adjustments!$H:$H,"2K",Adjustments!$I:$I,'Schedule 2K Adjustments'!$Y$12,Adjustments!$J:$J,'Schedule 2K Adjustments'!$A15)</f>
        <v>0</v>
      </c>
      <c r="AA15" s="310">
        <f>SUM(Y15:Z15)</f>
        <v>0</v>
      </c>
    </row>
    <row r="16" spans="1:27" x14ac:dyDescent="0.35">
      <c r="A16" s="24">
        <v>2</v>
      </c>
      <c r="B16" s="513" t="str">
        <f>IF('As-Filed Schedule 2K'!B16:D16=0,"",'As-Filed Schedule 2K'!B16:D16)</f>
        <v/>
      </c>
      <c r="C16" s="513"/>
      <c r="D16" s="513"/>
      <c r="F16" s="117">
        <f>'As-Filed Schedule 2K'!F16</f>
        <v>0</v>
      </c>
      <c r="G16" s="314">
        <f>SUMIFS(Adjustments!$G:$G,Adjustments!$H:$H,"2K",Adjustments!$I:$I,'Schedule 2K Adjustments'!$F$12,Adjustments!$J:$J,'Schedule 2K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2K'!J16</f>
        <v>0</v>
      </c>
      <c r="O16" s="314">
        <f>SUMIFS(Adjustments!$G:$G,Adjustments!$H:$H,"2K",Adjustments!$I:$I,'Schedule 2K Adjustments'!$N$12,Adjustments!$J:$J,'Schedule 2K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2K'!N16</f>
        <v>0</v>
      </c>
      <c r="W16" s="314">
        <f>SUMIFS(Adjustments!$G:$G,Adjustments!$H:$H,"2K",Adjustments!$I:$I,'Schedule 2K Adjustments'!$V$12,Adjustments!$J:$J,'Schedule 2K Adjustments'!$A16)</f>
        <v>0</v>
      </c>
      <c r="X16" s="310">
        <f t="shared" ref="X16:X72" si="6">SUM(V16:W16)</f>
        <v>0</v>
      </c>
      <c r="Y16" s="120">
        <f>'As-Filed Schedule 2K'!O16</f>
        <v>0</v>
      </c>
      <c r="Z16" s="314">
        <f>SUMIFS(Adjustments!$G:$G,Adjustments!$H:$H,"2K",Adjustments!$I:$I,'Schedule 2K Adjustments'!$Y$12,Adjustments!$J:$J,'Schedule 2K Adjustments'!$A16)</f>
        <v>0</v>
      </c>
      <c r="AA16" s="310">
        <f t="shared" ref="AA16:AA72" si="7">SUM(Y16:Z16)</f>
        <v>0</v>
      </c>
    </row>
    <row r="17" spans="1:27" x14ac:dyDescent="0.35">
      <c r="A17" s="24">
        <v>3</v>
      </c>
      <c r="B17" s="513" t="str">
        <f>IF('As-Filed Schedule 2K'!B17:D17=0,"",'As-Filed Schedule 2K'!B17:D17)</f>
        <v/>
      </c>
      <c r="C17" s="513"/>
      <c r="D17" s="513"/>
      <c r="F17" s="117">
        <f>'As-Filed Schedule 2K'!F17</f>
        <v>0</v>
      </c>
      <c r="G17" s="314">
        <f>SUMIFS(Adjustments!$G:$G,Adjustments!$H:$H,"2K",Adjustments!$I:$I,'Schedule 2K Adjustments'!$F$12,Adjustments!$J:$J,'Schedule 2K Adjustments'!$A17)</f>
        <v>0</v>
      </c>
      <c r="H17" s="310">
        <f t="shared" si="0"/>
        <v>0</v>
      </c>
      <c r="I17" s="68">
        <f>IFERROR(F17*'As-Filed Schedule 1'!$E$103,0)</f>
        <v>0</v>
      </c>
      <c r="J17" s="311">
        <f>IFERROR(H17*'Adjusted Schedule 1'!$E$104,0)</f>
        <v>0</v>
      </c>
      <c r="K17" s="68">
        <f t="shared" si="1"/>
        <v>0</v>
      </c>
      <c r="L17" s="311">
        <f t="shared" si="2"/>
        <v>0</v>
      </c>
      <c r="N17" s="117">
        <f>'As-Filed Schedule 2K'!J17</f>
        <v>0</v>
      </c>
      <c r="O17" s="314">
        <f>SUMIFS(Adjustments!$G:$G,Adjustments!$H:$H,"2K",Adjustments!$I:$I,'Schedule 2K Adjustments'!$N$12,Adjustments!$J:$J,'Schedule 2K Adjustments'!$A17)</f>
        <v>0</v>
      </c>
      <c r="P17" s="310">
        <f t="shared" si="3"/>
        <v>0</v>
      </c>
      <c r="Q17" s="68">
        <f>IFERROR(N17*'As-Filed Schedule 1'!$E$103,0)</f>
        <v>0</v>
      </c>
      <c r="R17" s="68">
        <f>IFERROR(P17*'Adjusted Schedule 1'!$E$104,0)</f>
        <v>0</v>
      </c>
      <c r="S17" s="68">
        <f t="shared" si="4"/>
        <v>0</v>
      </c>
      <c r="T17" s="311">
        <f t="shared" si="5"/>
        <v>0</v>
      </c>
      <c r="V17" s="120">
        <f>'As-Filed Schedule 2K'!N17</f>
        <v>0</v>
      </c>
      <c r="W17" s="314">
        <f>SUMIFS(Adjustments!$G:$G,Adjustments!$H:$H,"2K",Adjustments!$I:$I,'Schedule 2K Adjustments'!$V$12,Adjustments!$J:$J,'Schedule 2K Adjustments'!$A17)</f>
        <v>0</v>
      </c>
      <c r="X17" s="310">
        <f t="shared" si="6"/>
        <v>0</v>
      </c>
      <c r="Y17" s="120">
        <f>'As-Filed Schedule 2K'!O17</f>
        <v>0</v>
      </c>
      <c r="Z17" s="314">
        <f>SUMIFS(Adjustments!$G:$G,Adjustments!$H:$H,"2K",Adjustments!$I:$I,'Schedule 2K Adjustments'!$Y$12,Adjustments!$J:$J,'Schedule 2K Adjustments'!$A17)</f>
        <v>0</v>
      </c>
      <c r="AA17" s="310">
        <f t="shared" si="7"/>
        <v>0</v>
      </c>
    </row>
    <row r="18" spans="1:27" x14ac:dyDescent="0.35">
      <c r="A18" s="24">
        <v>4</v>
      </c>
      <c r="B18" s="513" t="str">
        <f>IF('As-Filed Schedule 2K'!B18:D18=0,"",'As-Filed Schedule 2K'!B18:D18)</f>
        <v/>
      </c>
      <c r="C18" s="513"/>
      <c r="D18" s="513"/>
      <c r="F18" s="117">
        <f>'As-Filed Schedule 2K'!F18</f>
        <v>0</v>
      </c>
      <c r="G18" s="314">
        <f>SUMIFS(Adjustments!$G:$G,Adjustments!$H:$H,"2K",Adjustments!$I:$I,'Schedule 2K Adjustments'!$F$12,Adjustments!$J:$J,'Schedule 2K Adjustments'!$A18)</f>
        <v>0</v>
      </c>
      <c r="H18" s="310">
        <f t="shared" si="0"/>
        <v>0</v>
      </c>
      <c r="I18" s="68">
        <f>IFERROR(F18*'As-Filed Schedule 1'!$E$103,0)</f>
        <v>0</v>
      </c>
      <c r="J18" s="311">
        <f>IFERROR(H18*'Adjusted Schedule 1'!$E$104,0)</f>
        <v>0</v>
      </c>
      <c r="K18" s="68">
        <f>SUM(F18,I18)</f>
        <v>0</v>
      </c>
      <c r="L18" s="311">
        <f>SUM(H18,J18)</f>
        <v>0</v>
      </c>
      <c r="N18" s="117">
        <f>'As-Filed Schedule 2K'!J18</f>
        <v>0</v>
      </c>
      <c r="O18" s="314">
        <f>SUMIFS(Adjustments!$G:$G,Adjustments!$H:$H,"2K",Adjustments!$I:$I,'Schedule 2K Adjustments'!$N$12,Adjustments!$J:$J,'Schedule 2K Adjustments'!$A18)</f>
        <v>0</v>
      </c>
      <c r="P18" s="310">
        <f t="shared" si="3"/>
        <v>0</v>
      </c>
      <c r="Q18" s="68">
        <f>IFERROR(N18*'As-Filed Schedule 1'!$E$103,0)</f>
        <v>0</v>
      </c>
      <c r="R18" s="68">
        <f>IFERROR(P18*'Adjusted Schedule 1'!$E$104,0)</f>
        <v>0</v>
      </c>
      <c r="S18" s="68">
        <f t="shared" si="4"/>
        <v>0</v>
      </c>
      <c r="T18" s="311">
        <f t="shared" si="5"/>
        <v>0</v>
      </c>
      <c r="V18" s="120">
        <f>'As-Filed Schedule 2K'!N18</f>
        <v>0</v>
      </c>
      <c r="W18" s="314">
        <f>SUMIFS(Adjustments!$G:$G,Adjustments!$H:$H,"2K",Adjustments!$I:$I,'Schedule 2K Adjustments'!$V$12,Adjustments!$J:$J,'Schedule 2K Adjustments'!$A18)</f>
        <v>0</v>
      </c>
      <c r="X18" s="310">
        <f t="shared" si="6"/>
        <v>0</v>
      </c>
      <c r="Y18" s="120">
        <f>'As-Filed Schedule 2K'!O18</f>
        <v>0</v>
      </c>
      <c r="Z18" s="314">
        <f>SUMIFS(Adjustments!$G:$G,Adjustments!$H:$H,"2K",Adjustments!$I:$I,'Schedule 2K Adjustments'!$Y$12,Adjustments!$J:$J,'Schedule 2K Adjustments'!$A18)</f>
        <v>0</v>
      </c>
      <c r="AA18" s="310">
        <f t="shared" si="7"/>
        <v>0</v>
      </c>
    </row>
    <row r="19" spans="1:27" x14ac:dyDescent="0.35">
      <c r="A19" s="24">
        <v>5</v>
      </c>
      <c r="B19" s="513" t="str">
        <f>IF('As-Filed Schedule 2K'!B19:D19=0,"",'As-Filed Schedule 2K'!B19:D19)</f>
        <v/>
      </c>
      <c r="C19" s="513"/>
      <c r="D19" s="513"/>
      <c r="F19" s="117">
        <f>'As-Filed Schedule 2K'!F19</f>
        <v>0</v>
      </c>
      <c r="G19" s="314">
        <f>SUMIFS(Adjustments!$G:$G,Adjustments!$H:$H,"2K",Adjustments!$I:$I,'Schedule 2K Adjustments'!$F$12,Adjustments!$J:$J,'Schedule 2K Adjustments'!$A19)</f>
        <v>0</v>
      </c>
      <c r="H19" s="310">
        <f t="shared" si="0"/>
        <v>0</v>
      </c>
      <c r="I19" s="68">
        <f>IFERROR(F19*'As-Filed Schedule 1'!$E$103,0)</f>
        <v>0</v>
      </c>
      <c r="J19" s="311">
        <f>IFERROR(H19*'Adjusted Schedule 1'!$E$104,0)</f>
        <v>0</v>
      </c>
      <c r="K19" s="68">
        <f t="shared" si="1"/>
        <v>0</v>
      </c>
      <c r="L19" s="311">
        <f>SUM(H19,J19)</f>
        <v>0</v>
      </c>
      <c r="N19" s="117">
        <f>'As-Filed Schedule 2K'!J19</f>
        <v>0</v>
      </c>
      <c r="O19" s="314">
        <f>SUMIFS(Adjustments!$G:$G,Adjustments!$H:$H,"2K",Adjustments!$I:$I,'Schedule 2K Adjustments'!$N$12,Adjustments!$J:$J,'Schedule 2K Adjustments'!$A19)</f>
        <v>0</v>
      </c>
      <c r="P19" s="310">
        <f t="shared" si="3"/>
        <v>0</v>
      </c>
      <c r="Q19" s="68">
        <f>IFERROR(N19*'As-Filed Schedule 1'!$E$103,0)</f>
        <v>0</v>
      </c>
      <c r="R19" s="68">
        <f>IFERROR(P19*'Adjusted Schedule 1'!$E$104,0)</f>
        <v>0</v>
      </c>
      <c r="S19" s="68">
        <f t="shared" si="4"/>
        <v>0</v>
      </c>
      <c r="T19" s="311">
        <f t="shared" si="5"/>
        <v>0</v>
      </c>
      <c r="V19" s="120">
        <f>'As-Filed Schedule 2K'!N19</f>
        <v>0</v>
      </c>
      <c r="W19" s="314">
        <f>SUMIFS(Adjustments!$G:$G,Adjustments!$H:$H,"2K",Adjustments!$I:$I,'Schedule 2K Adjustments'!$V$12,Adjustments!$J:$J,'Schedule 2K Adjustments'!$A19)</f>
        <v>0</v>
      </c>
      <c r="X19" s="310">
        <f t="shared" si="6"/>
        <v>0</v>
      </c>
      <c r="Y19" s="120">
        <f>'As-Filed Schedule 2K'!O19</f>
        <v>0</v>
      </c>
      <c r="Z19" s="314">
        <f>SUMIFS(Adjustments!$G:$G,Adjustments!$H:$H,"2K",Adjustments!$I:$I,'Schedule 2K Adjustments'!$Y$12,Adjustments!$J:$J,'Schedule 2K Adjustments'!$A19)</f>
        <v>0</v>
      </c>
      <c r="AA19" s="310">
        <f t="shared" si="7"/>
        <v>0</v>
      </c>
    </row>
    <row r="20" spans="1:27" x14ac:dyDescent="0.35">
      <c r="A20" s="24">
        <v>6</v>
      </c>
      <c r="B20" s="513" t="str">
        <f>IF('As-Filed Schedule 2K'!B20:D20=0,"",'As-Filed Schedule 2K'!B20:D20)</f>
        <v/>
      </c>
      <c r="C20" s="513"/>
      <c r="D20" s="513"/>
      <c r="F20" s="117">
        <f>'As-Filed Schedule 2K'!F20</f>
        <v>0</v>
      </c>
      <c r="G20" s="314">
        <f>SUMIFS(Adjustments!$G:$G,Adjustments!$H:$H,"2K",Adjustments!$I:$I,'Schedule 2K Adjustments'!$F$12,Adjustments!$J:$J,'Schedule 2K Adjustments'!$A20)</f>
        <v>0</v>
      </c>
      <c r="H20" s="310">
        <f t="shared" si="0"/>
        <v>0</v>
      </c>
      <c r="I20" s="68">
        <f>IFERROR(F20*'As-Filed Schedule 1'!$E$103,0)</f>
        <v>0</v>
      </c>
      <c r="J20" s="311">
        <f>IFERROR(H20*'Adjusted Schedule 1'!$E$104,0)</f>
        <v>0</v>
      </c>
      <c r="K20" s="68">
        <f>SUM(F20,I20)</f>
        <v>0</v>
      </c>
      <c r="L20" s="311">
        <f t="shared" si="2"/>
        <v>0</v>
      </c>
      <c r="N20" s="117">
        <f>'As-Filed Schedule 2K'!J20</f>
        <v>0</v>
      </c>
      <c r="O20" s="314">
        <f>SUMIFS(Adjustments!$G:$G,Adjustments!$H:$H,"2K",Adjustments!$I:$I,'Schedule 2K Adjustments'!$N$12,Adjustments!$J:$J,'Schedule 2K Adjustments'!$A20)</f>
        <v>0</v>
      </c>
      <c r="P20" s="310">
        <f t="shared" si="3"/>
        <v>0</v>
      </c>
      <c r="Q20" s="68">
        <f>IFERROR(N20*'As-Filed Schedule 1'!$E$103,0)</f>
        <v>0</v>
      </c>
      <c r="R20" s="68">
        <f>IFERROR(P20*'Adjusted Schedule 1'!$E$104,0)</f>
        <v>0</v>
      </c>
      <c r="S20" s="68">
        <f t="shared" si="4"/>
        <v>0</v>
      </c>
      <c r="T20" s="311">
        <f t="shared" si="5"/>
        <v>0</v>
      </c>
      <c r="V20" s="120">
        <f>'As-Filed Schedule 2K'!N20</f>
        <v>0</v>
      </c>
      <c r="W20" s="314">
        <f>SUMIFS(Adjustments!$G:$G,Adjustments!$H:$H,"2K",Adjustments!$I:$I,'Schedule 2K Adjustments'!$V$12,Adjustments!$J:$J,'Schedule 2K Adjustments'!$A20)</f>
        <v>0</v>
      </c>
      <c r="X20" s="310">
        <f t="shared" si="6"/>
        <v>0</v>
      </c>
      <c r="Y20" s="120">
        <f>'As-Filed Schedule 2K'!O20</f>
        <v>0</v>
      </c>
      <c r="Z20" s="314">
        <f>SUMIFS(Adjustments!$G:$G,Adjustments!$H:$H,"2K",Adjustments!$I:$I,'Schedule 2K Adjustments'!$Y$12,Adjustments!$J:$J,'Schedule 2K Adjustments'!$A20)</f>
        <v>0</v>
      </c>
      <c r="AA20" s="310">
        <f t="shared" si="7"/>
        <v>0</v>
      </c>
    </row>
    <row r="21" spans="1:27" x14ac:dyDescent="0.35">
      <c r="A21" s="24">
        <v>7</v>
      </c>
      <c r="B21" s="513" t="str">
        <f>IF('As-Filed Schedule 2K'!B21:D21=0,"",'As-Filed Schedule 2K'!B21:D21)</f>
        <v/>
      </c>
      <c r="C21" s="513"/>
      <c r="D21" s="513"/>
      <c r="F21" s="117">
        <f>'As-Filed Schedule 2K'!F21</f>
        <v>0</v>
      </c>
      <c r="G21" s="314">
        <f>SUMIFS(Adjustments!$G:$G,Adjustments!$H:$H,"2K",Adjustments!$I:$I,'Schedule 2K Adjustments'!$F$12,Adjustments!$J:$J,'Schedule 2K Adjustments'!$A21)</f>
        <v>0</v>
      </c>
      <c r="H21" s="310">
        <f t="shared" si="0"/>
        <v>0</v>
      </c>
      <c r="I21" s="68">
        <f>IFERROR(F21*'As-Filed Schedule 1'!$E$103,0)</f>
        <v>0</v>
      </c>
      <c r="J21" s="311">
        <f>IFERROR(H21*'Adjusted Schedule 1'!$E$104,0)</f>
        <v>0</v>
      </c>
      <c r="K21" s="68">
        <f t="shared" si="1"/>
        <v>0</v>
      </c>
      <c r="L21" s="311">
        <f t="shared" si="2"/>
        <v>0</v>
      </c>
      <c r="N21" s="117">
        <f>'As-Filed Schedule 2K'!J21</f>
        <v>0</v>
      </c>
      <c r="O21" s="314">
        <f>SUMIFS(Adjustments!$G:$G,Adjustments!$H:$H,"2K",Adjustments!$I:$I,'Schedule 2K Adjustments'!$N$12,Adjustments!$J:$J,'Schedule 2K Adjustments'!$A21)</f>
        <v>0</v>
      </c>
      <c r="P21" s="310">
        <f t="shared" si="3"/>
        <v>0</v>
      </c>
      <c r="Q21" s="68">
        <f>IFERROR(N21*'As-Filed Schedule 1'!$E$103,0)</f>
        <v>0</v>
      </c>
      <c r="R21" s="68">
        <f>IFERROR(P21*'Adjusted Schedule 1'!$E$104,0)</f>
        <v>0</v>
      </c>
      <c r="S21" s="68">
        <f>SUM(N21,Q21)</f>
        <v>0</v>
      </c>
      <c r="T21" s="311">
        <f>SUM(P21,R21)</f>
        <v>0</v>
      </c>
      <c r="V21" s="120">
        <f>'As-Filed Schedule 2K'!N21</f>
        <v>0</v>
      </c>
      <c r="W21" s="314">
        <f>SUMIFS(Adjustments!$G:$G,Adjustments!$H:$H,"2K",Adjustments!$I:$I,'Schedule 2K Adjustments'!$V$12,Adjustments!$J:$J,'Schedule 2K Adjustments'!$A21)</f>
        <v>0</v>
      </c>
      <c r="X21" s="310">
        <f t="shared" si="6"/>
        <v>0</v>
      </c>
      <c r="Y21" s="120">
        <f>'As-Filed Schedule 2K'!O21</f>
        <v>0</v>
      </c>
      <c r="Z21" s="314">
        <f>SUMIFS(Adjustments!$G:$G,Adjustments!$H:$H,"2K",Adjustments!$I:$I,'Schedule 2K Adjustments'!$Y$12,Adjustments!$J:$J,'Schedule 2K Adjustments'!$A21)</f>
        <v>0</v>
      </c>
      <c r="AA21" s="310">
        <f t="shared" si="7"/>
        <v>0</v>
      </c>
    </row>
    <row r="22" spans="1:27" x14ac:dyDescent="0.35">
      <c r="A22" s="24">
        <v>8</v>
      </c>
      <c r="B22" s="513" t="str">
        <f>IF('As-Filed Schedule 2K'!B22:D22=0,"",'As-Filed Schedule 2K'!B22:D22)</f>
        <v/>
      </c>
      <c r="C22" s="513"/>
      <c r="D22" s="513"/>
      <c r="F22" s="117">
        <f>'As-Filed Schedule 2K'!F22</f>
        <v>0</v>
      </c>
      <c r="G22" s="314">
        <f>SUMIFS(Adjustments!$G:$G,Adjustments!$H:$H,"2K",Adjustments!$I:$I,'Schedule 2K Adjustments'!$F$12,Adjustments!$J:$J,'Schedule 2K Adjustments'!$A22)</f>
        <v>0</v>
      </c>
      <c r="H22" s="310">
        <f t="shared" si="0"/>
        <v>0</v>
      </c>
      <c r="I22" s="68">
        <f>IFERROR(F22*'As-Filed Schedule 1'!$E$103,0)</f>
        <v>0</v>
      </c>
      <c r="J22" s="311">
        <f>IFERROR(H22*'Adjusted Schedule 1'!$E$104,0)</f>
        <v>0</v>
      </c>
      <c r="K22" s="68">
        <f t="shared" si="1"/>
        <v>0</v>
      </c>
      <c r="L22" s="311">
        <f t="shared" si="2"/>
        <v>0</v>
      </c>
      <c r="N22" s="117">
        <f>'As-Filed Schedule 2K'!J22</f>
        <v>0</v>
      </c>
      <c r="O22" s="314">
        <f>SUMIFS(Adjustments!$G:$G,Adjustments!$H:$H,"2K",Adjustments!$I:$I,'Schedule 2K Adjustments'!$N$12,Adjustments!$J:$J,'Schedule 2K Adjustments'!$A22)</f>
        <v>0</v>
      </c>
      <c r="P22" s="310">
        <f t="shared" si="3"/>
        <v>0</v>
      </c>
      <c r="Q22" s="68">
        <f>IFERROR(N22*'As-Filed Schedule 1'!$E$103,0)</f>
        <v>0</v>
      </c>
      <c r="R22" s="68">
        <f>IFERROR(P22*'Adjusted Schedule 1'!$E$104,0)</f>
        <v>0</v>
      </c>
      <c r="S22" s="68">
        <f t="shared" si="4"/>
        <v>0</v>
      </c>
      <c r="T22" s="311">
        <f t="shared" si="5"/>
        <v>0</v>
      </c>
      <c r="V22" s="120">
        <f>'As-Filed Schedule 2K'!N22</f>
        <v>0</v>
      </c>
      <c r="W22" s="314">
        <f>SUMIFS(Adjustments!$G:$G,Adjustments!$H:$H,"2K",Adjustments!$I:$I,'Schedule 2K Adjustments'!$V$12,Adjustments!$J:$J,'Schedule 2K Adjustments'!$A22)</f>
        <v>0</v>
      </c>
      <c r="X22" s="310">
        <f t="shared" si="6"/>
        <v>0</v>
      </c>
      <c r="Y22" s="120">
        <f>'As-Filed Schedule 2K'!O22</f>
        <v>0</v>
      </c>
      <c r="Z22" s="314">
        <f>SUMIFS(Adjustments!$G:$G,Adjustments!$H:$H,"2K",Adjustments!$I:$I,'Schedule 2K Adjustments'!$Y$12,Adjustments!$J:$J,'Schedule 2K Adjustments'!$A22)</f>
        <v>0</v>
      </c>
      <c r="AA22" s="310">
        <f t="shared" si="7"/>
        <v>0</v>
      </c>
    </row>
    <row r="23" spans="1:27" x14ac:dyDescent="0.35">
      <c r="A23" s="24">
        <v>9</v>
      </c>
      <c r="B23" s="513" t="str">
        <f>IF('As-Filed Schedule 2K'!B23:D23=0,"",'As-Filed Schedule 2K'!B23:D23)</f>
        <v/>
      </c>
      <c r="C23" s="513"/>
      <c r="D23" s="513"/>
      <c r="F23" s="117">
        <f>'As-Filed Schedule 2K'!F23</f>
        <v>0</v>
      </c>
      <c r="G23" s="314">
        <f>SUMIFS(Adjustments!$G:$G,Adjustments!$H:$H,"2K",Adjustments!$I:$I,'Schedule 2K Adjustments'!$F$12,Adjustments!$J:$J,'Schedule 2K Adjustments'!$A23)</f>
        <v>0</v>
      </c>
      <c r="H23" s="310">
        <f t="shared" si="0"/>
        <v>0</v>
      </c>
      <c r="I23" s="68">
        <f>IFERROR(F23*'As-Filed Schedule 1'!$E$103,0)</f>
        <v>0</v>
      </c>
      <c r="J23" s="311">
        <f>IFERROR(H23*'Adjusted Schedule 1'!$E$104,0)</f>
        <v>0</v>
      </c>
      <c r="K23" s="68">
        <f t="shared" si="1"/>
        <v>0</v>
      </c>
      <c r="L23" s="311">
        <f t="shared" si="2"/>
        <v>0</v>
      </c>
      <c r="N23" s="117">
        <f>'As-Filed Schedule 2K'!J23</f>
        <v>0</v>
      </c>
      <c r="O23" s="314">
        <f>SUMIFS(Adjustments!$G:$G,Adjustments!$H:$H,"2K",Adjustments!$I:$I,'Schedule 2K Adjustments'!$N$12,Adjustments!$J:$J,'Schedule 2K Adjustments'!$A23)</f>
        <v>0</v>
      </c>
      <c r="P23" s="310">
        <f t="shared" si="3"/>
        <v>0</v>
      </c>
      <c r="Q23" s="68">
        <f>IFERROR(N23*'As-Filed Schedule 1'!$E$103,0)</f>
        <v>0</v>
      </c>
      <c r="R23" s="68">
        <f>IFERROR(P23*'Adjusted Schedule 1'!$E$104,0)</f>
        <v>0</v>
      </c>
      <c r="S23" s="68">
        <f t="shared" si="4"/>
        <v>0</v>
      </c>
      <c r="T23" s="311">
        <f t="shared" si="5"/>
        <v>0</v>
      </c>
      <c r="V23" s="120">
        <f>'As-Filed Schedule 2K'!N23</f>
        <v>0</v>
      </c>
      <c r="W23" s="314">
        <f>SUMIFS(Adjustments!$G:$G,Adjustments!$H:$H,"2K",Adjustments!$I:$I,'Schedule 2K Adjustments'!$V$12,Adjustments!$J:$J,'Schedule 2K Adjustments'!$A23)</f>
        <v>0</v>
      </c>
      <c r="X23" s="310">
        <f t="shared" si="6"/>
        <v>0</v>
      </c>
      <c r="Y23" s="120">
        <f>'As-Filed Schedule 2K'!O23</f>
        <v>0</v>
      </c>
      <c r="Z23" s="314">
        <f>SUMIFS(Adjustments!$G:$G,Adjustments!$H:$H,"2K",Adjustments!$I:$I,'Schedule 2K Adjustments'!$Y$12,Adjustments!$J:$J,'Schedule 2K Adjustments'!$A23)</f>
        <v>0</v>
      </c>
      <c r="AA23" s="310">
        <f t="shared" si="7"/>
        <v>0</v>
      </c>
    </row>
    <row r="24" spans="1:27" x14ac:dyDescent="0.35">
      <c r="A24" s="24">
        <v>10</v>
      </c>
      <c r="B24" s="513" t="str">
        <f>IF('As-Filed Schedule 2K'!B24:D24=0,"",'As-Filed Schedule 2K'!B24:D24)</f>
        <v/>
      </c>
      <c r="C24" s="513"/>
      <c r="D24" s="513"/>
      <c r="F24" s="117">
        <f>'As-Filed Schedule 2K'!F24</f>
        <v>0</v>
      </c>
      <c r="G24" s="314">
        <f>SUMIFS(Adjustments!$G:$G,Adjustments!$H:$H,"2K",Adjustments!$I:$I,'Schedule 2K Adjustments'!$F$12,Adjustments!$J:$J,'Schedule 2K Adjustments'!$A24)</f>
        <v>0</v>
      </c>
      <c r="H24" s="310">
        <f t="shared" si="0"/>
        <v>0</v>
      </c>
      <c r="I24" s="68">
        <f>IFERROR(F24*'As-Filed Schedule 1'!$E$103,0)</f>
        <v>0</v>
      </c>
      <c r="J24" s="311">
        <f>IFERROR(H24*'Adjusted Schedule 1'!$E$104,0)</f>
        <v>0</v>
      </c>
      <c r="K24" s="68">
        <f t="shared" si="1"/>
        <v>0</v>
      </c>
      <c r="L24" s="311">
        <f t="shared" si="2"/>
        <v>0</v>
      </c>
      <c r="N24" s="117">
        <f>'As-Filed Schedule 2K'!J24</f>
        <v>0</v>
      </c>
      <c r="O24" s="314">
        <f>SUMIFS(Adjustments!$G:$G,Adjustments!$H:$H,"2K",Adjustments!$I:$I,'Schedule 2K Adjustments'!$N$12,Adjustments!$J:$J,'Schedule 2K Adjustments'!$A24)</f>
        <v>0</v>
      </c>
      <c r="P24" s="310">
        <f t="shared" si="3"/>
        <v>0</v>
      </c>
      <c r="Q24" s="68">
        <f>IFERROR(N24*'As-Filed Schedule 1'!$E$103,0)</f>
        <v>0</v>
      </c>
      <c r="R24" s="68">
        <f>IFERROR(P24*'Adjusted Schedule 1'!$E$104,0)</f>
        <v>0</v>
      </c>
      <c r="S24" s="68">
        <f t="shared" si="4"/>
        <v>0</v>
      </c>
      <c r="T24" s="311">
        <f t="shared" si="5"/>
        <v>0</v>
      </c>
      <c r="V24" s="120">
        <f>'As-Filed Schedule 2K'!N24</f>
        <v>0</v>
      </c>
      <c r="W24" s="314">
        <f>SUMIFS(Adjustments!$G:$G,Adjustments!$H:$H,"2K",Adjustments!$I:$I,'Schedule 2K Adjustments'!$V$12,Adjustments!$J:$J,'Schedule 2K Adjustments'!$A24)</f>
        <v>0</v>
      </c>
      <c r="X24" s="310">
        <f t="shared" si="6"/>
        <v>0</v>
      </c>
      <c r="Y24" s="120">
        <f>'As-Filed Schedule 2K'!O24</f>
        <v>0</v>
      </c>
      <c r="Z24" s="314">
        <f>SUMIFS(Adjustments!$G:$G,Adjustments!$H:$H,"2K",Adjustments!$I:$I,'Schedule 2K Adjustments'!$Y$12,Adjustments!$J:$J,'Schedule 2K Adjustments'!$A24)</f>
        <v>0</v>
      </c>
      <c r="AA24" s="310">
        <f t="shared" si="7"/>
        <v>0</v>
      </c>
    </row>
    <row r="25" spans="1:27" x14ac:dyDescent="0.35">
      <c r="A25" s="24">
        <v>11</v>
      </c>
      <c r="B25" s="513" t="str">
        <f>IF('As-Filed Schedule 2K'!B25:D25=0,"",'As-Filed Schedule 2K'!B25:D25)</f>
        <v/>
      </c>
      <c r="C25" s="513"/>
      <c r="D25" s="513"/>
      <c r="F25" s="117">
        <f>'As-Filed Schedule 2K'!F25</f>
        <v>0</v>
      </c>
      <c r="G25" s="314">
        <f>SUMIFS(Adjustments!$G:$G,Adjustments!$H:$H,"2K",Adjustments!$I:$I,'Schedule 2K Adjustments'!$F$12,Adjustments!$J:$J,'Schedule 2K Adjustments'!$A25)</f>
        <v>0</v>
      </c>
      <c r="H25" s="310">
        <f t="shared" si="0"/>
        <v>0</v>
      </c>
      <c r="I25" s="68">
        <f>IFERROR(F25*'As-Filed Schedule 1'!$E$103,0)</f>
        <v>0</v>
      </c>
      <c r="J25" s="311">
        <f>IFERROR(H25*'Adjusted Schedule 1'!$E$104,0)</f>
        <v>0</v>
      </c>
      <c r="K25" s="68">
        <f t="shared" si="1"/>
        <v>0</v>
      </c>
      <c r="L25" s="311">
        <f t="shared" si="2"/>
        <v>0</v>
      </c>
      <c r="N25" s="117">
        <f>'As-Filed Schedule 2K'!J25</f>
        <v>0</v>
      </c>
      <c r="O25" s="314">
        <f>SUMIFS(Adjustments!$G:$G,Adjustments!$H:$H,"2K",Adjustments!$I:$I,'Schedule 2K Adjustments'!$N$12,Adjustments!$J:$J,'Schedule 2K Adjustments'!$A25)</f>
        <v>0</v>
      </c>
      <c r="P25" s="310">
        <f t="shared" si="3"/>
        <v>0</v>
      </c>
      <c r="Q25" s="68">
        <f>IFERROR(N25*'As-Filed Schedule 1'!$E$103,0)</f>
        <v>0</v>
      </c>
      <c r="R25" s="68">
        <f>IFERROR(P25*'Adjusted Schedule 1'!$E$104,0)</f>
        <v>0</v>
      </c>
      <c r="S25" s="68">
        <f t="shared" si="4"/>
        <v>0</v>
      </c>
      <c r="T25" s="311">
        <f t="shared" si="5"/>
        <v>0</v>
      </c>
      <c r="V25" s="120">
        <f>'As-Filed Schedule 2K'!N25</f>
        <v>0</v>
      </c>
      <c r="W25" s="314">
        <f>SUMIFS(Adjustments!$G:$G,Adjustments!$H:$H,"2K",Adjustments!$I:$I,'Schedule 2K Adjustments'!$V$12,Adjustments!$J:$J,'Schedule 2K Adjustments'!$A25)</f>
        <v>0</v>
      </c>
      <c r="X25" s="310">
        <f t="shared" si="6"/>
        <v>0</v>
      </c>
      <c r="Y25" s="120">
        <f>'As-Filed Schedule 2K'!O25</f>
        <v>0</v>
      </c>
      <c r="Z25" s="314">
        <f>SUMIFS(Adjustments!$G:$G,Adjustments!$H:$H,"2K",Adjustments!$I:$I,'Schedule 2K Adjustments'!$Y$12,Adjustments!$J:$J,'Schedule 2K Adjustments'!$A25)</f>
        <v>0</v>
      </c>
      <c r="AA25" s="310">
        <f t="shared" si="7"/>
        <v>0</v>
      </c>
    </row>
    <row r="26" spans="1:27" x14ac:dyDescent="0.35">
      <c r="A26" s="24">
        <v>12</v>
      </c>
      <c r="B26" s="513" t="str">
        <f>IF('As-Filed Schedule 2K'!B26:D26=0,"",'As-Filed Schedule 2K'!B26:D26)</f>
        <v/>
      </c>
      <c r="C26" s="513"/>
      <c r="D26" s="513"/>
      <c r="F26" s="117">
        <f>'As-Filed Schedule 2K'!F26</f>
        <v>0</v>
      </c>
      <c r="G26" s="314">
        <f>SUMIFS(Adjustments!$G:$G,Adjustments!$H:$H,"2K",Adjustments!$I:$I,'Schedule 2K Adjustments'!$F$12,Adjustments!$J:$J,'Schedule 2K Adjustments'!$A26)</f>
        <v>0</v>
      </c>
      <c r="H26" s="310">
        <f t="shared" si="0"/>
        <v>0</v>
      </c>
      <c r="I26" s="68">
        <f>IFERROR(F26*'As-Filed Schedule 1'!$E$103,0)</f>
        <v>0</v>
      </c>
      <c r="J26" s="311">
        <f>IFERROR(H26*'Adjusted Schedule 1'!$E$104,0)</f>
        <v>0</v>
      </c>
      <c r="K26" s="68">
        <f t="shared" si="1"/>
        <v>0</v>
      </c>
      <c r="L26" s="311">
        <f t="shared" si="2"/>
        <v>0</v>
      </c>
      <c r="N26" s="117">
        <f>'As-Filed Schedule 2K'!J26</f>
        <v>0</v>
      </c>
      <c r="O26" s="314">
        <f>SUMIFS(Adjustments!$G:$G,Adjustments!$H:$H,"2K",Adjustments!$I:$I,'Schedule 2K Adjustments'!$N$12,Adjustments!$J:$J,'Schedule 2K Adjustments'!$A26)</f>
        <v>0</v>
      </c>
      <c r="P26" s="310">
        <f t="shared" si="3"/>
        <v>0</v>
      </c>
      <c r="Q26" s="68">
        <f>IFERROR(N26*'As-Filed Schedule 1'!$E$103,0)</f>
        <v>0</v>
      </c>
      <c r="R26" s="68">
        <f>IFERROR(P26*'Adjusted Schedule 1'!$E$104,0)</f>
        <v>0</v>
      </c>
      <c r="S26" s="68">
        <f t="shared" si="4"/>
        <v>0</v>
      </c>
      <c r="T26" s="311">
        <f t="shared" si="5"/>
        <v>0</v>
      </c>
      <c r="V26" s="120">
        <f>'As-Filed Schedule 2K'!N26</f>
        <v>0</v>
      </c>
      <c r="W26" s="314">
        <f>SUMIFS(Adjustments!$G:$G,Adjustments!$H:$H,"2K",Adjustments!$I:$I,'Schedule 2K Adjustments'!$V$12,Adjustments!$J:$J,'Schedule 2K Adjustments'!$A26)</f>
        <v>0</v>
      </c>
      <c r="X26" s="310">
        <f t="shared" si="6"/>
        <v>0</v>
      </c>
      <c r="Y26" s="120">
        <f>'As-Filed Schedule 2K'!O26</f>
        <v>0</v>
      </c>
      <c r="Z26" s="314">
        <f>SUMIFS(Adjustments!$G:$G,Adjustments!$H:$H,"2K",Adjustments!$I:$I,'Schedule 2K Adjustments'!$Y$12,Adjustments!$J:$J,'Schedule 2K Adjustments'!$A26)</f>
        <v>0</v>
      </c>
      <c r="AA26" s="310">
        <f t="shared" si="7"/>
        <v>0</v>
      </c>
    </row>
    <row r="27" spans="1:27" x14ac:dyDescent="0.35">
      <c r="A27" s="24">
        <v>13</v>
      </c>
      <c r="B27" s="513" t="str">
        <f>IF('As-Filed Schedule 2K'!B27:D27=0,"",'As-Filed Schedule 2K'!B27:D27)</f>
        <v/>
      </c>
      <c r="C27" s="513"/>
      <c r="D27" s="513"/>
      <c r="F27" s="117">
        <f>'As-Filed Schedule 2K'!F27</f>
        <v>0</v>
      </c>
      <c r="G27" s="314">
        <f>SUMIFS(Adjustments!$G:$G,Adjustments!$H:$H,"2K",Adjustments!$I:$I,'Schedule 2K Adjustments'!$F$12,Adjustments!$J:$J,'Schedule 2K Adjustments'!$A27)</f>
        <v>0</v>
      </c>
      <c r="H27" s="310">
        <f t="shared" si="0"/>
        <v>0</v>
      </c>
      <c r="I27" s="68">
        <f>IFERROR(F27*'As-Filed Schedule 1'!$E$103,0)</f>
        <v>0</v>
      </c>
      <c r="J27" s="311">
        <f>IFERROR(H27*'Adjusted Schedule 1'!$E$104,0)</f>
        <v>0</v>
      </c>
      <c r="K27" s="68">
        <f t="shared" si="1"/>
        <v>0</v>
      </c>
      <c r="L27" s="311">
        <f t="shared" si="2"/>
        <v>0</v>
      </c>
      <c r="N27" s="117">
        <f>'As-Filed Schedule 2K'!J27</f>
        <v>0</v>
      </c>
      <c r="O27" s="314">
        <f>SUMIFS(Adjustments!$G:$G,Adjustments!$H:$H,"2K",Adjustments!$I:$I,'Schedule 2K Adjustments'!$N$12,Adjustments!$J:$J,'Schedule 2K Adjustments'!$A27)</f>
        <v>0</v>
      </c>
      <c r="P27" s="310">
        <f t="shared" si="3"/>
        <v>0</v>
      </c>
      <c r="Q27" s="68">
        <f>IFERROR(N27*'As-Filed Schedule 1'!$E$103,0)</f>
        <v>0</v>
      </c>
      <c r="R27" s="68">
        <f>IFERROR(P27*'Adjusted Schedule 1'!$E$104,0)</f>
        <v>0</v>
      </c>
      <c r="S27" s="68">
        <f t="shared" si="4"/>
        <v>0</v>
      </c>
      <c r="T27" s="311">
        <f t="shared" si="5"/>
        <v>0</v>
      </c>
      <c r="V27" s="120">
        <f>'As-Filed Schedule 2K'!N27</f>
        <v>0</v>
      </c>
      <c r="W27" s="314">
        <f>SUMIFS(Adjustments!$G:$G,Adjustments!$H:$H,"2K",Adjustments!$I:$I,'Schedule 2K Adjustments'!$V$12,Adjustments!$J:$J,'Schedule 2K Adjustments'!$A27)</f>
        <v>0</v>
      </c>
      <c r="X27" s="310">
        <f t="shared" si="6"/>
        <v>0</v>
      </c>
      <c r="Y27" s="120">
        <f>'As-Filed Schedule 2K'!O27</f>
        <v>0</v>
      </c>
      <c r="Z27" s="314">
        <f>SUMIFS(Adjustments!$G:$G,Adjustments!$H:$H,"2K",Adjustments!$I:$I,'Schedule 2K Adjustments'!$Y$12,Adjustments!$J:$J,'Schedule 2K Adjustments'!$A27)</f>
        <v>0</v>
      </c>
      <c r="AA27" s="310">
        <f t="shared" si="7"/>
        <v>0</v>
      </c>
    </row>
    <row r="28" spans="1:27" x14ac:dyDescent="0.35">
      <c r="A28" s="24">
        <v>14</v>
      </c>
      <c r="B28" s="513" t="str">
        <f>IF('As-Filed Schedule 2K'!B28:D28=0,"",'As-Filed Schedule 2K'!B28:D28)</f>
        <v/>
      </c>
      <c r="C28" s="513"/>
      <c r="D28" s="513"/>
      <c r="F28" s="117">
        <f>'As-Filed Schedule 2K'!F28</f>
        <v>0</v>
      </c>
      <c r="G28" s="314">
        <f>SUMIFS(Adjustments!$G:$G,Adjustments!$H:$H,"2K",Adjustments!$I:$I,'Schedule 2K Adjustments'!$F$12,Adjustments!$J:$J,'Schedule 2K Adjustments'!$A28)</f>
        <v>0</v>
      </c>
      <c r="H28" s="310">
        <f t="shared" si="0"/>
        <v>0</v>
      </c>
      <c r="I28" s="68">
        <f>IFERROR(F28*'As-Filed Schedule 1'!$E$103,0)</f>
        <v>0</v>
      </c>
      <c r="J28" s="311">
        <f>IFERROR(H28*'Adjusted Schedule 1'!$E$104,0)</f>
        <v>0</v>
      </c>
      <c r="K28" s="68">
        <f t="shared" si="1"/>
        <v>0</v>
      </c>
      <c r="L28" s="311">
        <f t="shared" si="2"/>
        <v>0</v>
      </c>
      <c r="N28" s="117">
        <f>'As-Filed Schedule 2K'!J28</f>
        <v>0</v>
      </c>
      <c r="O28" s="314">
        <f>SUMIFS(Adjustments!$G:$G,Adjustments!$H:$H,"2K",Adjustments!$I:$I,'Schedule 2K Adjustments'!$N$12,Adjustments!$J:$J,'Schedule 2K Adjustments'!$A28)</f>
        <v>0</v>
      </c>
      <c r="P28" s="310">
        <f t="shared" si="3"/>
        <v>0</v>
      </c>
      <c r="Q28" s="68">
        <f>IFERROR(N28*'As-Filed Schedule 1'!$E$103,0)</f>
        <v>0</v>
      </c>
      <c r="R28" s="68">
        <f>IFERROR(P28*'Adjusted Schedule 1'!$E$104,0)</f>
        <v>0</v>
      </c>
      <c r="S28" s="68">
        <f t="shared" si="4"/>
        <v>0</v>
      </c>
      <c r="T28" s="311">
        <f t="shared" si="5"/>
        <v>0</v>
      </c>
      <c r="V28" s="120">
        <f>'As-Filed Schedule 2K'!N28</f>
        <v>0</v>
      </c>
      <c r="W28" s="314">
        <f>SUMIFS(Adjustments!$G:$G,Adjustments!$H:$H,"2K",Adjustments!$I:$I,'Schedule 2K Adjustments'!$V$12,Adjustments!$J:$J,'Schedule 2K Adjustments'!$A28)</f>
        <v>0</v>
      </c>
      <c r="X28" s="310">
        <f t="shared" si="6"/>
        <v>0</v>
      </c>
      <c r="Y28" s="120">
        <f>'As-Filed Schedule 2K'!O28</f>
        <v>0</v>
      </c>
      <c r="Z28" s="314">
        <f>SUMIFS(Adjustments!$G:$G,Adjustments!$H:$H,"2K",Adjustments!$I:$I,'Schedule 2K Adjustments'!$Y$12,Adjustments!$J:$J,'Schedule 2K Adjustments'!$A28)</f>
        <v>0</v>
      </c>
      <c r="AA28" s="310">
        <f t="shared" si="7"/>
        <v>0</v>
      </c>
    </row>
    <row r="29" spans="1:27" x14ac:dyDescent="0.35">
      <c r="A29" s="24">
        <v>15</v>
      </c>
      <c r="B29" s="513" t="str">
        <f>IF('As-Filed Schedule 2K'!B29:D29=0,"",'As-Filed Schedule 2K'!B29:D29)</f>
        <v/>
      </c>
      <c r="C29" s="513"/>
      <c r="D29" s="513"/>
      <c r="F29" s="117">
        <f>'As-Filed Schedule 2K'!F29</f>
        <v>0</v>
      </c>
      <c r="G29" s="314">
        <f>SUMIFS(Adjustments!$G:$G,Adjustments!$H:$H,"2K",Adjustments!$I:$I,'Schedule 2K Adjustments'!$F$12,Adjustments!$J:$J,'Schedule 2K Adjustments'!$A29)</f>
        <v>0</v>
      </c>
      <c r="H29" s="310">
        <f t="shared" si="0"/>
        <v>0</v>
      </c>
      <c r="I29" s="68">
        <f>IFERROR(F29*'As-Filed Schedule 1'!$E$103,0)</f>
        <v>0</v>
      </c>
      <c r="J29" s="311">
        <f>IFERROR(H29*'Adjusted Schedule 1'!$E$104,0)</f>
        <v>0</v>
      </c>
      <c r="K29" s="68">
        <f t="shared" si="1"/>
        <v>0</v>
      </c>
      <c r="L29" s="311">
        <f t="shared" si="2"/>
        <v>0</v>
      </c>
      <c r="N29" s="117">
        <f>'As-Filed Schedule 2K'!J29</f>
        <v>0</v>
      </c>
      <c r="O29" s="314">
        <f>SUMIFS(Adjustments!$G:$G,Adjustments!$H:$H,"2K",Adjustments!$I:$I,'Schedule 2K Adjustments'!$N$12,Adjustments!$J:$J,'Schedule 2K Adjustments'!$A29)</f>
        <v>0</v>
      </c>
      <c r="P29" s="310">
        <f t="shared" si="3"/>
        <v>0</v>
      </c>
      <c r="Q29" s="68">
        <f>IFERROR(N29*'As-Filed Schedule 1'!$E$103,0)</f>
        <v>0</v>
      </c>
      <c r="R29" s="68">
        <f>IFERROR(P29*'Adjusted Schedule 1'!$E$104,0)</f>
        <v>0</v>
      </c>
      <c r="S29" s="68">
        <f t="shared" si="4"/>
        <v>0</v>
      </c>
      <c r="T29" s="311">
        <f t="shared" si="5"/>
        <v>0</v>
      </c>
      <c r="V29" s="120">
        <f>'As-Filed Schedule 2K'!N29</f>
        <v>0</v>
      </c>
      <c r="W29" s="314">
        <f>SUMIFS(Adjustments!$G:$G,Adjustments!$H:$H,"2K",Adjustments!$I:$I,'Schedule 2K Adjustments'!$V$12,Adjustments!$J:$J,'Schedule 2K Adjustments'!$A29)</f>
        <v>0</v>
      </c>
      <c r="X29" s="310">
        <f t="shared" si="6"/>
        <v>0</v>
      </c>
      <c r="Y29" s="120">
        <f>'As-Filed Schedule 2K'!O29</f>
        <v>0</v>
      </c>
      <c r="Z29" s="314">
        <f>SUMIFS(Adjustments!$G:$G,Adjustments!$H:$H,"2K",Adjustments!$I:$I,'Schedule 2K Adjustments'!$Y$12,Adjustments!$J:$J,'Schedule 2K Adjustments'!$A29)</f>
        <v>0</v>
      </c>
      <c r="AA29" s="310">
        <f t="shared" si="7"/>
        <v>0</v>
      </c>
    </row>
    <row r="30" spans="1:27" x14ac:dyDescent="0.35">
      <c r="A30" s="24">
        <v>16</v>
      </c>
      <c r="B30" s="513" t="str">
        <f>IF('As-Filed Schedule 2K'!B30:D30=0,"",'As-Filed Schedule 2K'!B30:D30)</f>
        <v/>
      </c>
      <c r="C30" s="513"/>
      <c r="D30" s="513"/>
      <c r="F30" s="117">
        <f>'As-Filed Schedule 2K'!F30</f>
        <v>0</v>
      </c>
      <c r="G30" s="314">
        <f>SUMIFS(Adjustments!$G:$G,Adjustments!$H:$H,"2K",Adjustments!$I:$I,'Schedule 2K Adjustments'!$F$12,Adjustments!$J:$J,'Schedule 2K Adjustments'!$A30)</f>
        <v>0</v>
      </c>
      <c r="H30" s="310">
        <f t="shared" si="0"/>
        <v>0</v>
      </c>
      <c r="I30" s="68">
        <f>IFERROR(F30*'As-Filed Schedule 1'!$E$103,0)</f>
        <v>0</v>
      </c>
      <c r="J30" s="311">
        <f>IFERROR(H30*'Adjusted Schedule 1'!$E$104,0)</f>
        <v>0</v>
      </c>
      <c r="K30" s="68">
        <f t="shared" si="1"/>
        <v>0</v>
      </c>
      <c r="L30" s="311">
        <f t="shared" si="2"/>
        <v>0</v>
      </c>
      <c r="N30" s="117">
        <f>'As-Filed Schedule 2K'!J30</f>
        <v>0</v>
      </c>
      <c r="O30" s="314">
        <f>SUMIFS(Adjustments!$G:$G,Adjustments!$H:$H,"2K",Adjustments!$I:$I,'Schedule 2K Adjustments'!$N$12,Adjustments!$J:$J,'Schedule 2K Adjustments'!$A30)</f>
        <v>0</v>
      </c>
      <c r="P30" s="310">
        <f t="shared" si="3"/>
        <v>0</v>
      </c>
      <c r="Q30" s="68">
        <f>IFERROR(N30*'As-Filed Schedule 1'!$E$103,0)</f>
        <v>0</v>
      </c>
      <c r="R30" s="68">
        <f>IFERROR(P30*'Adjusted Schedule 1'!$E$104,0)</f>
        <v>0</v>
      </c>
      <c r="S30" s="68">
        <f t="shared" si="4"/>
        <v>0</v>
      </c>
      <c r="T30" s="311">
        <f t="shared" si="5"/>
        <v>0</v>
      </c>
      <c r="V30" s="120">
        <f>'As-Filed Schedule 2K'!N30</f>
        <v>0</v>
      </c>
      <c r="W30" s="314">
        <f>SUMIFS(Adjustments!$G:$G,Adjustments!$H:$H,"2K",Adjustments!$I:$I,'Schedule 2K Adjustments'!$V$12,Adjustments!$J:$J,'Schedule 2K Adjustments'!$A30)</f>
        <v>0</v>
      </c>
      <c r="X30" s="310">
        <f t="shared" si="6"/>
        <v>0</v>
      </c>
      <c r="Y30" s="120">
        <f>'As-Filed Schedule 2K'!O30</f>
        <v>0</v>
      </c>
      <c r="Z30" s="314">
        <f>SUMIFS(Adjustments!$G:$G,Adjustments!$H:$H,"2K",Adjustments!$I:$I,'Schedule 2K Adjustments'!$Y$12,Adjustments!$J:$J,'Schedule 2K Adjustments'!$A30)</f>
        <v>0</v>
      </c>
      <c r="AA30" s="310">
        <f t="shared" si="7"/>
        <v>0</v>
      </c>
    </row>
    <row r="31" spans="1:27" x14ac:dyDescent="0.35">
      <c r="A31" s="24">
        <v>17</v>
      </c>
      <c r="B31" s="513" t="str">
        <f>IF('As-Filed Schedule 2K'!B31:D31=0,"",'As-Filed Schedule 2K'!B31:D31)</f>
        <v/>
      </c>
      <c r="C31" s="513"/>
      <c r="D31" s="513"/>
      <c r="F31" s="117">
        <f>'As-Filed Schedule 2K'!F31</f>
        <v>0</v>
      </c>
      <c r="G31" s="314">
        <f>SUMIFS(Adjustments!$G:$G,Adjustments!$H:$H,"2K",Adjustments!$I:$I,'Schedule 2K Adjustments'!$F$12,Adjustments!$J:$J,'Schedule 2K Adjustments'!$A31)</f>
        <v>0</v>
      </c>
      <c r="H31" s="310">
        <f t="shared" si="0"/>
        <v>0</v>
      </c>
      <c r="I31" s="68">
        <f>IFERROR(F31*'As-Filed Schedule 1'!$E$103,0)</f>
        <v>0</v>
      </c>
      <c r="J31" s="311">
        <f>IFERROR(H31*'Adjusted Schedule 1'!$E$104,0)</f>
        <v>0</v>
      </c>
      <c r="K31" s="68">
        <f t="shared" si="1"/>
        <v>0</v>
      </c>
      <c r="L31" s="311">
        <f t="shared" si="2"/>
        <v>0</v>
      </c>
      <c r="N31" s="117">
        <f>'As-Filed Schedule 2K'!J31</f>
        <v>0</v>
      </c>
      <c r="O31" s="314">
        <f>SUMIFS(Adjustments!$G:$G,Adjustments!$H:$H,"2K",Adjustments!$I:$I,'Schedule 2K Adjustments'!$N$12,Adjustments!$J:$J,'Schedule 2K Adjustments'!$A31)</f>
        <v>0</v>
      </c>
      <c r="P31" s="310">
        <f t="shared" si="3"/>
        <v>0</v>
      </c>
      <c r="Q31" s="68">
        <f>IFERROR(N31*'As-Filed Schedule 1'!$E$103,0)</f>
        <v>0</v>
      </c>
      <c r="R31" s="68">
        <f>IFERROR(P31*'Adjusted Schedule 1'!$E$104,0)</f>
        <v>0</v>
      </c>
      <c r="S31" s="68">
        <f t="shared" si="4"/>
        <v>0</v>
      </c>
      <c r="T31" s="311">
        <f t="shared" si="5"/>
        <v>0</v>
      </c>
      <c r="V31" s="120">
        <f>'As-Filed Schedule 2K'!N31</f>
        <v>0</v>
      </c>
      <c r="W31" s="314">
        <f>SUMIFS(Adjustments!$G:$G,Adjustments!$H:$H,"2K",Adjustments!$I:$I,'Schedule 2K Adjustments'!$V$12,Adjustments!$J:$J,'Schedule 2K Adjustments'!$A31)</f>
        <v>0</v>
      </c>
      <c r="X31" s="310">
        <f t="shared" si="6"/>
        <v>0</v>
      </c>
      <c r="Y31" s="120">
        <f>'As-Filed Schedule 2K'!O31</f>
        <v>0</v>
      </c>
      <c r="Z31" s="314">
        <f>SUMIFS(Adjustments!$G:$G,Adjustments!$H:$H,"2K",Adjustments!$I:$I,'Schedule 2K Adjustments'!$Y$12,Adjustments!$J:$J,'Schedule 2K Adjustments'!$A31)</f>
        <v>0</v>
      </c>
      <c r="AA31" s="310">
        <f t="shared" si="7"/>
        <v>0</v>
      </c>
    </row>
    <row r="32" spans="1:27" x14ac:dyDescent="0.35">
      <c r="A32" s="24">
        <v>18</v>
      </c>
      <c r="B32" s="513" t="str">
        <f>IF('As-Filed Schedule 2K'!B32:D32=0,"",'As-Filed Schedule 2K'!B32:D32)</f>
        <v/>
      </c>
      <c r="C32" s="513"/>
      <c r="D32" s="513"/>
      <c r="F32" s="117">
        <f>'As-Filed Schedule 2K'!F32</f>
        <v>0</v>
      </c>
      <c r="G32" s="314">
        <f>SUMIFS(Adjustments!$G:$G,Adjustments!$H:$H,"2K",Adjustments!$I:$I,'Schedule 2K Adjustments'!$F$12,Adjustments!$J:$J,'Schedule 2K Adjustments'!$A32)</f>
        <v>0</v>
      </c>
      <c r="H32" s="310">
        <f t="shared" si="0"/>
        <v>0</v>
      </c>
      <c r="I32" s="68">
        <f>IFERROR(F32*'As-Filed Schedule 1'!$E$103,0)</f>
        <v>0</v>
      </c>
      <c r="J32" s="311">
        <f>IFERROR(H32*'Adjusted Schedule 1'!$E$104,0)</f>
        <v>0</v>
      </c>
      <c r="K32" s="68">
        <f t="shared" si="1"/>
        <v>0</v>
      </c>
      <c r="L32" s="311">
        <f t="shared" si="2"/>
        <v>0</v>
      </c>
      <c r="N32" s="117">
        <f>'As-Filed Schedule 2K'!J32</f>
        <v>0</v>
      </c>
      <c r="O32" s="314">
        <f>SUMIFS(Adjustments!$G:$G,Adjustments!$H:$H,"2K",Adjustments!$I:$I,'Schedule 2K Adjustments'!$N$12,Adjustments!$J:$J,'Schedule 2K Adjustments'!$A32)</f>
        <v>0</v>
      </c>
      <c r="P32" s="310">
        <f t="shared" si="3"/>
        <v>0</v>
      </c>
      <c r="Q32" s="68">
        <f>IFERROR(N32*'As-Filed Schedule 1'!$E$103,0)</f>
        <v>0</v>
      </c>
      <c r="R32" s="68">
        <f>IFERROR(P32*'Adjusted Schedule 1'!$E$104,0)</f>
        <v>0</v>
      </c>
      <c r="S32" s="68">
        <f t="shared" si="4"/>
        <v>0</v>
      </c>
      <c r="T32" s="311">
        <f t="shared" si="5"/>
        <v>0</v>
      </c>
      <c r="V32" s="120">
        <f>'As-Filed Schedule 2K'!N32</f>
        <v>0</v>
      </c>
      <c r="W32" s="314">
        <f>SUMIFS(Adjustments!$G:$G,Adjustments!$H:$H,"2K",Adjustments!$I:$I,'Schedule 2K Adjustments'!$V$12,Adjustments!$J:$J,'Schedule 2K Adjustments'!$A32)</f>
        <v>0</v>
      </c>
      <c r="X32" s="310">
        <f t="shared" si="6"/>
        <v>0</v>
      </c>
      <c r="Y32" s="120">
        <f>'As-Filed Schedule 2K'!O32</f>
        <v>0</v>
      </c>
      <c r="Z32" s="314">
        <f>SUMIFS(Adjustments!$G:$G,Adjustments!$H:$H,"2K",Adjustments!$I:$I,'Schedule 2K Adjustments'!$Y$12,Adjustments!$J:$J,'Schedule 2K Adjustments'!$A32)</f>
        <v>0</v>
      </c>
      <c r="AA32" s="310">
        <f t="shared" si="7"/>
        <v>0</v>
      </c>
    </row>
    <row r="33" spans="1:27" x14ac:dyDescent="0.35">
      <c r="A33" s="24">
        <v>19</v>
      </c>
      <c r="B33" s="513" t="str">
        <f>IF('As-Filed Schedule 2K'!B33:D33=0,"",'As-Filed Schedule 2K'!B33:D33)</f>
        <v/>
      </c>
      <c r="C33" s="513"/>
      <c r="D33" s="513"/>
      <c r="F33" s="117">
        <f>'As-Filed Schedule 2K'!F33</f>
        <v>0</v>
      </c>
      <c r="G33" s="314">
        <f>SUMIFS(Adjustments!$G:$G,Adjustments!$H:$H,"2K",Adjustments!$I:$I,'Schedule 2K Adjustments'!$F$12,Adjustments!$J:$J,'Schedule 2K Adjustments'!$A33)</f>
        <v>0</v>
      </c>
      <c r="H33" s="310">
        <f t="shared" si="0"/>
        <v>0</v>
      </c>
      <c r="I33" s="68">
        <f>IFERROR(F33*'As-Filed Schedule 1'!$E$103,0)</f>
        <v>0</v>
      </c>
      <c r="J33" s="311">
        <f>IFERROR(H33*'Adjusted Schedule 1'!$E$104,0)</f>
        <v>0</v>
      </c>
      <c r="K33" s="68">
        <f t="shared" si="1"/>
        <v>0</v>
      </c>
      <c r="L33" s="311">
        <f t="shared" si="2"/>
        <v>0</v>
      </c>
      <c r="N33" s="117">
        <f>'As-Filed Schedule 2K'!J33</f>
        <v>0</v>
      </c>
      <c r="O33" s="314">
        <f>SUMIFS(Adjustments!$G:$G,Adjustments!$H:$H,"2K",Adjustments!$I:$I,'Schedule 2K Adjustments'!$N$12,Adjustments!$J:$J,'Schedule 2K Adjustments'!$A33)</f>
        <v>0</v>
      </c>
      <c r="P33" s="310">
        <f t="shared" si="3"/>
        <v>0</v>
      </c>
      <c r="Q33" s="68">
        <f>IFERROR(N33*'As-Filed Schedule 1'!$E$103,0)</f>
        <v>0</v>
      </c>
      <c r="R33" s="68">
        <f>IFERROR(P33*'Adjusted Schedule 1'!$E$104,0)</f>
        <v>0</v>
      </c>
      <c r="S33" s="68">
        <f t="shared" si="4"/>
        <v>0</v>
      </c>
      <c r="T33" s="311">
        <f t="shared" si="5"/>
        <v>0</v>
      </c>
      <c r="V33" s="120">
        <f>'As-Filed Schedule 2K'!N33</f>
        <v>0</v>
      </c>
      <c r="W33" s="314">
        <f>SUMIFS(Adjustments!$G:$G,Adjustments!$H:$H,"2K",Adjustments!$I:$I,'Schedule 2K Adjustments'!$V$12,Adjustments!$J:$J,'Schedule 2K Adjustments'!$A33)</f>
        <v>0</v>
      </c>
      <c r="X33" s="310">
        <f t="shared" si="6"/>
        <v>0</v>
      </c>
      <c r="Y33" s="120">
        <f>'As-Filed Schedule 2K'!O33</f>
        <v>0</v>
      </c>
      <c r="Z33" s="314">
        <f>SUMIFS(Adjustments!$G:$G,Adjustments!$H:$H,"2K",Adjustments!$I:$I,'Schedule 2K Adjustments'!$Y$12,Adjustments!$J:$J,'Schedule 2K Adjustments'!$A33)</f>
        <v>0</v>
      </c>
      <c r="AA33" s="310">
        <f t="shared" si="7"/>
        <v>0</v>
      </c>
    </row>
    <row r="34" spans="1:27" x14ac:dyDescent="0.35">
      <c r="A34" s="24">
        <v>20</v>
      </c>
      <c r="B34" s="513" t="str">
        <f>IF('As-Filed Schedule 2K'!B34:D34=0,"",'As-Filed Schedule 2K'!B34:D34)</f>
        <v/>
      </c>
      <c r="C34" s="513"/>
      <c r="D34" s="513"/>
      <c r="F34" s="117">
        <f>'As-Filed Schedule 2K'!F34</f>
        <v>0</v>
      </c>
      <c r="G34" s="314">
        <f>SUMIFS(Adjustments!$G:$G,Adjustments!$H:$H,"2K",Adjustments!$I:$I,'Schedule 2K Adjustments'!$F$12,Adjustments!$J:$J,'Schedule 2K Adjustments'!$A34)</f>
        <v>0</v>
      </c>
      <c r="H34" s="310">
        <f t="shared" si="0"/>
        <v>0</v>
      </c>
      <c r="I34" s="68">
        <f>IFERROR(F34*'As-Filed Schedule 1'!$E$103,0)</f>
        <v>0</v>
      </c>
      <c r="J34" s="311">
        <f>IFERROR(H34*'Adjusted Schedule 1'!$E$104,0)</f>
        <v>0</v>
      </c>
      <c r="K34" s="68">
        <f t="shared" si="1"/>
        <v>0</v>
      </c>
      <c r="L34" s="311">
        <f t="shared" si="2"/>
        <v>0</v>
      </c>
      <c r="N34" s="117">
        <f>'As-Filed Schedule 2K'!J34</f>
        <v>0</v>
      </c>
      <c r="O34" s="314">
        <f>SUMIFS(Adjustments!$G:$G,Adjustments!$H:$H,"2K",Adjustments!$I:$I,'Schedule 2K Adjustments'!$N$12,Adjustments!$J:$J,'Schedule 2K Adjustments'!$A34)</f>
        <v>0</v>
      </c>
      <c r="P34" s="310">
        <f t="shared" si="3"/>
        <v>0</v>
      </c>
      <c r="Q34" s="68">
        <f>IFERROR(N34*'As-Filed Schedule 1'!$E$103,0)</f>
        <v>0</v>
      </c>
      <c r="R34" s="68">
        <f>IFERROR(P34*'Adjusted Schedule 1'!$E$104,0)</f>
        <v>0</v>
      </c>
      <c r="S34" s="68">
        <f t="shared" si="4"/>
        <v>0</v>
      </c>
      <c r="T34" s="311">
        <f t="shared" si="5"/>
        <v>0</v>
      </c>
      <c r="V34" s="120">
        <f>'As-Filed Schedule 2K'!N34</f>
        <v>0</v>
      </c>
      <c r="W34" s="314">
        <f>SUMIFS(Adjustments!$G:$G,Adjustments!$H:$H,"2K",Adjustments!$I:$I,'Schedule 2K Adjustments'!$V$12,Adjustments!$J:$J,'Schedule 2K Adjustments'!$A34)</f>
        <v>0</v>
      </c>
      <c r="X34" s="310">
        <f t="shared" si="6"/>
        <v>0</v>
      </c>
      <c r="Y34" s="120">
        <f>'As-Filed Schedule 2K'!O34</f>
        <v>0</v>
      </c>
      <c r="Z34" s="314">
        <f>SUMIFS(Adjustments!$G:$G,Adjustments!$H:$H,"2K",Adjustments!$I:$I,'Schedule 2K Adjustments'!$Y$12,Adjustments!$J:$J,'Schedule 2K Adjustments'!$A34)</f>
        <v>0</v>
      </c>
      <c r="AA34" s="310">
        <f t="shared" si="7"/>
        <v>0</v>
      </c>
    </row>
    <row r="35" spans="1:27" x14ac:dyDescent="0.35">
      <c r="A35" s="24">
        <v>21</v>
      </c>
      <c r="B35" s="513" t="str">
        <f>IF('As-Filed Schedule 2K'!B35:D35=0,"",'As-Filed Schedule 2K'!B35:D35)</f>
        <v/>
      </c>
      <c r="C35" s="513"/>
      <c r="D35" s="513"/>
      <c r="F35" s="117">
        <f>'As-Filed Schedule 2K'!F35</f>
        <v>0</v>
      </c>
      <c r="G35" s="314">
        <f>SUMIFS(Adjustments!$G:$G,Adjustments!$H:$H,"2K",Adjustments!$I:$I,'Schedule 2K Adjustments'!$F$12,Adjustments!$J:$J,'Schedule 2K Adjustments'!$A35)</f>
        <v>0</v>
      </c>
      <c r="H35" s="310">
        <f t="shared" si="0"/>
        <v>0</v>
      </c>
      <c r="I35" s="68">
        <f>IFERROR(F35*'As-Filed Schedule 1'!$E$103,0)</f>
        <v>0</v>
      </c>
      <c r="J35" s="311">
        <f>IFERROR(H35*'Adjusted Schedule 1'!$E$104,0)</f>
        <v>0</v>
      </c>
      <c r="K35" s="68">
        <f t="shared" si="1"/>
        <v>0</v>
      </c>
      <c r="L35" s="311">
        <f t="shared" si="2"/>
        <v>0</v>
      </c>
      <c r="N35" s="117">
        <f>'As-Filed Schedule 2K'!J35</f>
        <v>0</v>
      </c>
      <c r="O35" s="314">
        <f>SUMIFS(Adjustments!$G:$G,Adjustments!$H:$H,"2K",Adjustments!$I:$I,'Schedule 2K Adjustments'!$N$12,Adjustments!$J:$J,'Schedule 2K Adjustments'!$A35)</f>
        <v>0</v>
      </c>
      <c r="P35" s="310">
        <f t="shared" si="3"/>
        <v>0</v>
      </c>
      <c r="Q35" s="68">
        <f>IFERROR(N35*'As-Filed Schedule 1'!$E$103,0)</f>
        <v>0</v>
      </c>
      <c r="R35" s="68">
        <f>IFERROR(P35*'Adjusted Schedule 1'!$E$104,0)</f>
        <v>0</v>
      </c>
      <c r="S35" s="68">
        <f t="shared" si="4"/>
        <v>0</v>
      </c>
      <c r="T35" s="311">
        <f t="shared" si="5"/>
        <v>0</v>
      </c>
      <c r="V35" s="120">
        <f>'As-Filed Schedule 2K'!N35</f>
        <v>0</v>
      </c>
      <c r="W35" s="314">
        <f>SUMIFS(Adjustments!$G:$G,Adjustments!$H:$H,"2K",Adjustments!$I:$I,'Schedule 2K Adjustments'!$V$12,Adjustments!$J:$J,'Schedule 2K Adjustments'!$A35)</f>
        <v>0</v>
      </c>
      <c r="X35" s="310">
        <f t="shared" si="6"/>
        <v>0</v>
      </c>
      <c r="Y35" s="120">
        <f>'As-Filed Schedule 2K'!O35</f>
        <v>0</v>
      </c>
      <c r="Z35" s="314">
        <f>SUMIFS(Adjustments!$G:$G,Adjustments!$H:$H,"2K",Adjustments!$I:$I,'Schedule 2K Adjustments'!$Y$12,Adjustments!$J:$J,'Schedule 2K Adjustments'!$A35)</f>
        <v>0</v>
      </c>
      <c r="AA35" s="310">
        <f t="shared" si="7"/>
        <v>0</v>
      </c>
    </row>
    <row r="36" spans="1:27" x14ac:dyDescent="0.35">
      <c r="A36" s="24">
        <v>22</v>
      </c>
      <c r="B36" s="513" t="str">
        <f>IF('As-Filed Schedule 2K'!B36:D36=0,"",'As-Filed Schedule 2K'!B36:D36)</f>
        <v/>
      </c>
      <c r="C36" s="513"/>
      <c r="D36" s="513"/>
      <c r="F36" s="117">
        <f>'As-Filed Schedule 2K'!F36</f>
        <v>0</v>
      </c>
      <c r="G36" s="314">
        <f>SUMIFS(Adjustments!$G:$G,Adjustments!$H:$H,"2K",Adjustments!$I:$I,'Schedule 2K Adjustments'!$F$12,Adjustments!$J:$J,'Schedule 2K Adjustments'!$A36)</f>
        <v>0</v>
      </c>
      <c r="H36" s="310">
        <f t="shared" si="0"/>
        <v>0</v>
      </c>
      <c r="I36" s="68">
        <f>IFERROR(F36*'As-Filed Schedule 1'!$E$103,0)</f>
        <v>0</v>
      </c>
      <c r="J36" s="311">
        <f>IFERROR(H36*'Adjusted Schedule 1'!$E$104,0)</f>
        <v>0</v>
      </c>
      <c r="K36" s="68">
        <f t="shared" si="1"/>
        <v>0</v>
      </c>
      <c r="L36" s="311">
        <f t="shared" si="2"/>
        <v>0</v>
      </c>
      <c r="N36" s="117">
        <f>'As-Filed Schedule 2K'!J36</f>
        <v>0</v>
      </c>
      <c r="O36" s="314">
        <f>SUMIFS(Adjustments!$G:$G,Adjustments!$H:$H,"2K",Adjustments!$I:$I,'Schedule 2K Adjustments'!$N$12,Adjustments!$J:$J,'Schedule 2K Adjustments'!$A36)</f>
        <v>0</v>
      </c>
      <c r="P36" s="310">
        <f t="shared" si="3"/>
        <v>0</v>
      </c>
      <c r="Q36" s="68">
        <f>IFERROR(N36*'As-Filed Schedule 1'!$E$103,0)</f>
        <v>0</v>
      </c>
      <c r="R36" s="68">
        <f>IFERROR(P36*'Adjusted Schedule 1'!$E$104,0)</f>
        <v>0</v>
      </c>
      <c r="S36" s="68">
        <f t="shared" si="4"/>
        <v>0</v>
      </c>
      <c r="T36" s="311">
        <f t="shared" si="5"/>
        <v>0</v>
      </c>
      <c r="V36" s="120">
        <f>'As-Filed Schedule 2K'!N36</f>
        <v>0</v>
      </c>
      <c r="W36" s="314">
        <f>SUMIFS(Adjustments!$G:$G,Adjustments!$H:$H,"2K",Adjustments!$I:$I,'Schedule 2K Adjustments'!$V$12,Adjustments!$J:$J,'Schedule 2K Adjustments'!$A36)</f>
        <v>0</v>
      </c>
      <c r="X36" s="310">
        <f t="shared" si="6"/>
        <v>0</v>
      </c>
      <c r="Y36" s="120">
        <f>'As-Filed Schedule 2K'!O36</f>
        <v>0</v>
      </c>
      <c r="Z36" s="314">
        <f>SUMIFS(Adjustments!$G:$G,Adjustments!$H:$H,"2K",Adjustments!$I:$I,'Schedule 2K Adjustments'!$Y$12,Adjustments!$J:$J,'Schedule 2K Adjustments'!$A36)</f>
        <v>0</v>
      </c>
      <c r="AA36" s="310">
        <f t="shared" si="7"/>
        <v>0</v>
      </c>
    </row>
    <row r="37" spans="1:27" x14ac:dyDescent="0.35">
      <c r="A37" s="24">
        <v>23</v>
      </c>
      <c r="B37" s="513" t="str">
        <f>IF('As-Filed Schedule 2K'!B37:D37=0,"",'As-Filed Schedule 2K'!B37:D37)</f>
        <v/>
      </c>
      <c r="C37" s="513"/>
      <c r="D37" s="513"/>
      <c r="F37" s="117">
        <f>'As-Filed Schedule 2K'!F37</f>
        <v>0</v>
      </c>
      <c r="G37" s="314">
        <f>SUMIFS(Adjustments!$G:$G,Adjustments!$H:$H,"2K",Adjustments!$I:$I,'Schedule 2K Adjustments'!$F$12,Adjustments!$J:$J,'Schedule 2K Adjustments'!$A37)</f>
        <v>0</v>
      </c>
      <c r="H37" s="310">
        <f t="shared" si="0"/>
        <v>0</v>
      </c>
      <c r="I37" s="68">
        <f>IFERROR(F37*'As-Filed Schedule 1'!$E$103,0)</f>
        <v>0</v>
      </c>
      <c r="J37" s="311">
        <f>IFERROR(H37*'Adjusted Schedule 1'!$E$104,0)</f>
        <v>0</v>
      </c>
      <c r="K37" s="68">
        <f t="shared" si="1"/>
        <v>0</v>
      </c>
      <c r="L37" s="311">
        <f t="shared" si="2"/>
        <v>0</v>
      </c>
      <c r="N37" s="117">
        <f>'As-Filed Schedule 2K'!J37</f>
        <v>0</v>
      </c>
      <c r="O37" s="314">
        <f>SUMIFS(Adjustments!$G:$G,Adjustments!$H:$H,"2K",Adjustments!$I:$I,'Schedule 2K Adjustments'!$N$12,Adjustments!$J:$J,'Schedule 2K Adjustments'!$A37)</f>
        <v>0</v>
      </c>
      <c r="P37" s="310">
        <f t="shared" si="3"/>
        <v>0</v>
      </c>
      <c r="Q37" s="68">
        <f>IFERROR(N37*'As-Filed Schedule 1'!$E$103,0)</f>
        <v>0</v>
      </c>
      <c r="R37" s="68">
        <f>IFERROR(P37*'Adjusted Schedule 1'!$E$104,0)</f>
        <v>0</v>
      </c>
      <c r="S37" s="68">
        <f t="shared" si="4"/>
        <v>0</v>
      </c>
      <c r="T37" s="311">
        <f t="shared" si="5"/>
        <v>0</v>
      </c>
      <c r="V37" s="120">
        <f>'As-Filed Schedule 2K'!N37</f>
        <v>0</v>
      </c>
      <c r="W37" s="314">
        <f>SUMIFS(Adjustments!$G:$G,Adjustments!$H:$H,"2K",Adjustments!$I:$I,'Schedule 2K Adjustments'!$V$12,Adjustments!$J:$J,'Schedule 2K Adjustments'!$A37)</f>
        <v>0</v>
      </c>
      <c r="X37" s="310">
        <f t="shared" si="6"/>
        <v>0</v>
      </c>
      <c r="Y37" s="120">
        <f>'As-Filed Schedule 2K'!O37</f>
        <v>0</v>
      </c>
      <c r="Z37" s="314">
        <f>SUMIFS(Adjustments!$G:$G,Adjustments!$H:$H,"2K",Adjustments!$I:$I,'Schedule 2K Adjustments'!$Y$12,Adjustments!$J:$J,'Schedule 2K Adjustments'!$A37)</f>
        <v>0</v>
      </c>
      <c r="AA37" s="310">
        <f t="shared" si="7"/>
        <v>0</v>
      </c>
    </row>
    <row r="38" spans="1:27" x14ac:dyDescent="0.35">
      <c r="A38" s="24">
        <v>24</v>
      </c>
      <c r="B38" s="513" t="str">
        <f>IF('As-Filed Schedule 2K'!B38:D38=0,"",'As-Filed Schedule 2K'!B38:D38)</f>
        <v/>
      </c>
      <c r="C38" s="513"/>
      <c r="D38" s="513"/>
      <c r="F38" s="117">
        <f>'As-Filed Schedule 2K'!F38</f>
        <v>0</v>
      </c>
      <c r="G38" s="314">
        <f>SUMIFS(Adjustments!$G:$G,Adjustments!$H:$H,"2K",Adjustments!$I:$I,'Schedule 2K Adjustments'!$F$12,Adjustments!$J:$J,'Schedule 2K Adjustments'!$A38)</f>
        <v>0</v>
      </c>
      <c r="H38" s="310">
        <f t="shared" si="0"/>
        <v>0</v>
      </c>
      <c r="I38" s="68">
        <f>IFERROR(F38*'As-Filed Schedule 1'!$E$103,0)</f>
        <v>0</v>
      </c>
      <c r="J38" s="311">
        <f>IFERROR(H38*'Adjusted Schedule 1'!$E$104,0)</f>
        <v>0</v>
      </c>
      <c r="K38" s="68">
        <f t="shared" si="1"/>
        <v>0</v>
      </c>
      <c r="L38" s="311">
        <f t="shared" si="2"/>
        <v>0</v>
      </c>
      <c r="N38" s="117">
        <f>'As-Filed Schedule 2K'!J38</f>
        <v>0</v>
      </c>
      <c r="O38" s="314">
        <f>SUMIFS(Adjustments!$G:$G,Adjustments!$H:$H,"2K",Adjustments!$I:$I,'Schedule 2K Adjustments'!$N$12,Adjustments!$J:$J,'Schedule 2K Adjustments'!$A38)</f>
        <v>0</v>
      </c>
      <c r="P38" s="310">
        <f t="shared" si="3"/>
        <v>0</v>
      </c>
      <c r="Q38" s="68">
        <f>IFERROR(N38*'As-Filed Schedule 1'!$E$103,0)</f>
        <v>0</v>
      </c>
      <c r="R38" s="68">
        <f>IFERROR(P38*'Adjusted Schedule 1'!$E$104,0)</f>
        <v>0</v>
      </c>
      <c r="S38" s="68">
        <f t="shared" si="4"/>
        <v>0</v>
      </c>
      <c r="T38" s="311">
        <f t="shared" si="5"/>
        <v>0</v>
      </c>
      <c r="V38" s="120">
        <f>'As-Filed Schedule 2K'!N38</f>
        <v>0</v>
      </c>
      <c r="W38" s="314">
        <f>SUMIFS(Adjustments!$G:$G,Adjustments!$H:$H,"2K",Adjustments!$I:$I,'Schedule 2K Adjustments'!$V$12,Adjustments!$J:$J,'Schedule 2K Adjustments'!$A38)</f>
        <v>0</v>
      </c>
      <c r="X38" s="310">
        <f t="shared" si="6"/>
        <v>0</v>
      </c>
      <c r="Y38" s="120">
        <f>'As-Filed Schedule 2K'!O38</f>
        <v>0</v>
      </c>
      <c r="Z38" s="314">
        <f>SUMIFS(Adjustments!$G:$G,Adjustments!$H:$H,"2K",Adjustments!$I:$I,'Schedule 2K Adjustments'!$Y$12,Adjustments!$J:$J,'Schedule 2K Adjustments'!$A38)</f>
        <v>0</v>
      </c>
      <c r="AA38" s="310">
        <f t="shared" si="7"/>
        <v>0</v>
      </c>
    </row>
    <row r="39" spans="1:27" x14ac:dyDescent="0.35">
      <c r="A39" s="24">
        <v>25</v>
      </c>
      <c r="B39" s="513" t="str">
        <f>IF('As-Filed Schedule 2K'!B39:D39=0,"",'As-Filed Schedule 2K'!B39:D39)</f>
        <v/>
      </c>
      <c r="C39" s="513"/>
      <c r="D39" s="513"/>
      <c r="F39" s="117">
        <f>'As-Filed Schedule 2K'!F39</f>
        <v>0</v>
      </c>
      <c r="G39" s="314">
        <f>SUMIFS(Adjustments!$G:$G,Adjustments!$H:$H,"2K",Adjustments!$I:$I,'Schedule 2K Adjustments'!$F$12,Adjustments!$J:$J,'Schedule 2K Adjustments'!$A39)</f>
        <v>0</v>
      </c>
      <c r="H39" s="310">
        <f t="shared" si="0"/>
        <v>0</v>
      </c>
      <c r="I39" s="68">
        <f>IFERROR(F39*'As-Filed Schedule 1'!$E$103,0)</f>
        <v>0</v>
      </c>
      <c r="J39" s="311">
        <f>IFERROR(H39*'Adjusted Schedule 1'!$E$104,0)</f>
        <v>0</v>
      </c>
      <c r="K39" s="68">
        <f t="shared" si="1"/>
        <v>0</v>
      </c>
      <c r="L39" s="311">
        <f t="shared" si="2"/>
        <v>0</v>
      </c>
      <c r="N39" s="117">
        <f>'As-Filed Schedule 2K'!J39</f>
        <v>0</v>
      </c>
      <c r="O39" s="314">
        <f>SUMIFS(Adjustments!$G:$G,Adjustments!$H:$H,"2K",Adjustments!$I:$I,'Schedule 2K Adjustments'!$N$12,Adjustments!$J:$J,'Schedule 2K Adjustments'!$A39)</f>
        <v>0</v>
      </c>
      <c r="P39" s="310">
        <f t="shared" si="3"/>
        <v>0</v>
      </c>
      <c r="Q39" s="68">
        <f>IFERROR(N39*'As-Filed Schedule 1'!$E$103,0)</f>
        <v>0</v>
      </c>
      <c r="R39" s="68">
        <f>IFERROR(P39*'Adjusted Schedule 1'!$E$104,0)</f>
        <v>0</v>
      </c>
      <c r="S39" s="68">
        <f t="shared" si="4"/>
        <v>0</v>
      </c>
      <c r="T39" s="311">
        <f t="shared" si="5"/>
        <v>0</v>
      </c>
      <c r="V39" s="120">
        <f>'As-Filed Schedule 2K'!N39</f>
        <v>0</v>
      </c>
      <c r="W39" s="314">
        <f>SUMIFS(Adjustments!$G:$G,Adjustments!$H:$H,"2K",Adjustments!$I:$I,'Schedule 2K Adjustments'!$V$12,Adjustments!$J:$J,'Schedule 2K Adjustments'!$A39)</f>
        <v>0</v>
      </c>
      <c r="X39" s="310">
        <f t="shared" si="6"/>
        <v>0</v>
      </c>
      <c r="Y39" s="120">
        <f>'As-Filed Schedule 2K'!O39</f>
        <v>0</v>
      </c>
      <c r="Z39" s="314">
        <f>SUMIFS(Adjustments!$G:$G,Adjustments!$H:$H,"2K",Adjustments!$I:$I,'Schedule 2K Adjustments'!$Y$12,Adjustments!$J:$J,'Schedule 2K Adjustments'!$A39)</f>
        <v>0</v>
      </c>
      <c r="AA39" s="310">
        <f t="shared" si="7"/>
        <v>0</v>
      </c>
    </row>
    <row r="40" spans="1:27" x14ac:dyDescent="0.35">
      <c r="A40" s="24">
        <v>26</v>
      </c>
      <c r="B40" s="513" t="str">
        <f>IF('As-Filed Schedule 2K'!B40:D40=0,"",'As-Filed Schedule 2K'!B40:D40)</f>
        <v/>
      </c>
      <c r="C40" s="513"/>
      <c r="D40" s="513"/>
      <c r="F40" s="117">
        <f>'As-Filed Schedule 2K'!F40</f>
        <v>0</v>
      </c>
      <c r="G40" s="314">
        <f>SUMIFS(Adjustments!$G:$G,Adjustments!$H:$H,"2K",Adjustments!$I:$I,'Schedule 2K Adjustments'!$F$12,Adjustments!$J:$J,'Schedule 2K Adjustments'!$A40)</f>
        <v>0</v>
      </c>
      <c r="H40" s="310">
        <f t="shared" si="0"/>
        <v>0</v>
      </c>
      <c r="I40" s="68">
        <f>IFERROR(F40*'As-Filed Schedule 1'!$E$103,0)</f>
        <v>0</v>
      </c>
      <c r="J40" s="311">
        <f>IFERROR(H40*'Adjusted Schedule 1'!$E$104,0)</f>
        <v>0</v>
      </c>
      <c r="K40" s="68">
        <f t="shared" si="1"/>
        <v>0</v>
      </c>
      <c r="L40" s="311">
        <f t="shared" si="2"/>
        <v>0</v>
      </c>
      <c r="N40" s="117">
        <f>'As-Filed Schedule 2K'!J40</f>
        <v>0</v>
      </c>
      <c r="O40" s="314">
        <f>SUMIFS(Adjustments!$G:$G,Adjustments!$H:$H,"2K",Adjustments!$I:$I,'Schedule 2K Adjustments'!$N$12,Adjustments!$J:$J,'Schedule 2K Adjustments'!$A40)</f>
        <v>0</v>
      </c>
      <c r="P40" s="310">
        <f t="shared" si="3"/>
        <v>0</v>
      </c>
      <c r="Q40" s="68">
        <f>IFERROR(N40*'As-Filed Schedule 1'!$E$103,0)</f>
        <v>0</v>
      </c>
      <c r="R40" s="68">
        <f>IFERROR(P40*'Adjusted Schedule 1'!$E$104,0)</f>
        <v>0</v>
      </c>
      <c r="S40" s="68">
        <f t="shared" si="4"/>
        <v>0</v>
      </c>
      <c r="T40" s="311">
        <f t="shared" si="5"/>
        <v>0</v>
      </c>
      <c r="V40" s="120">
        <f>'As-Filed Schedule 2K'!N40</f>
        <v>0</v>
      </c>
      <c r="W40" s="314">
        <f>SUMIFS(Adjustments!$G:$G,Adjustments!$H:$H,"2K",Adjustments!$I:$I,'Schedule 2K Adjustments'!$V$12,Adjustments!$J:$J,'Schedule 2K Adjustments'!$A40)</f>
        <v>0</v>
      </c>
      <c r="X40" s="310">
        <f t="shared" si="6"/>
        <v>0</v>
      </c>
      <c r="Y40" s="120">
        <f>'As-Filed Schedule 2K'!O40</f>
        <v>0</v>
      </c>
      <c r="Z40" s="314">
        <f>SUMIFS(Adjustments!$G:$G,Adjustments!$H:$H,"2K",Adjustments!$I:$I,'Schedule 2K Adjustments'!$Y$12,Adjustments!$J:$J,'Schedule 2K Adjustments'!$A40)</f>
        <v>0</v>
      </c>
      <c r="AA40" s="310">
        <f t="shared" si="7"/>
        <v>0</v>
      </c>
    </row>
    <row r="41" spans="1:27" x14ac:dyDescent="0.35">
      <c r="A41" s="24">
        <v>27</v>
      </c>
      <c r="B41" s="513" t="str">
        <f>IF('As-Filed Schedule 2K'!B41:D41=0,"",'As-Filed Schedule 2K'!B41:D41)</f>
        <v/>
      </c>
      <c r="C41" s="513"/>
      <c r="D41" s="513"/>
      <c r="F41" s="117">
        <f>'As-Filed Schedule 2K'!F41</f>
        <v>0</v>
      </c>
      <c r="G41" s="314">
        <f>SUMIFS(Adjustments!$G:$G,Adjustments!$H:$H,"2K",Adjustments!$I:$I,'Schedule 2K Adjustments'!$F$12,Adjustments!$J:$J,'Schedule 2K Adjustments'!$A41)</f>
        <v>0</v>
      </c>
      <c r="H41" s="310">
        <f t="shared" si="0"/>
        <v>0</v>
      </c>
      <c r="I41" s="68">
        <f>IFERROR(F41*'As-Filed Schedule 1'!$E$103,0)</f>
        <v>0</v>
      </c>
      <c r="J41" s="311">
        <f>IFERROR(H41*'Adjusted Schedule 1'!$E$104,0)</f>
        <v>0</v>
      </c>
      <c r="K41" s="68">
        <f t="shared" si="1"/>
        <v>0</v>
      </c>
      <c r="L41" s="311">
        <f t="shared" si="2"/>
        <v>0</v>
      </c>
      <c r="N41" s="117">
        <f>'As-Filed Schedule 2K'!J41</f>
        <v>0</v>
      </c>
      <c r="O41" s="314">
        <f>SUMIFS(Adjustments!$G:$G,Adjustments!$H:$H,"2K",Adjustments!$I:$I,'Schedule 2K Adjustments'!$N$12,Adjustments!$J:$J,'Schedule 2K Adjustments'!$A41)</f>
        <v>0</v>
      </c>
      <c r="P41" s="310">
        <f t="shared" si="3"/>
        <v>0</v>
      </c>
      <c r="Q41" s="68">
        <f>IFERROR(N41*'As-Filed Schedule 1'!$E$103,0)</f>
        <v>0</v>
      </c>
      <c r="R41" s="68">
        <f>IFERROR(P41*'Adjusted Schedule 1'!$E$104,0)</f>
        <v>0</v>
      </c>
      <c r="S41" s="68">
        <f t="shared" si="4"/>
        <v>0</v>
      </c>
      <c r="T41" s="311">
        <f t="shared" si="5"/>
        <v>0</v>
      </c>
      <c r="V41" s="120">
        <f>'As-Filed Schedule 2K'!N41</f>
        <v>0</v>
      </c>
      <c r="W41" s="314">
        <f>SUMIFS(Adjustments!$G:$G,Adjustments!$H:$H,"2K",Adjustments!$I:$I,'Schedule 2K Adjustments'!$V$12,Adjustments!$J:$J,'Schedule 2K Adjustments'!$A41)</f>
        <v>0</v>
      </c>
      <c r="X41" s="310">
        <f t="shared" si="6"/>
        <v>0</v>
      </c>
      <c r="Y41" s="120">
        <f>'As-Filed Schedule 2K'!O41</f>
        <v>0</v>
      </c>
      <c r="Z41" s="314">
        <f>SUMIFS(Adjustments!$G:$G,Adjustments!$H:$H,"2K",Adjustments!$I:$I,'Schedule 2K Adjustments'!$Y$12,Adjustments!$J:$J,'Schedule 2K Adjustments'!$A41)</f>
        <v>0</v>
      </c>
      <c r="AA41" s="310">
        <f t="shared" si="7"/>
        <v>0</v>
      </c>
    </row>
    <row r="42" spans="1:27" x14ac:dyDescent="0.35">
      <c r="A42" s="24">
        <v>28</v>
      </c>
      <c r="B42" s="513" t="str">
        <f>IF('As-Filed Schedule 2K'!B42:D42=0,"",'As-Filed Schedule 2K'!B42:D42)</f>
        <v/>
      </c>
      <c r="C42" s="513"/>
      <c r="D42" s="513"/>
      <c r="F42" s="117">
        <f>'As-Filed Schedule 2K'!F42</f>
        <v>0</v>
      </c>
      <c r="G42" s="314">
        <f>SUMIFS(Adjustments!$G:$G,Adjustments!$H:$H,"2K",Adjustments!$I:$I,'Schedule 2K Adjustments'!$F$12,Adjustments!$J:$J,'Schedule 2K Adjustments'!$A42)</f>
        <v>0</v>
      </c>
      <c r="H42" s="310">
        <f t="shared" si="0"/>
        <v>0</v>
      </c>
      <c r="I42" s="68">
        <f>IFERROR(F42*'As-Filed Schedule 1'!$E$103,0)</f>
        <v>0</v>
      </c>
      <c r="J42" s="311">
        <f>IFERROR(H42*'Adjusted Schedule 1'!$E$104,0)</f>
        <v>0</v>
      </c>
      <c r="K42" s="68">
        <f t="shared" si="1"/>
        <v>0</v>
      </c>
      <c r="L42" s="311">
        <f t="shared" si="2"/>
        <v>0</v>
      </c>
      <c r="N42" s="117">
        <f>'As-Filed Schedule 2K'!J42</f>
        <v>0</v>
      </c>
      <c r="O42" s="314">
        <f>SUMIFS(Adjustments!$G:$G,Adjustments!$H:$H,"2K",Adjustments!$I:$I,'Schedule 2K Adjustments'!$N$12,Adjustments!$J:$J,'Schedule 2K Adjustments'!$A42)</f>
        <v>0</v>
      </c>
      <c r="P42" s="310">
        <f t="shared" si="3"/>
        <v>0</v>
      </c>
      <c r="Q42" s="68">
        <f>IFERROR(N42*'As-Filed Schedule 1'!$E$103,0)</f>
        <v>0</v>
      </c>
      <c r="R42" s="68">
        <f>IFERROR(P42*'Adjusted Schedule 1'!$E$104,0)</f>
        <v>0</v>
      </c>
      <c r="S42" s="68">
        <f t="shared" si="4"/>
        <v>0</v>
      </c>
      <c r="T42" s="311">
        <f t="shared" si="5"/>
        <v>0</v>
      </c>
      <c r="V42" s="120">
        <f>'As-Filed Schedule 2K'!N42</f>
        <v>0</v>
      </c>
      <c r="W42" s="314">
        <f>SUMIFS(Adjustments!$G:$G,Adjustments!$H:$H,"2K",Adjustments!$I:$I,'Schedule 2K Adjustments'!$V$12,Adjustments!$J:$J,'Schedule 2K Adjustments'!$A42)</f>
        <v>0</v>
      </c>
      <c r="X42" s="310">
        <f t="shared" si="6"/>
        <v>0</v>
      </c>
      <c r="Y42" s="120">
        <f>'As-Filed Schedule 2K'!O42</f>
        <v>0</v>
      </c>
      <c r="Z42" s="314">
        <f>SUMIFS(Adjustments!$G:$G,Adjustments!$H:$H,"2K",Adjustments!$I:$I,'Schedule 2K Adjustments'!$Y$12,Adjustments!$J:$J,'Schedule 2K Adjustments'!$A42)</f>
        <v>0</v>
      </c>
      <c r="AA42" s="310">
        <f t="shared" si="7"/>
        <v>0</v>
      </c>
    </row>
    <row r="43" spans="1:27" x14ac:dyDescent="0.35">
      <c r="A43" s="24">
        <v>29</v>
      </c>
      <c r="B43" s="513" t="str">
        <f>IF('As-Filed Schedule 2K'!B43:D43=0,"",'As-Filed Schedule 2K'!B43:D43)</f>
        <v/>
      </c>
      <c r="C43" s="513"/>
      <c r="D43" s="513"/>
      <c r="F43" s="117">
        <f>'As-Filed Schedule 2K'!F43</f>
        <v>0</v>
      </c>
      <c r="G43" s="314">
        <f>SUMIFS(Adjustments!$G:$G,Adjustments!$H:$H,"2K",Adjustments!$I:$I,'Schedule 2K Adjustments'!$F$12,Adjustments!$J:$J,'Schedule 2K Adjustments'!$A43)</f>
        <v>0</v>
      </c>
      <c r="H43" s="310">
        <f t="shared" si="0"/>
        <v>0</v>
      </c>
      <c r="I43" s="68">
        <f>IFERROR(F43*'As-Filed Schedule 1'!$E$103,0)</f>
        <v>0</v>
      </c>
      <c r="J43" s="311">
        <f>IFERROR(H43*'Adjusted Schedule 1'!$E$104,0)</f>
        <v>0</v>
      </c>
      <c r="K43" s="68">
        <f t="shared" si="1"/>
        <v>0</v>
      </c>
      <c r="L43" s="311">
        <f t="shared" si="2"/>
        <v>0</v>
      </c>
      <c r="N43" s="117">
        <f>'As-Filed Schedule 2K'!J43</f>
        <v>0</v>
      </c>
      <c r="O43" s="314">
        <f>SUMIFS(Adjustments!$G:$G,Adjustments!$H:$H,"2K",Adjustments!$I:$I,'Schedule 2K Adjustments'!$N$12,Adjustments!$J:$J,'Schedule 2K Adjustments'!$A43)</f>
        <v>0</v>
      </c>
      <c r="P43" s="310">
        <f t="shared" si="3"/>
        <v>0</v>
      </c>
      <c r="Q43" s="68">
        <f>IFERROR(N43*'As-Filed Schedule 1'!$E$103,0)</f>
        <v>0</v>
      </c>
      <c r="R43" s="68">
        <f>IFERROR(P43*'Adjusted Schedule 1'!$E$104,0)</f>
        <v>0</v>
      </c>
      <c r="S43" s="68">
        <f t="shared" si="4"/>
        <v>0</v>
      </c>
      <c r="T43" s="311">
        <f t="shared" si="5"/>
        <v>0</v>
      </c>
      <c r="V43" s="120">
        <f>'As-Filed Schedule 2K'!N43</f>
        <v>0</v>
      </c>
      <c r="W43" s="314">
        <f>SUMIFS(Adjustments!$G:$G,Adjustments!$H:$H,"2K",Adjustments!$I:$I,'Schedule 2K Adjustments'!$V$12,Adjustments!$J:$J,'Schedule 2K Adjustments'!$A43)</f>
        <v>0</v>
      </c>
      <c r="X43" s="310">
        <f t="shared" si="6"/>
        <v>0</v>
      </c>
      <c r="Y43" s="120">
        <f>'As-Filed Schedule 2K'!O43</f>
        <v>0</v>
      </c>
      <c r="Z43" s="314">
        <f>SUMIFS(Adjustments!$G:$G,Adjustments!$H:$H,"2K",Adjustments!$I:$I,'Schedule 2K Adjustments'!$Y$12,Adjustments!$J:$J,'Schedule 2K Adjustments'!$A43)</f>
        <v>0</v>
      </c>
      <c r="AA43" s="310">
        <f t="shared" si="7"/>
        <v>0</v>
      </c>
    </row>
    <row r="44" spans="1:27" x14ac:dyDescent="0.35">
      <c r="A44" s="24">
        <v>30</v>
      </c>
      <c r="B44" s="513" t="str">
        <f>IF('As-Filed Schedule 2K'!B44:D44=0,"",'As-Filed Schedule 2K'!B44:D44)</f>
        <v/>
      </c>
      <c r="C44" s="513"/>
      <c r="D44" s="513"/>
      <c r="F44" s="117">
        <f>'As-Filed Schedule 2K'!F44</f>
        <v>0</v>
      </c>
      <c r="G44" s="314">
        <f>SUMIFS(Adjustments!$G:$G,Adjustments!$H:$H,"2K",Adjustments!$I:$I,'Schedule 2K Adjustments'!$F$12,Adjustments!$J:$J,'Schedule 2K Adjustments'!$A44)</f>
        <v>0</v>
      </c>
      <c r="H44" s="310">
        <f t="shared" si="0"/>
        <v>0</v>
      </c>
      <c r="I44" s="68">
        <f>IFERROR(F44*'As-Filed Schedule 1'!$E$103,0)</f>
        <v>0</v>
      </c>
      <c r="J44" s="311">
        <f>IFERROR(H44*'Adjusted Schedule 1'!$E$104,0)</f>
        <v>0</v>
      </c>
      <c r="K44" s="68">
        <f t="shared" si="1"/>
        <v>0</v>
      </c>
      <c r="L44" s="311">
        <f t="shared" si="2"/>
        <v>0</v>
      </c>
      <c r="N44" s="117">
        <f>'As-Filed Schedule 2K'!J44</f>
        <v>0</v>
      </c>
      <c r="O44" s="314">
        <f>SUMIFS(Adjustments!$G:$G,Adjustments!$H:$H,"2K",Adjustments!$I:$I,'Schedule 2K Adjustments'!$N$12,Adjustments!$J:$J,'Schedule 2K Adjustments'!$A44)</f>
        <v>0</v>
      </c>
      <c r="P44" s="310">
        <f t="shared" si="3"/>
        <v>0</v>
      </c>
      <c r="Q44" s="68">
        <f>IFERROR(N44*'As-Filed Schedule 1'!$E$103,0)</f>
        <v>0</v>
      </c>
      <c r="R44" s="68">
        <f>IFERROR(P44*'Adjusted Schedule 1'!$E$104,0)</f>
        <v>0</v>
      </c>
      <c r="S44" s="68">
        <f t="shared" si="4"/>
        <v>0</v>
      </c>
      <c r="T44" s="311">
        <f t="shared" si="5"/>
        <v>0</v>
      </c>
      <c r="V44" s="120">
        <f>'As-Filed Schedule 2K'!N44</f>
        <v>0</v>
      </c>
      <c r="W44" s="314">
        <f>SUMIFS(Adjustments!$G:$G,Adjustments!$H:$H,"2K",Adjustments!$I:$I,'Schedule 2K Adjustments'!$V$12,Adjustments!$J:$J,'Schedule 2K Adjustments'!$A44)</f>
        <v>0</v>
      </c>
      <c r="X44" s="310">
        <f t="shared" si="6"/>
        <v>0</v>
      </c>
      <c r="Y44" s="120">
        <f>'As-Filed Schedule 2K'!O44</f>
        <v>0</v>
      </c>
      <c r="Z44" s="314">
        <f>SUMIFS(Adjustments!$G:$G,Adjustments!$H:$H,"2K",Adjustments!$I:$I,'Schedule 2K Adjustments'!$Y$12,Adjustments!$J:$J,'Schedule 2K Adjustments'!$A44)</f>
        <v>0</v>
      </c>
      <c r="AA44" s="310">
        <f t="shared" si="7"/>
        <v>0</v>
      </c>
    </row>
    <row r="45" spans="1:27" x14ac:dyDescent="0.35">
      <c r="A45" s="24">
        <v>31</v>
      </c>
      <c r="B45" s="513" t="str">
        <f>IF('As-Filed Schedule 2K'!B45:D45=0,"",'As-Filed Schedule 2K'!B45:D45)</f>
        <v/>
      </c>
      <c r="C45" s="513"/>
      <c r="D45" s="513"/>
      <c r="F45" s="117">
        <f>'As-Filed Schedule 2K'!F45</f>
        <v>0</v>
      </c>
      <c r="G45" s="314">
        <f>SUMIFS(Adjustments!$G:$G,Adjustments!$H:$H,"2K",Adjustments!$I:$I,'Schedule 2K Adjustments'!$F$12,Adjustments!$J:$J,'Schedule 2K Adjustments'!$A45)</f>
        <v>0</v>
      </c>
      <c r="H45" s="310">
        <f t="shared" si="0"/>
        <v>0</v>
      </c>
      <c r="I45" s="68">
        <f>IFERROR(F45*'As-Filed Schedule 1'!$E$103,0)</f>
        <v>0</v>
      </c>
      <c r="J45" s="311">
        <f>IFERROR(H45*'Adjusted Schedule 1'!$E$104,0)</f>
        <v>0</v>
      </c>
      <c r="K45" s="68">
        <f t="shared" si="1"/>
        <v>0</v>
      </c>
      <c r="L45" s="311">
        <f t="shared" si="2"/>
        <v>0</v>
      </c>
      <c r="N45" s="117">
        <f>'As-Filed Schedule 2K'!J45</f>
        <v>0</v>
      </c>
      <c r="O45" s="314">
        <f>SUMIFS(Adjustments!$G:$G,Adjustments!$H:$H,"2K",Adjustments!$I:$I,'Schedule 2K Adjustments'!$N$12,Adjustments!$J:$J,'Schedule 2K Adjustments'!$A45)</f>
        <v>0</v>
      </c>
      <c r="P45" s="310">
        <f t="shared" si="3"/>
        <v>0</v>
      </c>
      <c r="Q45" s="68">
        <f>IFERROR(N45*'As-Filed Schedule 1'!$E$103,0)</f>
        <v>0</v>
      </c>
      <c r="R45" s="68">
        <f>IFERROR(P45*'Adjusted Schedule 1'!$E$104,0)</f>
        <v>0</v>
      </c>
      <c r="S45" s="68">
        <f t="shared" si="4"/>
        <v>0</v>
      </c>
      <c r="T45" s="311">
        <f t="shared" si="5"/>
        <v>0</v>
      </c>
      <c r="V45" s="120">
        <f>'As-Filed Schedule 2K'!N45</f>
        <v>0</v>
      </c>
      <c r="W45" s="314">
        <f>SUMIFS(Adjustments!$G:$G,Adjustments!$H:$H,"2K",Adjustments!$I:$I,'Schedule 2K Adjustments'!$V$12,Adjustments!$J:$J,'Schedule 2K Adjustments'!$A45)</f>
        <v>0</v>
      </c>
      <c r="X45" s="310">
        <f t="shared" si="6"/>
        <v>0</v>
      </c>
      <c r="Y45" s="120">
        <f>'As-Filed Schedule 2K'!O45</f>
        <v>0</v>
      </c>
      <c r="Z45" s="314">
        <f>SUMIFS(Adjustments!$G:$G,Adjustments!$H:$H,"2K",Adjustments!$I:$I,'Schedule 2K Adjustments'!$Y$12,Adjustments!$J:$J,'Schedule 2K Adjustments'!$A45)</f>
        <v>0</v>
      </c>
      <c r="AA45" s="310">
        <f t="shared" si="7"/>
        <v>0</v>
      </c>
    </row>
    <row r="46" spans="1:27" x14ac:dyDescent="0.35">
      <c r="A46" s="24">
        <v>32</v>
      </c>
      <c r="B46" s="513" t="str">
        <f>IF('As-Filed Schedule 2K'!B46:D46=0,"",'As-Filed Schedule 2K'!B46:D46)</f>
        <v/>
      </c>
      <c r="C46" s="513"/>
      <c r="D46" s="513"/>
      <c r="F46" s="117">
        <f>'As-Filed Schedule 2K'!F46</f>
        <v>0</v>
      </c>
      <c r="G46" s="314">
        <f>SUMIFS(Adjustments!$G:$G,Adjustments!$H:$H,"2K",Adjustments!$I:$I,'Schedule 2K Adjustments'!$F$12,Adjustments!$J:$J,'Schedule 2K Adjustments'!$A46)</f>
        <v>0</v>
      </c>
      <c r="H46" s="310">
        <f t="shared" si="0"/>
        <v>0</v>
      </c>
      <c r="I46" s="68">
        <f>IFERROR(F46*'As-Filed Schedule 1'!$E$103,0)</f>
        <v>0</v>
      </c>
      <c r="J46" s="311">
        <f>IFERROR(H46*'Adjusted Schedule 1'!$E$104,0)</f>
        <v>0</v>
      </c>
      <c r="K46" s="68">
        <f t="shared" si="1"/>
        <v>0</v>
      </c>
      <c r="L46" s="311">
        <f t="shared" si="2"/>
        <v>0</v>
      </c>
      <c r="N46" s="117">
        <f>'As-Filed Schedule 2K'!J46</f>
        <v>0</v>
      </c>
      <c r="O46" s="314">
        <f>SUMIFS(Adjustments!$G:$G,Adjustments!$H:$H,"2K",Adjustments!$I:$I,'Schedule 2K Adjustments'!$N$12,Adjustments!$J:$J,'Schedule 2K Adjustments'!$A46)</f>
        <v>0</v>
      </c>
      <c r="P46" s="310">
        <f t="shared" si="3"/>
        <v>0</v>
      </c>
      <c r="Q46" s="68">
        <f>IFERROR(N46*'As-Filed Schedule 1'!$E$103,0)</f>
        <v>0</v>
      </c>
      <c r="R46" s="68">
        <f>IFERROR(P46*'Adjusted Schedule 1'!$E$104,0)</f>
        <v>0</v>
      </c>
      <c r="S46" s="68">
        <f t="shared" si="4"/>
        <v>0</v>
      </c>
      <c r="T46" s="311">
        <f t="shared" si="5"/>
        <v>0</v>
      </c>
      <c r="V46" s="120">
        <f>'As-Filed Schedule 2K'!N46</f>
        <v>0</v>
      </c>
      <c r="W46" s="314">
        <f>SUMIFS(Adjustments!$G:$G,Adjustments!$H:$H,"2K",Adjustments!$I:$I,'Schedule 2K Adjustments'!$V$12,Adjustments!$J:$J,'Schedule 2K Adjustments'!$A46)</f>
        <v>0</v>
      </c>
      <c r="X46" s="310">
        <f t="shared" si="6"/>
        <v>0</v>
      </c>
      <c r="Y46" s="120">
        <f>'As-Filed Schedule 2K'!O46</f>
        <v>0</v>
      </c>
      <c r="Z46" s="314">
        <f>SUMIFS(Adjustments!$G:$G,Adjustments!$H:$H,"2K",Adjustments!$I:$I,'Schedule 2K Adjustments'!$Y$12,Adjustments!$J:$J,'Schedule 2K Adjustments'!$A46)</f>
        <v>0</v>
      </c>
      <c r="AA46" s="310">
        <f t="shared" si="7"/>
        <v>0</v>
      </c>
    </row>
    <row r="47" spans="1:27" x14ac:dyDescent="0.35">
      <c r="A47" s="24">
        <v>33</v>
      </c>
      <c r="B47" s="513" t="str">
        <f>IF('As-Filed Schedule 2K'!B47:D47=0,"",'As-Filed Schedule 2K'!B47:D47)</f>
        <v/>
      </c>
      <c r="C47" s="513"/>
      <c r="D47" s="513"/>
      <c r="F47" s="117">
        <f>'As-Filed Schedule 2K'!F47</f>
        <v>0</v>
      </c>
      <c r="G47" s="314">
        <f>SUMIFS(Adjustments!$G:$G,Adjustments!$H:$H,"2K",Adjustments!$I:$I,'Schedule 2K Adjustments'!$F$12,Adjustments!$J:$J,'Schedule 2K Adjustments'!$A47)</f>
        <v>0</v>
      </c>
      <c r="H47" s="310">
        <f t="shared" si="0"/>
        <v>0</v>
      </c>
      <c r="I47" s="68">
        <f>IFERROR(F47*'As-Filed Schedule 1'!$E$103,0)</f>
        <v>0</v>
      </c>
      <c r="J47" s="311">
        <f>IFERROR(H47*'Adjusted Schedule 1'!$E$104,0)</f>
        <v>0</v>
      </c>
      <c r="K47" s="68">
        <f t="shared" si="1"/>
        <v>0</v>
      </c>
      <c r="L47" s="311">
        <f t="shared" si="2"/>
        <v>0</v>
      </c>
      <c r="N47" s="117">
        <f>'As-Filed Schedule 2K'!J47</f>
        <v>0</v>
      </c>
      <c r="O47" s="314">
        <f>SUMIFS(Adjustments!$G:$G,Adjustments!$H:$H,"2K",Adjustments!$I:$I,'Schedule 2K Adjustments'!$N$12,Adjustments!$J:$J,'Schedule 2K Adjustments'!$A47)</f>
        <v>0</v>
      </c>
      <c r="P47" s="310">
        <f t="shared" si="3"/>
        <v>0</v>
      </c>
      <c r="Q47" s="68">
        <f>IFERROR(N47*'As-Filed Schedule 1'!$E$103,0)</f>
        <v>0</v>
      </c>
      <c r="R47" s="68">
        <f>IFERROR(P47*'Adjusted Schedule 1'!$E$104,0)</f>
        <v>0</v>
      </c>
      <c r="S47" s="68">
        <f t="shared" si="4"/>
        <v>0</v>
      </c>
      <c r="T47" s="311">
        <f t="shared" si="5"/>
        <v>0</v>
      </c>
      <c r="V47" s="120">
        <f>'As-Filed Schedule 2K'!N47</f>
        <v>0</v>
      </c>
      <c r="W47" s="314">
        <f>SUMIFS(Adjustments!$G:$G,Adjustments!$H:$H,"2K",Adjustments!$I:$I,'Schedule 2K Adjustments'!$V$12,Adjustments!$J:$J,'Schedule 2K Adjustments'!$A47)</f>
        <v>0</v>
      </c>
      <c r="X47" s="310">
        <f t="shared" si="6"/>
        <v>0</v>
      </c>
      <c r="Y47" s="120">
        <f>'As-Filed Schedule 2K'!O47</f>
        <v>0</v>
      </c>
      <c r="Z47" s="314">
        <f>SUMIFS(Adjustments!$G:$G,Adjustments!$H:$H,"2K",Adjustments!$I:$I,'Schedule 2K Adjustments'!$Y$12,Adjustments!$J:$J,'Schedule 2K Adjustments'!$A47)</f>
        <v>0</v>
      </c>
      <c r="AA47" s="310">
        <f t="shared" si="7"/>
        <v>0</v>
      </c>
    </row>
    <row r="48" spans="1:27" x14ac:dyDescent="0.35">
      <c r="A48" s="24">
        <v>34</v>
      </c>
      <c r="B48" s="513" t="str">
        <f>IF('As-Filed Schedule 2K'!B48:D48=0,"",'As-Filed Schedule 2K'!B48:D48)</f>
        <v/>
      </c>
      <c r="C48" s="513"/>
      <c r="D48" s="513"/>
      <c r="F48" s="117">
        <f>'As-Filed Schedule 2K'!F48</f>
        <v>0</v>
      </c>
      <c r="G48" s="314">
        <f>SUMIFS(Adjustments!$G:$G,Adjustments!$H:$H,"2K",Adjustments!$I:$I,'Schedule 2K Adjustments'!$F$12,Adjustments!$J:$J,'Schedule 2K Adjustments'!$A48)</f>
        <v>0</v>
      </c>
      <c r="H48" s="310">
        <f t="shared" si="0"/>
        <v>0</v>
      </c>
      <c r="I48" s="68">
        <f>IFERROR(F48*'As-Filed Schedule 1'!$E$103,0)</f>
        <v>0</v>
      </c>
      <c r="J48" s="311">
        <f>IFERROR(H48*'Adjusted Schedule 1'!$E$104,0)</f>
        <v>0</v>
      </c>
      <c r="K48" s="68">
        <f t="shared" si="1"/>
        <v>0</v>
      </c>
      <c r="L48" s="311">
        <f t="shared" si="2"/>
        <v>0</v>
      </c>
      <c r="N48" s="117">
        <f>'As-Filed Schedule 2K'!J48</f>
        <v>0</v>
      </c>
      <c r="O48" s="314">
        <f>SUMIFS(Adjustments!$G:$G,Adjustments!$H:$H,"2K",Adjustments!$I:$I,'Schedule 2K Adjustments'!$N$12,Adjustments!$J:$J,'Schedule 2K Adjustments'!$A48)</f>
        <v>0</v>
      </c>
      <c r="P48" s="310">
        <f t="shared" si="3"/>
        <v>0</v>
      </c>
      <c r="Q48" s="68">
        <f>IFERROR(N48*'As-Filed Schedule 1'!$E$103,0)</f>
        <v>0</v>
      </c>
      <c r="R48" s="68">
        <f>IFERROR(P48*'Adjusted Schedule 1'!$E$104,0)</f>
        <v>0</v>
      </c>
      <c r="S48" s="68">
        <f t="shared" si="4"/>
        <v>0</v>
      </c>
      <c r="T48" s="311">
        <f t="shared" si="5"/>
        <v>0</v>
      </c>
      <c r="V48" s="120">
        <f>'As-Filed Schedule 2K'!N48</f>
        <v>0</v>
      </c>
      <c r="W48" s="314">
        <f>SUMIFS(Adjustments!$G:$G,Adjustments!$H:$H,"2K",Adjustments!$I:$I,'Schedule 2K Adjustments'!$V$12,Adjustments!$J:$J,'Schedule 2K Adjustments'!$A48)</f>
        <v>0</v>
      </c>
      <c r="X48" s="310">
        <f t="shared" si="6"/>
        <v>0</v>
      </c>
      <c r="Y48" s="120">
        <f>'As-Filed Schedule 2K'!O48</f>
        <v>0</v>
      </c>
      <c r="Z48" s="314">
        <f>SUMIFS(Adjustments!$G:$G,Adjustments!$H:$H,"2K",Adjustments!$I:$I,'Schedule 2K Adjustments'!$Y$12,Adjustments!$J:$J,'Schedule 2K Adjustments'!$A48)</f>
        <v>0</v>
      </c>
      <c r="AA48" s="310">
        <f t="shared" si="7"/>
        <v>0</v>
      </c>
    </row>
    <row r="49" spans="1:27" x14ac:dyDescent="0.35">
      <c r="A49" s="24">
        <v>35</v>
      </c>
      <c r="B49" s="513" t="str">
        <f>IF('As-Filed Schedule 2K'!B49:D49=0,"",'As-Filed Schedule 2K'!B49:D49)</f>
        <v/>
      </c>
      <c r="C49" s="513"/>
      <c r="D49" s="513"/>
      <c r="F49" s="117">
        <f>'As-Filed Schedule 2K'!F49</f>
        <v>0</v>
      </c>
      <c r="G49" s="314">
        <f>SUMIFS(Adjustments!$G:$G,Adjustments!$H:$H,"2K",Adjustments!$I:$I,'Schedule 2K Adjustments'!$F$12,Adjustments!$J:$J,'Schedule 2K Adjustments'!$A49)</f>
        <v>0</v>
      </c>
      <c r="H49" s="310">
        <f t="shared" si="0"/>
        <v>0</v>
      </c>
      <c r="I49" s="68">
        <f>IFERROR(F49*'As-Filed Schedule 1'!$E$103,0)</f>
        <v>0</v>
      </c>
      <c r="J49" s="311">
        <f>IFERROR(H49*'Adjusted Schedule 1'!$E$104,0)</f>
        <v>0</v>
      </c>
      <c r="K49" s="68">
        <f t="shared" si="1"/>
        <v>0</v>
      </c>
      <c r="L49" s="311">
        <f t="shared" si="2"/>
        <v>0</v>
      </c>
      <c r="N49" s="117">
        <f>'As-Filed Schedule 2K'!J49</f>
        <v>0</v>
      </c>
      <c r="O49" s="314">
        <f>SUMIFS(Adjustments!$G:$G,Adjustments!$H:$H,"2K",Adjustments!$I:$I,'Schedule 2K Adjustments'!$N$12,Adjustments!$J:$J,'Schedule 2K Adjustments'!$A49)</f>
        <v>0</v>
      </c>
      <c r="P49" s="310">
        <f t="shared" si="3"/>
        <v>0</v>
      </c>
      <c r="Q49" s="68">
        <f>IFERROR(N49*'As-Filed Schedule 1'!$E$103,0)</f>
        <v>0</v>
      </c>
      <c r="R49" s="68">
        <f>IFERROR(P49*'Adjusted Schedule 1'!$E$104,0)</f>
        <v>0</v>
      </c>
      <c r="S49" s="68">
        <f t="shared" si="4"/>
        <v>0</v>
      </c>
      <c r="T49" s="311">
        <f t="shared" si="5"/>
        <v>0</v>
      </c>
      <c r="V49" s="120">
        <f>'As-Filed Schedule 2K'!N49</f>
        <v>0</v>
      </c>
      <c r="W49" s="314">
        <f>SUMIFS(Adjustments!$G:$G,Adjustments!$H:$H,"2K",Adjustments!$I:$I,'Schedule 2K Adjustments'!$V$12,Adjustments!$J:$J,'Schedule 2K Adjustments'!$A49)</f>
        <v>0</v>
      </c>
      <c r="X49" s="310">
        <f t="shared" si="6"/>
        <v>0</v>
      </c>
      <c r="Y49" s="120">
        <f>'As-Filed Schedule 2K'!O49</f>
        <v>0</v>
      </c>
      <c r="Z49" s="314">
        <f>SUMIFS(Adjustments!$G:$G,Adjustments!$H:$H,"2K",Adjustments!$I:$I,'Schedule 2K Adjustments'!$Y$12,Adjustments!$J:$J,'Schedule 2K Adjustments'!$A49)</f>
        <v>0</v>
      </c>
      <c r="AA49" s="310">
        <f t="shared" si="7"/>
        <v>0</v>
      </c>
    </row>
    <row r="50" spans="1:27" x14ac:dyDescent="0.35">
      <c r="A50" s="24">
        <v>36</v>
      </c>
      <c r="B50" s="513" t="str">
        <f>IF('As-Filed Schedule 2K'!B50:D50=0,"",'As-Filed Schedule 2K'!B50:D50)</f>
        <v/>
      </c>
      <c r="C50" s="513"/>
      <c r="D50" s="513"/>
      <c r="F50" s="117">
        <f>'As-Filed Schedule 2K'!F50</f>
        <v>0</v>
      </c>
      <c r="G50" s="314">
        <f>SUMIFS(Adjustments!$G:$G,Adjustments!$H:$H,"2K",Adjustments!$I:$I,'Schedule 2K Adjustments'!$F$12,Adjustments!$J:$J,'Schedule 2K Adjustments'!$A50)</f>
        <v>0</v>
      </c>
      <c r="H50" s="310">
        <f t="shared" si="0"/>
        <v>0</v>
      </c>
      <c r="I50" s="68">
        <f>IFERROR(F50*'As-Filed Schedule 1'!$E$103,0)</f>
        <v>0</v>
      </c>
      <c r="J50" s="311">
        <f>IFERROR(H50*'Adjusted Schedule 1'!$E$104,0)</f>
        <v>0</v>
      </c>
      <c r="K50" s="68">
        <f t="shared" si="1"/>
        <v>0</v>
      </c>
      <c r="L50" s="311">
        <f t="shared" si="2"/>
        <v>0</v>
      </c>
      <c r="N50" s="117">
        <f>'As-Filed Schedule 2K'!J50</f>
        <v>0</v>
      </c>
      <c r="O50" s="314">
        <f>SUMIFS(Adjustments!$G:$G,Adjustments!$H:$H,"2K",Adjustments!$I:$I,'Schedule 2K Adjustments'!$N$12,Adjustments!$J:$J,'Schedule 2K Adjustments'!$A50)</f>
        <v>0</v>
      </c>
      <c r="P50" s="310">
        <f t="shared" si="3"/>
        <v>0</v>
      </c>
      <c r="Q50" s="68">
        <f>IFERROR(N50*'As-Filed Schedule 1'!$E$103,0)</f>
        <v>0</v>
      </c>
      <c r="R50" s="68">
        <f>IFERROR(P50*'Adjusted Schedule 1'!$E$104,0)</f>
        <v>0</v>
      </c>
      <c r="S50" s="68">
        <f t="shared" si="4"/>
        <v>0</v>
      </c>
      <c r="T50" s="311">
        <f t="shared" si="5"/>
        <v>0</v>
      </c>
      <c r="V50" s="120">
        <f>'As-Filed Schedule 2K'!N50</f>
        <v>0</v>
      </c>
      <c r="W50" s="314">
        <f>SUMIFS(Adjustments!$G:$G,Adjustments!$H:$H,"2K",Adjustments!$I:$I,'Schedule 2K Adjustments'!$V$12,Adjustments!$J:$J,'Schedule 2K Adjustments'!$A50)</f>
        <v>0</v>
      </c>
      <c r="X50" s="310">
        <f t="shared" si="6"/>
        <v>0</v>
      </c>
      <c r="Y50" s="120">
        <f>'As-Filed Schedule 2K'!O50</f>
        <v>0</v>
      </c>
      <c r="Z50" s="314">
        <f>SUMIFS(Adjustments!$G:$G,Adjustments!$H:$H,"2K",Adjustments!$I:$I,'Schedule 2K Adjustments'!$Y$12,Adjustments!$J:$J,'Schedule 2K Adjustments'!$A50)</f>
        <v>0</v>
      </c>
      <c r="AA50" s="310">
        <f t="shared" si="7"/>
        <v>0</v>
      </c>
    </row>
    <row r="51" spans="1:27" x14ac:dyDescent="0.35">
      <c r="A51" s="24">
        <v>37</v>
      </c>
      <c r="B51" s="513" t="str">
        <f>IF('As-Filed Schedule 2K'!B51:D51=0,"",'As-Filed Schedule 2K'!B51:D51)</f>
        <v/>
      </c>
      <c r="C51" s="513"/>
      <c r="D51" s="513"/>
      <c r="F51" s="117">
        <f>'As-Filed Schedule 2K'!F51</f>
        <v>0</v>
      </c>
      <c r="G51" s="314">
        <f>SUMIFS(Adjustments!$G:$G,Adjustments!$H:$H,"2K",Adjustments!$I:$I,'Schedule 2K Adjustments'!$F$12,Adjustments!$J:$J,'Schedule 2K Adjustments'!$A51)</f>
        <v>0</v>
      </c>
      <c r="H51" s="310">
        <f t="shared" si="0"/>
        <v>0</v>
      </c>
      <c r="I51" s="68">
        <f>IFERROR(F51*'As-Filed Schedule 1'!$E$103,0)</f>
        <v>0</v>
      </c>
      <c r="J51" s="311">
        <f>IFERROR(H51*'Adjusted Schedule 1'!$E$104,0)</f>
        <v>0</v>
      </c>
      <c r="K51" s="68">
        <f t="shared" si="1"/>
        <v>0</v>
      </c>
      <c r="L51" s="311">
        <f t="shared" si="2"/>
        <v>0</v>
      </c>
      <c r="N51" s="117">
        <f>'As-Filed Schedule 2K'!J51</f>
        <v>0</v>
      </c>
      <c r="O51" s="314">
        <f>SUMIFS(Adjustments!$G:$G,Adjustments!$H:$H,"2K",Adjustments!$I:$I,'Schedule 2K Adjustments'!$N$12,Adjustments!$J:$J,'Schedule 2K Adjustments'!$A51)</f>
        <v>0</v>
      </c>
      <c r="P51" s="310">
        <f t="shared" si="3"/>
        <v>0</v>
      </c>
      <c r="Q51" s="68">
        <f>IFERROR(N51*'As-Filed Schedule 1'!$E$103,0)</f>
        <v>0</v>
      </c>
      <c r="R51" s="68">
        <f>IFERROR(P51*'Adjusted Schedule 1'!$E$104,0)</f>
        <v>0</v>
      </c>
      <c r="S51" s="68">
        <f t="shared" si="4"/>
        <v>0</v>
      </c>
      <c r="T51" s="311">
        <f t="shared" si="5"/>
        <v>0</v>
      </c>
      <c r="V51" s="120">
        <f>'As-Filed Schedule 2K'!N51</f>
        <v>0</v>
      </c>
      <c r="W51" s="314">
        <f>SUMIFS(Adjustments!$G:$G,Adjustments!$H:$H,"2K",Adjustments!$I:$I,'Schedule 2K Adjustments'!$V$12,Adjustments!$J:$J,'Schedule 2K Adjustments'!$A51)</f>
        <v>0</v>
      </c>
      <c r="X51" s="310">
        <f t="shared" si="6"/>
        <v>0</v>
      </c>
      <c r="Y51" s="120">
        <f>'As-Filed Schedule 2K'!O51</f>
        <v>0</v>
      </c>
      <c r="Z51" s="314">
        <f>SUMIFS(Adjustments!$G:$G,Adjustments!$H:$H,"2K",Adjustments!$I:$I,'Schedule 2K Adjustments'!$Y$12,Adjustments!$J:$J,'Schedule 2K Adjustments'!$A51)</f>
        <v>0</v>
      </c>
      <c r="AA51" s="310">
        <f t="shared" si="7"/>
        <v>0</v>
      </c>
    </row>
    <row r="52" spans="1:27" x14ac:dyDescent="0.35">
      <c r="A52" s="24">
        <v>38</v>
      </c>
      <c r="B52" s="513" t="str">
        <f>IF('As-Filed Schedule 2K'!B52:D52=0,"",'As-Filed Schedule 2K'!B52:D52)</f>
        <v/>
      </c>
      <c r="C52" s="513"/>
      <c r="D52" s="513"/>
      <c r="F52" s="117">
        <f>'As-Filed Schedule 2K'!F52</f>
        <v>0</v>
      </c>
      <c r="G52" s="314">
        <f>SUMIFS(Adjustments!$G:$G,Adjustments!$H:$H,"2K",Adjustments!$I:$I,'Schedule 2K Adjustments'!$F$12,Adjustments!$J:$J,'Schedule 2K Adjustments'!$A52)</f>
        <v>0</v>
      </c>
      <c r="H52" s="310">
        <f t="shared" si="0"/>
        <v>0</v>
      </c>
      <c r="I52" s="68">
        <f>IFERROR(F52*'As-Filed Schedule 1'!$E$103,0)</f>
        <v>0</v>
      </c>
      <c r="J52" s="311">
        <f>IFERROR(H52*'Adjusted Schedule 1'!$E$104,0)</f>
        <v>0</v>
      </c>
      <c r="K52" s="68">
        <f t="shared" si="1"/>
        <v>0</v>
      </c>
      <c r="L52" s="311">
        <f t="shared" si="2"/>
        <v>0</v>
      </c>
      <c r="N52" s="117">
        <f>'As-Filed Schedule 2K'!J52</f>
        <v>0</v>
      </c>
      <c r="O52" s="314">
        <f>SUMIFS(Adjustments!$G:$G,Adjustments!$H:$H,"2K",Adjustments!$I:$I,'Schedule 2K Adjustments'!$N$12,Adjustments!$J:$J,'Schedule 2K Adjustments'!$A52)</f>
        <v>0</v>
      </c>
      <c r="P52" s="310">
        <f t="shared" si="3"/>
        <v>0</v>
      </c>
      <c r="Q52" s="68">
        <f>IFERROR(N52*'As-Filed Schedule 1'!$E$103,0)</f>
        <v>0</v>
      </c>
      <c r="R52" s="68">
        <f>IFERROR(P52*'Adjusted Schedule 1'!$E$104,0)</f>
        <v>0</v>
      </c>
      <c r="S52" s="68">
        <f t="shared" si="4"/>
        <v>0</v>
      </c>
      <c r="T52" s="311">
        <f t="shared" si="5"/>
        <v>0</v>
      </c>
      <c r="V52" s="120">
        <f>'As-Filed Schedule 2K'!N52</f>
        <v>0</v>
      </c>
      <c r="W52" s="314">
        <f>SUMIFS(Adjustments!$G:$G,Adjustments!$H:$H,"2K",Adjustments!$I:$I,'Schedule 2K Adjustments'!$V$12,Adjustments!$J:$J,'Schedule 2K Adjustments'!$A52)</f>
        <v>0</v>
      </c>
      <c r="X52" s="310">
        <f t="shared" si="6"/>
        <v>0</v>
      </c>
      <c r="Y52" s="120">
        <f>'As-Filed Schedule 2K'!O52</f>
        <v>0</v>
      </c>
      <c r="Z52" s="314">
        <f>SUMIFS(Adjustments!$G:$G,Adjustments!$H:$H,"2K",Adjustments!$I:$I,'Schedule 2K Adjustments'!$Y$12,Adjustments!$J:$J,'Schedule 2K Adjustments'!$A52)</f>
        <v>0</v>
      </c>
      <c r="AA52" s="310">
        <f t="shared" si="7"/>
        <v>0</v>
      </c>
    </row>
    <row r="53" spans="1:27" x14ac:dyDescent="0.35">
      <c r="A53" s="24">
        <v>39</v>
      </c>
      <c r="B53" s="513" t="str">
        <f>IF('As-Filed Schedule 2K'!B53:D53=0,"",'As-Filed Schedule 2K'!B53:D53)</f>
        <v/>
      </c>
      <c r="C53" s="513"/>
      <c r="D53" s="513"/>
      <c r="F53" s="117">
        <f>'As-Filed Schedule 2K'!F53</f>
        <v>0</v>
      </c>
      <c r="G53" s="314">
        <f>SUMIFS(Adjustments!$G:$G,Adjustments!$H:$H,"2K",Adjustments!$I:$I,'Schedule 2K Adjustments'!$F$12,Adjustments!$J:$J,'Schedule 2K Adjustments'!$A53)</f>
        <v>0</v>
      </c>
      <c r="H53" s="310">
        <f t="shared" si="0"/>
        <v>0</v>
      </c>
      <c r="I53" s="68">
        <f>IFERROR(F53*'As-Filed Schedule 1'!$E$103,0)</f>
        <v>0</v>
      </c>
      <c r="J53" s="311">
        <f>IFERROR(H53*'Adjusted Schedule 1'!$E$104,0)</f>
        <v>0</v>
      </c>
      <c r="K53" s="68">
        <f t="shared" si="1"/>
        <v>0</v>
      </c>
      <c r="L53" s="311">
        <f t="shared" si="2"/>
        <v>0</v>
      </c>
      <c r="N53" s="117">
        <f>'As-Filed Schedule 2K'!J53</f>
        <v>0</v>
      </c>
      <c r="O53" s="314">
        <f>SUMIFS(Adjustments!$G:$G,Adjustments!$H:$H,"2K",Adjustments!$I:$I,'Schedule 2K Adjustments'!$N$12,Adjustments!$J:$J,'Schedule 2K Adjustments'!$A53)</f>
        <v>0</v>
      </c>
      <c r="P53" s="310">
        <f t="shared" si="3"/>
        <v>0</v>
      </c>
      <c r="Q53" s="68">
        <f>IFERROR(N53*'As-Filed Schedule 1'!$E$103,0)</f>
        <v>0</v>
      </c>
      <c r="R53" s="68">
        <f>IFERROR(P53*'Adjusted Schedule 1'!$E$104,0)</f>
        <v>0</v>
      </c>
      <c r="S53" s="68">
        <f t="shared" si="4"/>
        <v>0</v>
      </c>
      <c r="T53" s="311">
        <f t="shared" si="5"/>
        <v>0</v>
      </c>
      <c r="V53" s="120">
        <f>'As-Filed Schedule 2K'!N53</f>
        <v>0</v>
      </c>
      <c r="W53" s="314">
        <f>SUMIFS(Adjustments!$G:$G,Adjustments!$H:$H,"2K",Adjustments!$I:$I,'Schedule 2K Adjustments'!$V$12,Adjustments!$J:$J,'Schedule 2K Adjustments'!$A53)</f>
        <v>0</v>
      </c>
      <c r="X53" s="310">
        <f t="shared" si="6"/>
        <v>0</v>
      </c>
      <c r="Y53" s="120">
        <f>'As-Filed Schedule 2K'!O53</f>
        <v>0</v>
      </c>
      <c r="Z53" s="314">
        <f>SUMIFS(Adjustments!$G:$G,Adjustments!$H:$H,"2K",Adjustments!$I:$I,'Schedule 2K Adjustments'!$Y$12,Adjustments!$J:$J,'Schedule 2K Adjustments'!$A53)</f>
        <v>0</v>
      </c>
      <c r="AA53" s="310">
        <f t="shared" si="7"/>
        <v>0</v>
      </c>
    </row>
    <row r="54" spans="1:27" x14ac:dyDescent="0.35">
      <c r="A54" s="24">
        <v>40</v>
      </c>
      <c r="B54" s="513" t="str">
        <f>IF('As-Filed Schedule 2K'!B54:D54=0,"",'As-Filed Schedule 2K'!B54:D54)</f>
        <v/>
      </c>
      <c r="C54" s="513"/>
      <c r="D54" s="513"/>
      <c r="F54" s="117">
        <f>'As-Filed Schedule 2K'!F54</f>
        <v>0</v>
      </c>
      <c r="G54" s="314">
        <f>SUMIFS(Adjustments!$G:$G,Adjustments!$H:$H,"2K",Adjustments!$I:$I,'Schedule 2K Adjustments'!$F$12,Adjustments!$J:$J,'Schedule 2K Adjustments'!$A54)</f>
        <v>0</v>
      </c>
      <c r="H54" s="310">
        <f t="shared" si="0"/>
        <v>0</v>
      </c>
      <c r="I54" s="68">
        <f>IFERROR(F54*'As-Filed Schedule 1'!$E$103,0)</f>
        <v>0</v>
      </c>
      <c r="J54" s="311">
        <f>IFERROR(H54*'Adjusted Schedule 1'!$E$104,0)</f>
        <v>0</v>
      </c>
      <c r="K54" s="68">
        <f t="shared" si="1"/>
        <v>0</v>
      </c>
      <c r="L54" s="311">
        <f t="shared" si="2"/>
        <v>0</v>
      </c>
      <c r="N54" s="117">
        <f>'As-Filed Schedule 2K'!J54</f>
        <v>0</v>
      </c>
      <c r="O54" s="314">
        <f>SUMIFS(Adjustments!$G:$G,Adjustments!$H:$H,"2K",Adjustments!$I:$I,'Schedule 2K Adjustments'!$N$12,Adjustments!$J:$J,'Schedule 2K Adjustments'!$A54)</f>
        <v>0</v>
      </c>
      <c r="P54" s="310">
        <f t="shared" si="3"/>
        <v>0</v>
      </c>
      <c r="Q54" s="68">
        <f>IFERROR(N54*'As-Filed Schedule 1'!$E$103,0)</f>
        <v>0</v>
      </c>
      <c r="R54" s="68">
        <f>IFERROR(P54*'Adjusted Schedule 1'!$E$104,0)</f>
        <v>0</v>
      </c>
      <c r="S54" s="68">
        <f t="shared" si="4"/>
        <v>0</v>
      </c>
      <c r="T54" s="311">
        <f t="shared" si="5"/>
        <v>0</v>
      </c>
      <c r="V54" s="120">
        <f>'As-Filed Schedule 2K'!N54</f>
        <v>0</v>
      </c>
      <c r="W54" s="314">
        <f>SUMIFS(Adjustments!$G:$G,Adjustments!$H:$H,"2K",Adjustments!$I:$I,'Schedule 2K Adjustments'!$V$12,Adjustments!$J:$J,'Schedule 2K Adjustments'!$A54)</f>
        <v>0</v>
      </c>
      <c r="X54" s="310">
        <f t="shared" si="6"/>
        <v>0</v>
      </c>
      <c r="Y54" s="120">
        <f>'As-Filed Schedule 2K'!O54</f>
        <v>0</v>
      </c>
      <c r="Z54" s="314">
        <f>SUMIFS(Adjustments!$G:$G,Adjustments!$H:$H,"2K",Adjustments!$I:$I,'Schedule 2K Adjustments'!$Y$12,Adjustments!$J:$J,'Schedule 2K Adjustments'!$A54)</f>
        <v>0</v>
      </c>
      <c r="AA54" s="310">
        <f t="shared" si="7"/>
        <v>0</v>
      </c>
    </row>
    <row r="55" spans="1:27" x14ac:dyDescent="0.35">
      <c r="A55" s="24">
        <v>41</v>
      </c>
      <c r="B55" s="513" t="str">
        <f>IF('As-Filed Schedule 2K'!B55:D55=0,"",'As-Filed Schedule 2K'!B55:D55)</f>
        <v/>
      </c>
      <c r="C55" s="513"/>
      <c r="D55" s="513"/>
      <c r="F55" s="117">
        <f>'As-Filed Schedule 2K'!F55</f>
        <v>0</v>
      </c>
      <c r="G55" s="314">
        <f>SUMIFS(Adjustments!$G:$G,Adjustments!$H:$H,"2K",Adjustments!$I:$I,'Schedule 2K Adjustments'!$F$12,Adjustments!$J:$J,'Schedule 2K Adjustments'!$A55)</f>
        <v>0</v>
      </c>
      <c r="H55" s="310">
        <f t="shared" si="0"/>
        <v>0</v>
      </c>
      <c r="I55" s="68">
        <f>IFERROR(F55*'As-Filed Schedule 1'!$E$103,0)</f>
        <v>0</v>
      </c>
      <c r="J55" s="311">
        <f>IFERROR(H55*'Adjusted Schedule 1'!$E$104,0)</f>
        <v>0</v>
      </c>
      <c r="K55" s="68">
        <f t="shared" si="1"/>
        <v>0</v>
      </c>
      <c r="L55" s="311">
        <f t="shared" si="2"/>
        <v>0</v>
      </c>
      <c r="N55" s="117">
        <f>'As-Filed Schedule 2K'!J55</f>
        <v>0</v>
      </c>
      <c r="O55" s="314">
        <f>SUMIFS(Adjustments!$G:$G,Adjustments!$H:$H,"2K",Adjustments!$I:$I,'Schedule 2K Adjustments'!$N$12,Adjustments!$J:$J,'Schedule 2K Adjustments'!$A55)</f>
        <v>0</v>
      </c>
      <c r="P55" s="310">
        <f t="shared" si="3"/>
        <v>0</v>
      </c>
      <c r="Q55" s="68">
        <f>IFERROR(N55*'As-Filed Schedule 1'!$E$103,0)</f>
        <v>0</v>
      </c>
      <c r="R55" s="68">
        <f>IFERROR(P55*'Adjusted Schedule 1'!$E$104,0)</f>
        <v>0</v>
      </c>
      <c r="S55" s="68">
        <f t="shared" si="4"/>
        <v>0</v>
      </c>
      <c r="T55" s="311">
        <f t="shared" si="5"/>
        <v>0</v>
      </c>
      <c r="V55" s="120">
        <f>'As-Filed Schedule 2K'!N55</f>
        <v>0</v>
      </c>
      <c r="W55" s="314">
        <f>SUMIFS(Adjustments!$G:$G,Adjustments!$H:$H,"2K",Adjustments!$I:$I,'Schedule 2K Adjustments'!$V$12,Adjustments!$J:$J,'Schedule 2K Adjustments'!$A55)</f>
        <v>0</v>
      </c>
      <c r="X55" s="310">
        <f t="shared" si="6"/>
        <v>0</v>
      </c>
      <c r="Y55" s="120">
        <f>'As-Filed Schedule 2K'!O55</f>
        <v>0</v>
      </c>
      <c r="Z55" s="314">
        <f>SUMIFS(Adjustments!$G:$G,Adjustments!$H:$H,"2K",Adjustments!$I:$I,'Schedule 2K Adjustments'!$Y$12,Adjustments!$J:$J,'Schedule 2K Adjustments'!$A55)</f>
        <v>0</v>
      </c>
      <c r="AA55" s="310">
        <f t="shared" si="7"/>
        <v>0</v>
      </c>
    </row>
    <row r="56" spans="1:27" x14ac:dyDescent="0.35">
      <c r="A56" s="24">
        <v>42</v>
      </c>
      <c r="B56" s="513" t="str">
        <f>IF('As-Filed Schedule 2K'!B56:D56=0,"",'As-Filed Schedule 2K'!B56:D56)</f>
        <v/>
      </c>
      <c r="C56" s="513"/>
      <c r="D56" s="513"/>
      <c r="F56" s="117">
        <f>'As-Filed Schedule 2K'!F56</f>
        <v>0</v>
      </c>
      <c r="G56" s="314">
        <f>SUMIFS(Adjustments!$G:$G,Adjustments!$H:$H,"2K",Adjustments!$I:$I,'Schedule 2K Adjustments'!$F$12,Adjustments!$J:$J,'Schedule 2K Adjustments'!$A56)</f>
        <v>0</v>
      </c>
      <c r="H56" s="310">
        <f t="shared" si="0"/>
        <v>0</v>
      </c>
      <c r="I56" s="68">
        <f>IFERROR(F56*'As-Filed Schedule 1'!$E$103,0)</f>
        <v>0</v>
      </c>
      <c r="J56" s="311">
        <f>IFERROR(H56*'Adjusted Schedule 1'!$E$104,0)</f>
        <v>0</v>
      </c>
      <c r="K56" s="68">
        <f t="shared" si="1"/>
        <v>0</v>
      </c>
      <c r="L56" s="311">
        <f t="shared" si="2"/>
        <v>0</v>
      </c>
      <c r="N56" s="117">
        <f>'As-Filed Schedule 2K'!J56</f>
        <v>0</v>
      </c>
      <c r="O56" s="314">
        <f>SUMIFS(Adjustments!$G:$G,Adjustments!$H:$H,"2K",Adjustments!$I:$I,'Schedule 2K Adjustments'!$N$12,Adjustments!$J:$J,'Schedule 2K Adjustments'!$A56)</f>
        <v>0</v>
      </c>
      <c r="P56" s="310">
        <f t="shared" si="3"/>
        <v>0</v>
      </c>
      <c r="Q56" s="68">
        <f>IFERROR(N56*'As-Filed Schedule 1'!$E$103,0)</f>
        <v>0</v>
      </c>
      <c r="R56" s="68">
        <f>IFERROR(P56*'Adjusted Schedule 1'!$E$104,0)</f>
        <v>0</v>
      </c>
      <c r="S56" s="68">
        <f t="shared" si="4"/>
        <v>0</v>
      </c>
      <c r="T56" s="311">
        <f t="shared" si="5"/>
        <v>0</v>
      </c>
      <c r="V56" s="120">
        <f>'As-Filed Schedule 2K'!N56</f>
        <v>0</v>
      </c>
      <c r="W56" s="314">
        <f>SUMIFS(Adjustments!$G:$G,Adjustments!$H:$H,"2K",Adjustments!$I:$I,'Schedule 2K Adjustments'!$V$12,Adjustments!$J:$J,'Schedule 2K Adjustments'!$A56)</f>
        <v>0</v>
      </c>
      <c r="X56" s="310">
        <f t="shared" si="6"/>
        <v>0</v>
      </c>
      <c r="Y56" s="120">
        <f>'As-Filed Schedule 2K'!O56</f>
        <v>0</v>
      </c>
      <c r="Z56" s="314">
        <f>SUMIFS(Adjustments!$G:$G,Adjustments!$H:$H,"2K",Adjustments!$I:$I,'Schedule 2K Adjustments'!$Y$12,Adjustments!$J:$J,'Schedule 2K Adjustments'!$A56)</f>
        <v>0</v>
      </c>
      <c r="AA56" s="310">
        <f t="shared" si="7"/>
        <v>0</v>
      </c>
    </row>
    <row r="57" spans="1:27" x14ac:dyDescent="0.35">
      <c r="A57" s="24">
        <v>43</v>
      </c>
      <c r="B57" s="513" t="str">
        <f>IF('As-Filed Schedule 2K'!B57:D57=0,"",'As-Filed Schedule 2K'!B57:D57)</f>
        <v/>
      </c>
      <c r="C57" s="513"/>
      <c r="D57" s="513"/>
      <c r="F57" s="117">
        <f>'As-Filed Schedule 2K'!F57</f>
        <v>0</v>
      </c>
      <c r="G57" s="314">
        <f>SUMIFS(Adjustments!$G:$G,Adjustments!$H:$H,"2K",Adjustments!$I:$I,'Schedule 2K Adjustments'!$F$12,Adjustments!$J:$J,'Schedule 2K Adjustments'!$A57)</f>
        <v>0</v>
      </c>
      <c r="H57" s="310">
        <f t="shared" si="0"/>
        <v>0</v>
      </c>
      <c r="I57" s="68">
        <f>IFERROR(F57*'As-Filed Schedule 1'!$E$103,0)</f>
        <v>0</v>
      </c>
      <c r="J57" s="311">
        <f>IFERROR(H57*'Adjusted Schedule 1'!$E$104,0)</f>
        <v>0</v>
      </c>
      <c r="K57" s="68">
        <f t="shared" si="1"/>
        <v>0</v>
      </c>
      <c r="L57" s="311">
        <f t="shared" si="2"/>
        <v>0</v>
      </c>
      <c r="N57" s="117">
        <f>'As-Filed Schedule 2K'!J57</f>
        <v>0</v>
      </c>
      <c r="O57" s="314">
        <f>SUMIFS(Adjustments!$G:$G,Adjustments!$H:$H,"2K",Adjustments!$I:$I,'Schedule 2K Adjustments'!$N$12,Adjustments!$J:$J,'Schedule 2K Adjustments'!$A57)</f>
        <v>0</v>
      </c>
      <c r="P57" s="310">
        <f t="shared" si="3"/>
        <v>0</v>
      </c>
      <c r="Q57" s="68">
        <f>IFERROR(N57*'As-Filed Schedule 1'!$E$103,0)</f>
        <v>0</v>
      </c>
      <c r="R57" s="68">
        <f>IFERROR(P57*'Adjusted Schedule 1'!$E$104,0)</f>
        <v>0</v>
      </c>
      <c r="S57" s="68">
        <f t="shared" si="4"/>
        <v>0</v>
      </c>
      <c r="T57" s="311">
        <f t="shared" si="5"/>
        <v>0</v>
      </c>
      <c r="V57" s="120">
        <f>'As-Filed Schedule 2K'!N57</f>
        <v>0</v>
      </c>
      <c r="W57" s="314">
        <f>SUMIFS(Adjustments!$G:$G,Adjustments!$H:$H,"2K",Adjustments!$I:$I,'Schedule 2K Adjustments'!$V$12,Adjustments!$J:$J,'Schedule 2K Adjustments'!$A57)</f>
        <v>0</v>
      </c>
      <c r="X57" s="310">
        <f t="shared" si="6"/>
        <v>0</v>
      </c>
      <c r="Y57" s="120">
        <f>'As-Filed Schedule 2K'!O57</f>
        <v>0</v>
      </c>
      <c r="Z57" s="314">
        <f>SUMIFS(Adjustments!$G:$G,Adjustments!$H:$H,"2K",Adjustments!$I:$I,'Schedule 2K Adjustments'!$Y$12,Adjustments!$J:$J,'Schedule 2K Adjustments'!$A57)</f>
        <v>0</v>
      </c>
      <c r="AA57" s="310">
        <f t="shared" si="7"/>
        <v>0</v>
      </c>
    </row>
    <row r="58" spans="1:27" x14ac:dyDescent="0.35">
      <c r="A58" s="24">
        <v>44</v>
      </c>
      <c r="B58" s="513" t="str">
        <f>IF('As-Filed Schedule 2K'!B58:D58=0,"",'As-Filed Schedule 2K'!B58:D58)</f>
        <v/>
      </c>
      <c r="C58" s="513"/>
      <c r="D58" s="513"/>
      <c r="F58" s="117">
        <f>'As-Filed Schedule 2K'!F58</f>
        <v>0</v>
      </c>
      <c r="G58" s="314">
        <f>SUMIFS(Adjustments!$G:$G,Adjustments!$H:$H,"2K",Adjustments!$I:$I,'Schedule 2K Adjustments'!$F$12,Adjustments!$J:$J,'Schedule 2K Adjustments'!$A58)</f>
        <v>0</v>
      </c>
      <c r="H58" s="310">
        <f t="shared" si="0"/>
        <v>0</v>
      </c>
      <c r="I58" s="68">
        <f>IFERROR(F58*'As-Filed Schedule 1'!$E$103,0)</f>
        <v>0</v>
      </c>
      <c r="J58" s="311">
        <f>IFERROR(H58*'Adjusted Schedule 1'!$E$104,0)</f>
        <v>0</v>
      </c>
      <c r="K58" s="68">
        <f t="shared" si="1"/>
        <v>0</v>
      </c>
      <c r="L58" s="311">
        <f t="shared" si="2"/>
        <v>0</v>
      </c>
      <c r="N58" s="117">
        <f>'As-Filed Schedule 2K'!J58</f>
        <v>0</v>
      </c>
      <c r="O58" s="314">
        <f>SUMIFS(Adjustments!$G:$G,Adjustments!$H:$H,"2K",Adjustments!$I:$I,'Schedule 2K Adjustments'!$N$12,Adjustments!$J:$J,'Schedule 2K Adjustments'!$A58)</f>
        <v>0</v>
      </c>
      <c r="P58" s="310">
        <f t="shared" si="3"/>
        <v>0</v>
      </c>
      <c r="Q58" s="68">
        <f>IFERROR(N58*'As-Filed Schedule 1'!$E$103,0)</f>
        <v>0</v>
      </c>
      <c r="R58" s="68">
        <f>IFERROR(P58*'Adjusted Schedule 1'!$E$104,0)</f>
        <v>0</v>
      </c>
      <c r="S58" s="68">
        <f t="shared" si="4"/>
        <v>0</v>
      </c>
      <c r="T58" s="311">
        <f t="shared" si="5"/>
        <v>0</v>
      </c>
      <c r="V58" s="120">
        <f>'As-Filed Schedule 2K'!N58</f>
        <v>0</v>
      </c>
      <c r="W58" s="314">
        <f>SUMIFS(Adjustments!$G:$G,Adjustments!$H:$H,"2K",Adjustments!$I:$I,'Schedule 2K Adjustments'!$V$12,Adjustments!$J:$J,'Schedule 2K Adjustments'!$A58)</f>
        <v>0</v>
      </c>
      <c r="X58" s="310">
        <f t="shared" si="6"/>
        <v>0</v>
      </c>
      <c r="Y58" s="120">
        <f>'As-Filed Schedule 2K'!O58</f>
        <v>0</v>
      </c>
      <c r="Z58" s="314">
        <f>SUMIFS(Adjustments!$G:$G,Adjustments!$H:$H,"2K",Adjustments!$I:$I,'Schedule 2K Adjustments'!$Y$12,Adjustments!$J:$J,'Schedule 2K Adjustments'!$A58)</f>
        <v>0</v>
      </c>
      <c r="AA58" s="310">
        <f t="shared" si="7"/>
        <v>0</v>
      </c>
    </row>
    <row r="59" spans="1:27" x14ac:dyDescent="0.35">
      <c r="A59" s="24">
        <v>45</v>
      </c>
      <c r="B59" s="513" t="str">
        <f>IF('As-Filed Schedule 2K'!B59:D59=0,"",'As-Filed Schedule 2K'!B59:D59)</f>
        <v/>
      </c>
      <c r="C59" s="513"/>
      <c r="D59" s="513"/>
      <c r="F59" s="117">
        <f>'As-Filed Schedule 2K'!F59</f>
        <v>0</v>
      </c>
      <c r="G59" s="314">
        <f>SUMIFS(Adjustments!$G:$G,Adjustments!$H:$H,"2K",Adjustments!$I:$I,'Schedule 2K Adjustments'!$F$12,Adjustments!$J:$J,'Schedule 2K Adjustments'!$A59)</f>
        <v>0</v>
      </c>
      <c r="H59" s="310">
        <f t="shared" si="0"/>
        <v>0</v>
      </c>
      <c r="I59" s="68">
        <f>IFERROR(F59*'As-Filed Schedule 1'!$E$103,0)</f>
        <v>0</v>
      </c>
      <c r="J59" s="311">
        <f>IFERROR(H59*'Adjusted Schedule 1'!$E$104,0)</f>
        <v>0</v>
      </c>
      <c r="K59" s="68">
        <f t="shared" si="1"/>
        <v>0</v>
      </c>
      <c r="L59" s="311">
        <f t="shared" si="2"/>
        <v>0</v>
      </c>
      <c r="N59" s="117">
        <f>'As-Filed Schedule 2K'!J59</f>
        <v>0</v>
      </c>
      <c r="O59" s="314">
        <f>SUMIFS(Adjustments!$G:$G,Adjustments!$H:$H,"2K",Adjustments!$I:$I,'Schedule 2K Adjustments'!$N$12,Adjustments!$J:$J,'Schedule 2K Adjustments'!$A59)</f>
        <v>0</v>
      </c>
      <c r="P59" s="310">
        <f t="shared" si="3"/>
        <v>0</v>
      </c>
      <c r="Q59" s="68">
        <f>IFERROR(N59*'As-Filed Schedule 1'!$E$103,0)</f>
        <v>0</v>
      </c>
      <c r="R59" s="68">
        <f>IFERROR(P59*'Adjusted Schedule 1'!$E$104,0)</f>
        <v>0</v>
      </c>
      <c r="S59" s="68">
        <f t="shared" si="4"/>
        <v>0</v>
      </c>
      <c r="T59" s="311">
        <f t="shared" si="5"/>
        <v>0</v>
      </c>
      <c r="V59" s="120">
        <f>'As-Filed Schedule 2K'!N59</f>
        <v>0</v>
      </c>
      <c r="W59" s="314">
        <f>SUMIFS(Adjustments!$G:$G,Adjustments!$H:$H,"2K",Adjustments!$I:$I,'Schedule 2K Adjustments'!$V$12,Adjustments!$J:$J,'Schedule 2K Adjustments'!$A59)</f>
        <v>0</v>
      </c>
      <c r="X59" s="310">
        <f t="shared" si="6"/>
        <v>0</v>
      </c>
      <c r="Y59" s="120">
        <f>'As-Filed Schedule 2K'!O59</f>
        <v>0</v>
      </c>
      <c r="Z59" s="314">
        <f>SUMIFS(Adjustments!$G:$G,Adjustments!$H:$H,"2K",Adjustments!$I:$I,'Schedule 2K Adjustments'!$Y$12,Adjustments!$J:$J,'Schedule 2K Adjustments'!$A59)</f>
        <v>0</v>
      </c>
      <c r="AA59" s="310">
        <f t="shared" si="7"/>
        <v>0</v>
      </c>
    </row>
    <row r="60" spans="1:27" x14ac:dyDescent="0.35">
      <c r="A60" s="24">
        <v>46</v>
      </c>
      <c r="B60" s="513" t="str">
        <f>IF('As-Filed Schedule 2K'!B60:D60=0,"",'As-Filed Schedule 2K'!B60:D60)</f>
        <v/>
      </c>
      <c r="C60" s="513"/>
      <c r="D60" s="513"/>
      <c r="F60" s="117">
        <f>'As-Filed Schedule 2K'!F60</f>
        <v>0</v>
      </c>
      <c r="G60" s="314">
        <f>SUMIFS(Adjustments!$G:$G,Adjustments!$H:$H,"2K",Adjustments!$I:$I,'Schedule 2K Adjustments'!$F$12,Adjustments!$J:$J,'Schedule 2K Adjustments'!$A60)</f>
        <v>0</v>
      </c>
      <c r="H60" s="310">
        <f t="shared" si="0"/>
        <v>0</v>
      </c>
      <c r="I60" s="68">
        <f>IFERROR(F60*'As-Filed Schedule 1'!$E$103,0)</f>
        <v>0</v>
      </c>
      <c r="J60" s="311">
        <f>IFERROR(H60*'Adjusted Schedule 1'!$E$104,0)</f>
        <v>0</v>
      </c>
      <c r="K60" s="68">
        <f t="shared" si="1"/>
        <v>0</v>
      </c>
      <c r="L60" s="311">
        <f t="shared" si="2"/>
        <v>0</v>
      </c>
      <c r="N60" s="117">
        <f>'As-Filed Schedule 2K'!J60</f>
        <v>0</v>
      </c>
      <c r="O60" s="314">
        <f>SUMIFS(Adjustments!$G:$G,Adjustments!$H:$H,"2K",Adjustments!$I:$I,'Schedule 2K Adjustments'!$N$12,Adjustments!$J:$J,'Schedule 2K Adjustments'!$A60)</f>
        <v>0</v>
      </c>
      <c r="P60" s="310">
        <f t="shared" si="3"/>
        <v>0</v>
      </c>
      <c r="Q60" s="68">
        <f>IFERROR(N60*'As-Filed Schedule 1'!$E$103,0)</f>
        <v>0</v>
      </c>
      <c r="R60" s="68">
        <f>IFERROR(P60*'Adjusted Schedule 1'!$E$104,0)</f>
        <v>0</v>
      </c>
      <c r="S60" s="68">
        <f t="shared" si="4"/>
        <v>0</v>
      </c>
      <c r="T60" s="311">
        <f t="shared" si="5"/>
        <v>0</v>
      </c>
      <c r="V60" s="120">
        <f>'As-Filed Schedule 2K'!N60</f>
        <v>0</v>
      </c>
      <c r="W60" s="314">
        <f>SUMIFS(Adjustments!$G:$G,Adjustments!$H:$H,"2K",Adjustments!$I:$I,'Schedule 2K Adjustments'!$V$12,Adjustments!$J:$J,'Schedule 2K Adjustments'!$A60)</f>
        <v>0</v>
      </c>
      <c r="X60" s="310">
        <f t="shared" si="6"/>
        <v>0</v>
      </c>
      <c r="Y60" s="120">
        <f>'As-Filed Schedule 2K'!O60</f>
        <v>0</v>
      </c>
      <c r="Z60" s="314">
        <f>SUMIFS(Adjustments!$G:$G,Adjustments!$H:$H,"2K",Adjustments!$I:$I,'Schedule 2K Adjustments'!$Y$12,Adjustments!$J:$J,'Schedule 2K Adjustments'!$A60)</f>
        <v>0</v>
      </c>
      <c r="AA60" s="310">
        <f t="shared" si="7"/>
        <v>0</v>
      </c>
    </row>
    <row r="61" spans="1:27" x14ac:dyDescent="0.35">
      <c r="A61" s="24">
        <v>47</v>
      </c>
      <c r="B61" s="513" t="str">
        <f>IF('As-Filed Schedule 2K'!B61:D61=0,"",'As-Filed Schedule 2K'!B61:D61)</f>
        <v/>
      </c>
      <c r="C61" s="513"/>
      <c r="D61" s="513"/>
      <c r="F61" s="117">
        <f>'As-Filed Schedule 2K'!F61</f>
        <v>0</v>
      </c>
      <c r="G61" s="314">
        <f>SUMIFS(Adjustments!$G:$G,Adjustments!$H:$H,"2K",Adjustments!$I:$I,'Schedule 2K Adjustments'!$F$12,Adjustments!$J:$J,'Schedule 2K Adjustments'!$A61)</f>
        <v>0</v>
      </c>
      <c r="H61" s="310">
        <f t="shared" si="0"/>
        <v>0</v>
      </c>
      <c r="I61" s="68">
        <f>IFERROR(F61*'As-Filed Schedule 1'!$E$103,0)</f>
        <v>0</v>
      </c>
      <c r="J61" s="311">
        <f>IFERROR(H61*'Adjusted Schedule 1'!$E$104,0)</f>
        <v>0</v>
      </c>
      <c r="K61" s="68">
        <f t="shared" si="1"/>
        <v>0</v>
      </c>
      <c r="L61" s="311">
        <f t="shared" si="2"/>
        <v>0</v>
      </c>
      <c r="N61" s="117">
        <f>'As-Filed Schedule 2K'!J61</f>
        <v>0</v>
      </c>
      <c r="O61" s="314">
        <f>SUMIFS(Adjustments!$G:$G,Adjustments!$H:$H,"2K",Adjustments!$I:$I,'Schedule 2K Adjustments'!$N$12,Adjustments!$J:$J,'Schedule 2K Adjustments'!$A61)</f>
        <v>0</v>
      </c>
      <c r="P61" s="310">
        <f t="shared" si="3"/>
        <v>0</v>
      </c>
      <c r="Q61" s="68">
        <f>IFERROR(N61*'As-Filed Schedule 1'!$E$103,0)</f>
        <v>0</v>
      </c>
      <c r="R61" s="68">
        <f>IFERROR(P61*'Adjusted Schedule 1'!$E$104,0)</f>
        <v>0</v>
      </c>
      <c r="S61" s="68">
        <f t="shared" si="4"/>
        <v>0</v>
      </c>
      <c r="T61" s="311">
        <f t="shared" si="5"/>
        <v>0</v>
      </c>
      <c r="V61" s="120">
        <f>'As-Filed Schedule 2K'!N61</f>
        <v>0</v>
      </c>
      <c r="W61" s="314">
        <f>SUMIFS(Adjustments!$G:$G,Adjustments!$H:$H,"2K",Adjustments!$I:$I,'Schedule 2K Adjustments'!$V$12,Adjustments!$J:$J,'Schedule 2K Adjustments'!$A61)</f>
        <v>0</v>
      </c>
      <c r="X61" s="310">
        <f t="shared" si="6"/>
        <v>0</v>
      </c>
      <c r="Y61" s="120">
        <f>'As-Filed Schedule 2K'!O61</f>
        <v>0</v>
      </c>
      <c r="Z61" s="314">
        <f>SUMIFS(Adjustments!$G:$G,Adjustments!$H:$H,"2K",Adjustments!$I:$I,'Schedule 2K Adjustments'!$Y$12,Adjustments!$J:$J,'Schedule 2K Adjustments'!$A61)</f>
        <v>0</v>
      </c>
      <c r="AA61" s="310">
        <f t="shared" si="7"/>
        <v>0</v>
      </c>
    </row>
    <row r="62" spans="1:27" x14ac:dyDescent="0.35">
      <c r="A62" s="24">
        <v>48</v>
      </c>
      <c r="B62" s="513" t="str">
        <f>IF('As-Filed Schedule 2K'!B62:D62=0,"",'As-Filed Schedule 2K'!B62:D62)</f>
        <v/>
      </c>
      <c r="C62" s="513"/>
      <c r="D62" s="513"/>
      <c r="F62" s="117">
        <f>'As-Filed Schedule 2K'!F62</f>
        <v>0</v>
      </c>
      <c r="G62" s="314">
        <f>SUMIFS(Adjustments!$G:$G,Adjustments!$H:$H,"2K",Adjustments!$I:$I,'Schedule 2K Adjustments'!$F$12,Adjustments!$J:$J,'Schedule 2K Adjustments'!$A62)</f>
        <v>0</v>
      </c>
      <c r="H62" s="310">
        <f t="shared" si="0"/>
        <v>0</v>
      </c>
      <c r="I62" s="68">
        <f>IFERROR(F62*'As-Filed Schedule 1'!$E$103,0)</f>
        <v>0</v>
      </c>
      <c r="J62" s="311">
        <f>IFERROR(H62*'Adjusted Schedule 1'!$E$104,0)</f>
        <v>0</v>
      </c>
      <c r="K62" s="68">
        <f t="shared" si="1"/>
        <v>0</v>
      </c>
      <c r="L62" s="311">
        <f t="shared" si="2"/>
        <v>0</v>
      </c>
      <c r="N62" s="117">
        <f>'As-Filed Schedule 2K'!J62</f>
        <v>0</v>
      </c>
      <c r="O62" s="314">
        <f>SUMIFS(Adjustments!$G:$G,Adjustments!$H:$H,"2K",Adjustments!$I:$I,'Schedule 2K Adjustments'!$N$12,Adjustments!$J:$J,'Schedule 2K Adjustments'!$A62)</f>
        <v>0</v>
      </c>
      <c r="P62" s="310">
        <f t="shared" si="3"/>
        <v>0</v>
      </c>
      <c r="Q62" s="68">
        <f>IFERROR(N62*'As-Filed Schedule 1'!$E$103,0)</f>
        <v>0</v>
      </c>
      <c r="R62" s="68">
        <f>IFERROR(P62*'Adjusted Schedule 1'!$E$104,0)</f>
        <v>0</v>
      </c>
      <c r="S62" s="68">
        <f t="shared" si="4"/>
        <v>0</v>
      </c>
      <c r="T62" s="311">
        <f t="shared" si="5"/>
        <v>0</v>
      </c>
      <c r="V62" s="120">
        <f>'As-Filed Schedule 2K'!N62</f>
        <v>0</v>
      </c>
      <c r="W62" s="314">
        <f>SUMIFS(Adjustments!$G:$G,Adjustments!$H:$H,"2K",Adjustments!$I:$I,'Schedule 2K Adjustments'!$V$12,Adjustments!$J:$J,'Schedule 2K Adjustments'!$A62)</f>
        <v>0</v>
      </c>
      <c r="X62" s="310">
        <f t="shared" si="6"/>
        <v>0</v>
      </c>
      <c r="Y62" s="120">
        <f>'As-Filed Schedule 2K'!O62</f>
        <v>0</v>
      </c>
      <c r="Z62" s="314">
        <f>SUMIFS(Adjustments!$G:$G,Adjustments!$H:$H,"2K",Adjustments!$I:$I,'Schedule 2K Adjustments'!$Y$12,Adjustments!$J:$J,'Schedule 2K Adjustments'!$A62)</f>
        <v>0</v>
      </c>
      <c r="AA62" s="310">
        <f t="shared" si="7"/>
        <v>0</v>
      </c>
    </row>
    <row r="63" spans="1:27" x14ac:dyDescent="0.35">
      <c r="A63" s="24">
        <v>49</v>
      </c>
      <c r="B63" s="513" t="str">
        <f>IF('As-Filed Schedule 2K'!B63:D63=0,"",'As-Filed Schedule 2K'!B63:D63)</f>
        <v/>
      </c>
      <c r="C63" s="513"/>
      <c r="D63" s="513"/>
      <c r="F63" s="117">
        <f>'As-Filed Schedule 2K'!F63</f>
        <v>0</v>
      </c>
      <c r="G63" s="314">
        <f>SUMIFS(Adjustments!$G:$G,Adjustments!$H:$H,"2K",Adjustments!$I:$I,'Schedule 2K Adjustments'!$F$12,Adjustments!$J:$J,'Schedule 2K Adjustments'!$A63)</f>
        <v>0</v>
      </c>
      <c r="H63" s="310">
        <f t="shared" si="0"/>
        <v>0</v>
      </c>
      <c r="I63" s="68">
        <f>IFERROR(F63*'As-Filed Schedule 1'!$E$103,0)</f>
        <v>0</v>
      </c>
      <c r="J63" s="311">
        <f>IFERROR(H63*'Adjusted Schedule 1'!$E$104,0)</f>
        <v>0</v>
      </c>
      <c r="K63" s="68">
        <f t="shared" si="1"/>
        <v>0</v>
      </c>
      <c r="L63" s="311">
        <f t="shared" si="2"/>
        <v>0</v>
      </c>
      <c r="N63" s="117">
        <f>'As-Filed Schedule 2K'!J63</f>
        <v>0</v>
      </c>
      <c r="O63" s="314">
        <f>SUMIFS(Adjustments!$G:$G,Adjustments!$H:$H,"2K",Adjustments!$I:$I,'Schedule 2K Adjustments'!$N$12,Adjustments!$J:$J,'Schedule 2K Adjustments'!$A63)</f>
        <v>0</v>
      </c>
      <c r="P63" s="310">
        <f t="shared" si="3"/>
        <v>0</v>
      </c>
      <c r="Q63" s="68">
        <f>IFERROR(N63*'As-Filed Schedule 1'!$E$103,0)</f>
        <v>0</v>
      </c>
      <c r="R63" s="68">
        <f>IFERROR(P63*'Adjusted Schedule 1'!$E$104,0)</f>
        <v>0</v>
      </c>
      <c r="S63" s="68">
        <f t="shared" si="4"/>
        <v>0</v>
      </c>
      <c r="T63" s="311">
        <f t="shared" si="5"/>
        <v>0</v>
      </c>
      <c r="V63" s="120">
        <f>'As-Filed Schedule 2K'!N63</f>
        <v>0</v>
      </c>
      <c r="W63" s="314">
        <f>SUMIFS(Adjustments!$G:$G,Adjustments!$H:$H,"2K",Adjustments!$I:$I,'Schedule 2K Adjustments'!$V$12,Adjustments!$J:$J,'Schedule 2K Adjustments'!$A63)</f>
        <v>0</v>
      </c>
      <c r="X63" s="310">
        <f t="shared" si="6"/>
        <v>0</v>
      </c>
      <c r="Y63" s="120">
        <f>'As-Filed Schedule 2K'!O63</f>
        <v>0</v>
      </c>
      <c r="Z63" s="314">
        <f>SUMIFS(Adjustments!$G:$G,Adjustments!$H:$H,"2K",Adjustments!$I:$I,'Schedule 2K Adjustments'!$Y$12,Adjustments!$J:$J,'Schedule 2K Adjustments'!$A63)</f>
        <v>0</v>
      </c>
      <c r="AA63" s="310">
        <f t="shared" si="7"/>
        <v>0</v>
      </c>
    </row>
    <row r="64" spans="1:27" x14ac:dyDescent="0.35">
      <c r="A64" s="24">
        <v>50</v>
      </c>
      <c r="B64" s="513" t="str">
        <f>IF('As-Filed Schedule 2K'!B64:D64=0,"",'As-Filed Schedule 2K'!B64:D64)</f>
        <v/>
      </c>
      <c r="C64" s="513"/>
      <c r="D64" s="513"/>
      <c r="F64" s="117">
        <f>'As-Filed Schedule 2K'!F64</f>
        <v>0</v>
      </c>
      <c r="G64" s="314">
        <f>SUMIFS(Adjustments!$G:$G,Adjustments!$H:$H,"2K",Adjustments!$I:$I,'Schedule 2K Adjustments'!$F$12,Adjustments!$J:$J,'Schedule 2K Adjustments'!$A64)</f>
        <v>0</v>
      </c>
      <c r="H64" s="310">
        <f t="shared" si="0"/>
        <v>0</v>
      </c>
      <c r="I64" s="68">
        <f>IFERROR(F64*'As-Filed Schedule 1'!$E$103,0)</f>
        <v>0</v>
      </c>
      <c r="J64" s="311">
        <f>IFERROR(H64*'Adjusted Schedule 1'!$E$104,0)</f>
        <v>0</v>
      </c>
      <c r="K64" s="68">
        <f t="shared" si="1"/>
        <v>0</v>
      </c>
      <c r="L64" s="311">
        <f t="shared" si="2"/>
        <v>0</v>
      </c>
      <c r="N64" s="117">
        <f>'As-Filed Schedule 2K'!J64</f>
        <v>0</v>
      </c>
      <c r="O64" s="314">
        <f>SUMIFS(Adjustments!$G:$G,Adjustments!$H:$H,"2K",Adjustments!$I:$I,'Schedule 2K Adjustments'!$N$12,Adjustments!$J:$J,'Schedule 2K Adjustments'!$A64)</f>
        <v>0</v>
      </c>
      <c r="P64" s="310">
        <f t="shared" si="3"/>
        <v>0</v>
      </c>
      <c r="Q64" s="68">
        <f>IFERROR(N64*'As-Filed Schedule 1'!$E$103,0)</f>
        <v>0</v>
      </c>
      <c r="R64" s="68">
        <f>IFERROR(P64*'Adjusted Schedule 1'!$E$104,0)</f>
        <v>0</v>
      </c>
      <c r="S64" s="68">
        <f t="shared" si="4"/>
        <v>0</v>
      </c>
      <c r="T64" s="311">
        <f t="shared" si="5"/>
        <v>0</v>
      </c>
      <c r="V64" s="120">
        <f>'As-Filed Schedule 2K'!N64</f>
        <v>0</v>
      </c>
      <c r="W64" s="314">
        <f>SUMIFS(Adjustments!$G:$G,Adjustments!$H:$H,"2K",Adjustments!$I:$I,'Schedule 2K Adjustments'!$V$12,Adjustments!$J:$J,'Schedule 2K Adjustments'!$A64)</f>
        <v>0</v>
      </c>
      <c r="X64" s="310">
        <f t="shared" si="6"/>
        <v>0</v>
      </c>
      <c r="Y64" s="120">
        <f>'As-Filed Schedule 2K'!O64</f>
        <v>0</v>
      </c>
      <c r="Z64" s="314">
        <f>SUMIFS(Adjustments!$G:$G,Adjustments!$H:$H,"2K",Adjustments!$I:$I,'Schedule 2K Adjustments'!$Y$12,Adjustments!$J:$J,'Schedule 2K Adjustments'!$A64)</f>
        <v>0</v>
      </c>
      <c r="AA64" s="310">
        <f t="shared" si="7"/>
        <v>0</v>
      </c>
    </row>
    <row r="65" spans="1:27" x14ac:dyDescent="0.35">
      <c r="A65" s="24">
        <v>51</v>
      </c>
      <c r="B65" s="513" t="str">
        <f>IF('As-Filed Schedule 2K'!B65:D65=0,"",'As-Filed Schedule 2K'!B65:D65)</f>
        <v/>
      </c>
      <c r="C65" s="513"/>
      <c r="D65" s="513"/>
      <c r="F65" s="117">
        <f>'As-Filed Schedule 2K'!F65</f>
        <v>0</v>
      </c>
      <c r="G65" s="314">
        <f>SUMIFS(Adjustments!$G:$G,Adjustments!$H:$H,"2K",Adjustments!$I:$I,'Schedule 2K Adjustments'!$F$12,Adjustments!$J:$J,'Schedule 2K Adjustments'!$A65)</f>
        <v>0</v>
      </c>
      <c r="H65" s="310">
        <f t="shared" si="0"/>
        <v>0</v>
      </c>
      <c r="I65" s="68">
        <f>IFERROR(F65*'As-Filed Schedule 1'!$E$103,0)</f>
        <v>0</v>
      </c>
      <c r="J65" s="311">
        <f>IFERROR(H65*'Adjusted Schedule 1'!$E$104,0)</f>
        <v>0</v>
      </c>
      <c r="K65" s="68">
        <f t="shared" si="1"/>
        <v>0</v>
      </c>
      <c r="L65" s="311">
        <f t="shared" si="2"/>
        <v>0</v>
      </c>
      <c r="N65" s="117">
        <f>'As-Filed Schedule 2K'!J65</f>
        <v>0</v>
      </c>
      <c r="O65" s="314">
        <f>SUMIFS(Adjustments!$G:$G,Adjustments!$H:$H,"2K",Adjustments!$I:$I,'Schedule 2K Adjustments'!$N$12,Adjustments!$J:$J,'Schedule 2K Adjustments'!$A65)</f>
        <v>0</v>
      </c>
      <c r="P65" s="310">
        <f t="shared" si="3"/>
        <v>0</v>
      </c>
      <c r="Q65" s="68">
        <f>IFERROR(N65*'As-Filed Schedule 1'!$E$103,0)</f>
        <v>0</v>
      </c>
      <c r="R65" s="68">
        <f>IFERROR(P65*'Adjusted Schedule 1'!$E$104,0)</f>
        <v>0</v>
      </c>
      <c r="S65" s="68">
        <f t="shared" si="4"/>
        <v>0</v>
      </c>
      <c r="T65" s="311">
        <f t="shared" si="5"/>
        <v>0</v>
      </c>
      <c r="V65" s="120">
        <f>'As-Filed Schedule 2K'!N65</f>
        <v>0</v>
      </c>
      <c r="W65" s="314">
        <f>SUMIFS(Adjustments!$G:$G,Adjustments!$H:$H,"2K",Adjustments!$I:$I,'Schedule 2K Adjustments'!$V$12,Adjustments!$J:$J,'Schedule 2K Adjustments'!$A65)</f>
        <v>0</v>
      </c>
      <c r="X65" s="310">
        <f t="shared" si="6"/>
        <v>0</v>
      </c>
      <c r="Y65" s="120">
        <f>'As-Filed Schedule 2K'!O65</f>
        <v>0</v>
      </c>
      <c r="Z65" s="314">
        <f>SUMIFS(Adjustments!$G:$G,Adjustments!$H:$H,"2K",Adjustments!$I:$I,'Schedule 2K Adjustments'!$Y$12,Adjustments!$J:$J,'Schedule 2K Adjustments'!$A65)</f>
        <v>0</v>
      </c>
      <c r="AA65" s="310">
        <f t="shared" si="7"/>
        <v>0</v>
      </c>
    </row>
    <row r="66" spans="1:27" x14ac:dyDescent="0.35">
      <c r="A66" s="24">
        <v>52</v>
      </c>
      <c r="B66" s="513" t="str">
        <f>IF('As-Filed Schedule 2K'!B66:D66=0,"",'As-Filed Schedule 2K'!B66:D66)</f>
        <v/>
      </c>
      <c r="C66" s="513"/>
      <c r="D66" s="513"/>
      <c r="F66" s="117">
        <f>'As-Filed Schedule 2K'!F66</f>
        <v>0</v>
      </c>
      <c r="G66" s="314">
        <f>SUMIFS(Adjustments!$G:$G,Adjustments!$H:$H,"2K",Adjustments!$I:$I,'Schedule 2K Adjustments'!$F$12,Adjustments!$J:$J,'Schedule 2K Adjustments'!$A66)</f>
        <v>0</v>
      </c>
      <c r="H66" s="310">
        <f t="shared" si="0"/>
        <v>0</v>
      </c>
      <c r="I66" s="68">
        <f>IFERROR(F66*'As-Filed Schedule 1'!$E$103,0)</f>
        <v>0</v>
      </c>
      <c r="J66" s="311">
        <f>IFERROR(H66*'Adjusted Schedule 1'!$E$104,0)</f>
        <v>0</v>
      </c>
      <c r="K66" s="68">
        <f t="shared" si="1"/>
        <v>0</v>
      </c>
      <c r="L66" s="311">
        <f t="shared" si="2"/>
        <v>0</v>
      </c>
      <c r="N66" s="117">
        <f>'As-Filed Schedule 2K'!J66</f>
        <v>0</v>
      </c>
      <c r="O66" s="314">
        <f>SUMIFS(Adjustments!$G:$G,Adjustments!$H:$H,"2K",Adjustments!$I:$I,'Schedule 2K Adjustments'!$N$12,Adjustments!$J:$J,'Schedule 2K Adjustments'!$A66)</f>
        <v>0</v>
      </c>
      <c r="P66" s="310">
        <f t="shared" si="3"/>
        <v>0</v>
      </c>
      <c r="Q66" s="68">
        <f>IFERROR(N66*'As-Filed Schedule 1'!$E$103,0)</f>
        <v>0</v>
      </c>
      <c r="R66" s="68">
        <f>IFERROR(P66*'Adjusted Schedule 1'!$E$104,0)</f>
        <v>0</v>
      </c>
      <c r="S66" s="68">
        <f t="shared" si="4"/>
        <v>0</v>
      </c>
      <c r="T66" s="311">
        <f t="shared" si="5"/>
        <v>0</v>
      </c>
      <c r="V66" s="120">
        <f>'As-Filed Schedule 2K'!N66</f>
        <v>0</v>
      </c>
      <c r="W66" s="314">
        <f>SUMIFS(Adjustments!$G:$G,Adjustments!$H:$H,"2K",Adjustments!$I:$I,'Schedule 2K Adjustments'!$V$12,Adjustments!$J:$J,'Schedule 2K Adjustments'!$A66)</f>
        <v>0</v>
      </c>
      <c r="X66" s="310">
        <f t="shared" si="6"/>
        <v>0</v>
      </c>
      <c r="Y66" s="120">
        <f>'As-Filed Schedule 2K'!O66</f>
        <v>0</v>
      </c>
      <c r="Z66" s="314">
        <f>SUMIFS(Adjustments!$G:$G,Adjustments!$H:$H,"2K",Adjustments!$I:$I,'Schedule 2K Adjustments'!$Y$12,Adjustments!$J:$J,'Schedule 2K Adjustments'!$A66)</f>
        <v>0</v>
      </c>
      <c r="AA66" s="310">
        <f t="shared" si="7"/>
        <v>0</v>
      </c>
    </row>
    <row r="67" spans="1:27" x14ac:dyDescent="0.35">
      <c r="A67" s="24">
        <v>53</v>
      </c>
      <c r="B67" s="513" t="str">
        <f>IF('As-Filed Schedule 2K'!B67:D67=0,"",'As-Filed Schedule 2K'!B67:D67)</f>
        <v/>
      </c>
      <c r="C67" s="513"/>
      <c r="D67" s="513"/>
      <c r="F67" s="117">
        <f>'As-Filed Schedule 2K'!F67</f>
        <v>0</v>
      </c>
      <c r="G67" s="314">
        <f>SUMIFS(Adjustments!$G:$G,Adjustments!$H:$H,"2K",Adjustments!$I:$I,'Schedule 2K Adjustments'!$F$12,Adjustments!$J:$J,'Schedule 2K Adjustments'!$A67)</f>
        <v>0</v>
      </c>
      <c r="H67" s="310">
        <f t="shared" si="0"/>
        <v>0</v>
      </c>
      <c r="I67" s="68">
        <f>IFERROR(F67*'As-Filed Schedule 1'!$E$103,0)</f>
        <v>0</v>
      </c>
      <c r="J67" s="311">
        <f>IFERROR(H67*'Adjusted Schedule 1'!$E$104,0)</f>
        <v>0</v>
      </c>
      <c r="K67" s="68">
        <f t="shared" si="1"/>
        <v>0</v>
      </c>
      <c r="L67" s="311">
        <f t="shared" si="2"/>
        <v>0</v>
      </c>
      <c r="N67" s="117">
        <f>'As-Filed Schedule 2K'!J67</f>
        <v>0</v>
      </c>
      <c r="O67" s="314">
        <f>SUMIFS(Adjustments!$G:$G,Adjustments!$H:$H,"2K",Adjustments!$I:$I,'Schedule 2K Adjustments'!$N$12,Adjustments!$J:$J,'Schedule 2K Adjustments'!$A67)</f>
        <v>0</v>
      </c>
      <c r="P67" s="310">
        <f t="shared" si="3"/>
        <v>0</v>
      </c>
      <c r="Q67" s="68">
        <f>IFERROR(N67*'As-Filed Schedule 1'!$E$103,0)</f>
        <v>0</v>
      </c>
      <c r="R67" s="68">
        <f>IFERROR(P67*'Adjusted Schedule 1'!$E$104,0)</f>
        <v>0</v>
      </c>
      <c r="S67" s="68">
        <f t="shared" si="4"/>
        <v>0</v>
      </c>
      <c r="T67" s="311">
        <f t="shared" si="5"/>
        <v>0</v>
      </c>
      <c r="V67" s="120">
        <f>'As-Filed Schedule 2K'!N67</f>
        <v>0</v>
      </c>
      <c r="W67" s="314">
        <f>SUMIFS(Adjustments!$G:$G,Adjustments!$H:$H,"2K",Adjustments!$I:$I,'Schedule 2K Adjustments'!$V$12,Adjustments!$J:$J,'Schedule 2K Adjustments'!$A67)</f>
        <v>0</v>
      </c>
      <c r="X67" s="310">
        <f t="shared" si="6"/>
        <v>0</v>
      </c>
      <c r="Y67" s="120">
        <f>'As-Filed Schedule 2K'!O67</f>
        <v>0</v>
      </c>
      <c r="Z67" s="314">
        <f>SUMIFS(Adjustments!$G:$G,Adjustments!$H:$H,"2K",Adjustments!$I:$I,'Schedule 2K Adjustments'!$Y$12,Adjustments!$J:$J,'Schedule 2K Adjustments'!$A67)</f>
        <v>0</v>
      </c>
      <c r="AA67" s="310">
        <f t="shared" si="7"/>
        <v>0</v>
      </c>
    </row>
    <row r="68" spans="1:27" x14ac:dyDescent="0.35">
      <c r="A68" s="24">
        <v>54</v>
      </c>
      <c r="B68" s="513" t="str">
        <f>IF('As-Filed Schedule 2K'!B68:D68=0,"",'As-Filed Schedule 2K'!B68:D68)</f>
        <v/>
      </c>
      <c r="C68" s="513"/>
      <c r="D68" s="513"/>
      <c r="F68" s="117">
        <f>'As-Filed Schedule 2K'!F68</f>
        <v>0</v>
      </c>
      <c r="G68" s="314">
        <f>SUMIFS(Adjustments!$G:$G,Adjustments!$H:$H,"2K",Adjustments!$I:$I,'Schedule 2K Adjustments'!$F$12,Adjustments!$J:$J,'Schedule 2K Adjustments'!$A68)</f>
        <v>0</v>
      </c>
      <c r="H68" s="310">
        <f t="shared" si="0"/>
        <v>0</v>
      </c>
      <c r="I68" s="68">
        <f>IFERROR(F68*'As-Filed Schedule 1'!$E$103,0)</f>
        <v>0</v>
      </c>
      <c r="J68" s="311">
        <f>IFERROR(H68*'Adjusted Schedule 1'!$E$104,0)</f>
        <v>0</v>
      </c>
      <c r="K68" s="68">
        <f t="shared" si="1"/>
        <v>0</v>
      </c>
      <c r="L68" s="311">
        <f t="shared" si="2"/>
        <v>0</v>
      </c>
      <c r="N68" s="117">
        <f>'As-Filed Schedule 2K'!J68</f>
        <v>0</v>
      </c>
      <c r="O68" s="314">
        <f>SUMIFS(Adjustments!$G:$G,Adjustments!$H:$H,"2K",Adjustments!$I:$I,'Schedule 2K Adjustments'!$N$12,Adjustments!$J:$J,'Schedule 2K Adjustments'!$A68)</f>
        <v>0</v>
      </c>
      <c r="P68" s="310">
        <f t="shared" si="3"/>
        <v>0</v>
      </c>
      <c r="Q68" s="68">
        <f>IFERROR(N68*'As-Filed Schedule 1'!$E$103,0)</f>
        <v>0</v>
      </c>
      <c r="R68" s="68">
        <f>IFERROR(P68*'Adjusted Schedule 1'!$E$104,0)</f>
        <v>0</v>
      </c>
      <c r="S68" s="68">
        <f t="shared" si="4"/>
        <v>0</v>
      </c>
      <c r="T68" s="311">
        <f t="shared" si="5"/>
        <v>0</v>
      </c>
      <c r="V68" s="120">
        <f>'As-Filed Schedule 2K'!N68</f>
        <v>0</v>
      </c>
      <c r="W68" s="314">
        <f>SUMIFS(Adjustments!$G:$G,Adjustments!$H:$H,"2K",Adjustments!$I:$I,'Schedule 2K Adjustments'!$V$12,Adjustments!$J:$J,'Schedule 2K Adjustments'!$A68)</f>
        <v>0</v>
      </c>
      <c r="X68" s="310">
        <f t="shared" si="6"/>
        <v>0</v>
      </c>
      <c r="Y68" s="120">
        <f>'As-Filed Schedule 2K'!O68</f>
        <v>0</v>
      </c>
      <c r="Z68" s="314">
        <f>SUMIFS(Adjustments!$G:$G,Adjustments!$H:$H,"2K",Adjustments!$I:$I,'Schedule 2K Adjustments'!$Y$12,Adjustments!$J:$J,'Schedule 2K Adjustments'!$A68)</f>
        <v>0</v>
      </c>
      <c r="AA68" s="310">
        <f t="shared" si="7"/>
        <v>0</v>
      </c>
    </row>
    <row r="69" spans="1:27" x14ac:dyDescent="0.35">
      <c r="A69" s="24">
        <v>55</v>
      </c>
      <c r="B69" s="513" t="str">
        <f>IF('As-Filed Schedule 2K'!B69:D69=0,"",'As-Filed Schedule 2K'!B69:D69)</f>
        <v/>
      </c>
      <c r="C69" s="513"/>
      <c r="D69" s="513"/>
      <c r="F69" s="117">
        <f>'As-Filed Schedule 2K'!F69</f>
        <v>0</v>
      </c>
      <c r="G69" s="314">
        <f>SUMIFS(Adjustments!$G:$G,Adjustments!$H:$H,"2K",Adjustments!$I:$I,'Schedule 2K Adjustments'!$F$12,Adjustments!$J:$J,'Schedule 2K Adjustments'!$A69)</f>
        <v>0</v>
      </c>
      <c r="H69" s="310">
        <f t="shared" si="0"/>
        <v>0</v>
      </c>
      <c r="I69" s="68">
        <f>IFERROR(F69*'As-Filed Schedule 1'!$E$103,0)</f>
        <v>0</v>
      </c>
      <c r="J69" s="311">
        <f>IFERROR(H69*'Adjusted Schedule 1'!$E$104,0)</f>
        <v>0</v>
      </c>
      <c r="K69" s="68">
        <f t="shared" si="1"/>
        <v>0</v>
      </c>
      <c r="L69" s="311">
        <f t="shared" si="2"/>
        <v>0</v>
      </c>
      <c r="N69" s="117">
        <f>'As-Filed Schedule 2K'!J69</f>
        <v>0</v>
      </c>
      <c r="O69" s="314">
        <f>SUMIFS(Adjustments!$G:$G,Adjustments!$H:$H,"2K",Adjustments!$I:$I,'Schedule 2K Adjustments'!$N$12,Adjustments!$J:$J,'Schedule 2K Adjustments'!$A69)</f>
        <v>0</v>
      </c>
      <c r="P69" s="310">
        <f t="shared" si="3"/>
        <v>0</v>
      </c>
      <c r="Q69" s="68">
        <f>IFERROR(N69*'As-Filed Schedule 1'!$E$103,0)</f>
        <v>0</v>
      </c>
      <c r="R69" s="68">
        <f>IFERROR(P69*'Adjusted Schedule 1'!$E$104,0)</f>
        <v>0</v>
      </c>
      <c r="S69" s="68">
        <f t="shared" si="4"/>
        <v>0</v>
      </c>
      <c r="T69" s="311">
        <f t="shared" si="5"/>
        <v>0</v>
      </c>
      <c r="V69" s="120">
        <f>'As-Filed Schedule 2K'!N69</f>
        <v>0</v>
      </c>
      <c r="W69" s="314">
        <f>SUMIFS(Adjustments!$G:$G,Adjustments!$H:$H,"2K",Adjustments!$I:$I,'Schedule 2K Adjustments'!$V$12,Adjustments!$J:$J,'Schedule 2K Adjustments'!$A69)</f>
        <v>0</v>
      </c>
      <c r="X69" s="310">
        <f t="shared" si="6"/>
        <v>0</v>
      </c>
      <c r="Y69" s="120">
        <f>'As-Filed Schedule 2K'!O69</f>
        <v>0</v>
      </c>
      <c r="Z69" s="314">
        <f>SUMIFS(Adjustments!$G:$G,Adjustments!$H:$H,"2K",Adjustments!$I:$I,'Schedule 2K Adjustments'!$Y$12,Adjustments!$J:$J,'Schedule 2K Adjustments'!$A69)</f>
        <v>0</v>
      </c>
      <c r="AA69" s="310">
        <f t="shared" si="7"/>
        <v>0</v>
      </c>
    </row>
    <row r="70" spans="1:27" x14ac:dyDescent="0.35">
      <c r="A70" s="24">
        <v>56</v>
      </c>
      <c r="B70" s="513" t="str">
        <f>IF('As-Filed Schedule 2K'!B70:D70=0,"",'As-Filed Schedule 2K'!B70:D70)</f>
        <v/>
      </c>
      <c r="C70" s="513"/>
      <c r="D70" s="513"/>
      <c r="F70" s="117">
        <f>'As-Filed Schedule 2K'!F70</f>
        <v>0</v>
      </c>
      <c r="G70" s="314">
        <f>SUMIFS(Adjustments!$G:$G,Adjustments!$H:$H,"2K",Adjustments!$I:$I,'Schedule 2K Adjustments'!$F$12,Adjustments!$J:$J,'Schedule 2K Adjustments'!$A70)</f>
        <v>0</v>
      </c>
      <c r="H70" s="310">
        <f t="shared" si="0"/>
        <v>0</v>
      </c>
      <c r="I70" s="68">
        <f>IFERROR(F70*'As-Filed Schedule 1'!$E$103,0)</f>
        <v>0</v>
      </c>
      <c r="J70" s="311">
        <f>IFERROR(H70*'Adjusted Schedule 1'!$E$104,0)</f>
        <v>0</v>
      </c>
      <c r="K70" s="68">
        <f t="shared" si="1"/>
        <v>0</v>
      </c>
      <c r="L70" s="311">
        <f t="shared" si="2"/>
        <v>0</v>
      </c>
      <c r="N70" s="117">
        <f>'As-Filed Schedule 2K'!J70</f>
        <v>0</v>
      </c>
      <c r="O70" s="314">
        <f>SUMIFS(Adjustments!$G:$G,Adjustments!$H:$H,"2K",Adjustments!$I:$I,'Schedule 2K Adjustments'!$N$12,Adjustments!$J:$J,'Schedule 2K Adjustments'!$A70)</f>
        <v>0</v>
      </c>
      <c r="P70" s="310">
        <f t="shared" si="3"/>
        <v>0</v>
      </c>
      <c r="Q70" s="68">
        <f>IFERROR(N70*'As-Filed Schedule 1'!$E$103,0)</f>
        <v>0</v>
      </c>
      <c r="R70" s="68">
        <f>IFERROR(P70*'Adjusted Schedule 1'!$E$104,0)</f>
        <v>0</v>
      </c>
      <c r="S70" s="68">
        <f t="shared" si="4"/>
        <v>0</v>
      </c>
      <c r="T70" s="311">
        <f t="shared" si="5"/>
        <v>0</v>
      </c>
      <c r="V70" s="120">
        <f>'As-Filed Schedule 2K'!N70</f>
        <v>0</v>
      </c>
      <c r="W70" s="314">
        <f>SUMIFS(Adjustments!$G:$G,Adjustments!$H:$H,"2K",Adjustments!$I:$I,'Schedule 2K Adjustments'!$V$12,Adjustments!$J:$J,'Schedule 2K Adjustments'!$A70)</f>
        <v>0</v>
      </c>
      <c r="X70" s="310">
        <f t="shared" si="6"/>
        <v>0</v>
      </c>
      <c r="Y70" s="120">
        <f>'As-Filed Schedule 2K'!O70</f>
        <v>0</v>
      </c>
      <c r="Z70" s="314">
        <f>SUMIFS(Adjustments!$G:$G,Adjustments!$H:$H,"2K",Adjustments!$I:$I,'Schedule 2K Adjustments'!$Y$12,Adjustments!$J:$J,'Schedule 2K Adjustments'!$A70)</f>
        <v>0</v>
      </c>
      <c r="AA70" s="310">
        <f t="shared" si="7"/>
        <v>0</v>
      </c>
    </row>
    <row r="71" spans="1:27" x14ac:dyDescent="0.35">
      <c r="A71" s="24">
        <v>57</v>
      </c>
      <c r="B71" s="513" t="str">
        <f>IF('As-Filed Schedule 2K'!B71:D71=0,"",'As-Filed Schedule 2K'!B71:D71)</f>
        <v/>
      </c>
      <c r="C71" s="513"/>
      <c r="D71" s="513"/>
      <c r="F71" s="117">
        <f>'As-Filed Schedule 2K'!F71</f>
        <v>0</v>
      </c>
      <c r="G71" s="314">
        <f>SUMIFS(Adjustments!$G:$G,Adjustments!$H:$H,"2K",Adjustments!$I:$I,'Schedule 2K Adjustments'!$F$12,Adjustments!$J:$J,'Schedule 2K Adjustments'!$A71)</f>
        <v>0</v>
      </c>
      <c r="H71" s="310">
        <f t="shared" si="0"/>
        <v>0</v>
      </c>
      <c r="I71" s="68">
        <f>IFERROR(F71*'As-Filed Schedule 1'!$E$103,0)</f>
        <v>0</v>
      </c>
      <c r="J71" s="311">
        <f>IFERROR(H71*'Adjusted Schedule 1'!$E$104,0)</f>
        <v>0</v>
      </c>
      <c r="K71" s="68">
        <f t="shared" si="1"/>
        <v>0</v>
      </c>
      <c r="L71" s="311">
        <f t="shared" si="2"/>
        <v>0</v>
      </c>
      <c r="N71" s="117">
        <f>'As-Filed Schedule 2K'!J71</f>
        <v>0</v>
      </c>
      <c r="O71" s="314">
        <f>SUMIFS(Adjustments!$G:$G,Adjustments!$H:$H,"2K",Adjustments!$I:$I,'Schedule 2K Adjustments'!$N$12,Adjustments!$J:$J,'Schedule 2K Adjustments'!$A71)</f>
        <v>0</v>
      </c>
      <c r="P71" s="310">
        <f t="shared" si="3"/>
        <v>0</v>
      </c>
      <c r="Q71" s="68">
        <f>IFERROR(N71*'As-Filed Schedule 1'!$E$103,0)</f>
        <v>0</v>
      </c>
      <c r="R71" s="68">
        <f>IFERROR(P71*'Adjusted Schedule 1'!$E$104,0)</f>
        <v>0</v>
      </c>
      <c r="S71" s="68">
        <f t="shared" si="4"/>
        <v>0</v>
      </c>
      <c r="T71" s="311">
        <f t="shared" si="5"/>
        <v>0</v>
      </c>
      <c r="V71" s="120">
        <f>'As-Filed Schedule 2K'!N71</f>
        <v>0</v>
      </c>
      <c r="W71" s="314">
        <f>SUMIFS(Adjustments!$G:$G,Adjustments!$H:$H,"2K",Adjustments!$I:$I,'Schedule 2K Adjustments'!$V$12,Adjustments!$J:$J,'Schedule 2K Adjustments'!$A71)</f>
        <v>0</v>
      </c>
      <c r="X71" s="310">
        <f t="shared" si="6"/>
        <v>0</v>
      </c>
      <c r="Y71" s="120">
        <f>'As-Filed Schedule 2K'!O71</f>
        <v>0</v>
      </c>
      <c r="Z71" s="314">
        <f>SUMIFS(Adjustments!$G:$G,Adjustments!$H:$H,"2K",Adjustments!$I:$I,'Schedule 2K Adjustments'!$Y$12,Adjustments!$J:$J,'Schedule 2K Adjustments'!$A71)</f>
        <v>0</v>
      </c>
      <c r="AA71" s="310">
        <f t="shared" si="7"/>
        <v>0</v>
      </c>
    </row>
    <row r="72" spans="1:27" x14ac:dyDescent="0.35">
      <c r="A72" s="24">
        <v>58</v>
      </c>
      <c r="B72" s="513" t="str">
        <f>IF('As-Filed Schedule 2K'!B72:D72=0,"",'As-Filed Schedule 2K'!B72:D72)</f>
        <v/>
      </c>
      <c r="C72" s="513"/>
      <c r="D72" s="513"/>
      <c r="F72" s="117">
        <f>'As-Filed Schedule 2K'!F72</f>
        <v>0</v>
      </c>
      <c r="G72" s="314">
        <f>SUMIFS(Adjustments!$G:$G,Adjustments!$H:$H,"2K",Adjustments!$I:$I,'Schedule 2K Adjustments'!$F$12,Adjustments!$J:$J,'Schedule 2K Adjustments'!$A72)</f>
        <v>0</v>
      </c>
      <c r="H72" s="310">
        <f t="shared" si="0"/>
        <v>0</v>
      </c>
      <c r="I72" s="68">
        <f>IFERROR(F72*'As-Filed Schedule 1'!$E$103,0)</f>
        <v>0</v>
      </c>
      <c r="J72" s="311">
        <f>IFERROR(H72*'Adjusted Schedule 1'!$E$104,0)</f>
        <v>0</v>
      </c>
      <c r="K72" s="68">
        <f t="shared" si="1"/>
        <v>0</v>
      </c>
      <c r="L72" s="311">
        <f t="shared" si="2"/>
        <v>0</v>
      </c>
      <c r="N72" s="117">
        <f>'As-Filed Schedule 2K'!J72</f>
        <v>0</v>
      </c>
      <c r="O72" s="314">
        <f>SUMIFS(Adjustments!$G:$G,Adjustments!$H:$H,"2K",Adjustments!$I:$I,'Schedule 2K Adjustments'!$N$12,Adjustments!$J:$J,'Schedule 2K Adjustments'!$A72)</f>
        <v>0</v>
      </c>
      <c r="P72" s="310">
        <f t="shared" si="3"/>
        <v>0</v>
      </c>
      <c r="Q72" s="68">
        <f>IFERROR(N72*'As-Filed Schedule 1'!$E$103,0)</f>
        <v>0</v>
      </c>
      <c r="R72" s="68">
        <f>IFERROR(P72*'Adjusted Schedule 1'!$E$104,0)</f>
        <v>0</v>
      </c>
      <c r="S72" s="68">
        <f t="shared" si="4"/>
        <v>0</v>
      </c>
      <c r="T72" s="311">
        <f t="shared" si="5"/>
        <v>0</v>
      </c>
      <c r="V72" s="120">
        <f>'As-Filed Schedule 2K'!N72</f>
        <v>0</v>
      </c>
      <c r="W72" s="314">
        <f>SUMIFS(Adjustments!$G:$G,Adjustments!$H:$H,"2K",Adjustments!$I:$I,'Schedule 2K Adjustments'!$V$12,Adjustments!$J:$J,'Schedule 2K Adjustments'!$A72)</f>
        <v>0</v>
      </c>
      <c r="X72" s="310">
        <f t="shared" si="6"/>
        <v>0</v>
      </c>
      <c r="Y72" s="120">
        <f>'As-Filed Schedule 2K'!O72</f>
        <v>0</v>
      </c>
      <c r="Z72" s="314">
        <f>SUMIFS(Adjustments!$G:$G,Adjustments!$H:$H,"2K",Adjustments!$I:$I,'Schedule 2K Adjustments'!$Y$12,Adjustments!$J:$J,'Schedule 2K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2"/>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494" t="s">
        <v>846</v>
      </c>
      <c r="B3" s="494"/>
      <c r="C3" s="494"/>
      <c r="D3" s="494"/>
      <c r="E3" s="494"/>
      <c r="F3" s="494"/>
      <c r="G3" s="494"/>
      <c r="H3" s="494"/>
      <c r="I3" s="494"/>
      <c r="J3" s="494"/>
      <c r="K3" s="494"/>
      <c r="L3" s="322"/>
    </row>
    <row r="5" spans="1:27" x14ac:dyDescent="0.35">
      <c r="A5" s="1" t="s">
        <v>773</v>
      </c>
      <c r="C5" s="421" t="str">
        <f>Results!$C$6</f>
        <v>Health Solutions</v>
      </c>
    </row>
    <row r="6" spans="1:27" x14ac:dyDescent="0.35">
      <c r="A6" s="1" t="s">
        <v>0</v>
      </c>
      <c r="C6" s="35">
        <f>Results!$C$7</f>
        <v>45473</v>
      </c>
      <c r="F6" s="35"/>
      <c r="G6" s="320"/>
      <c r="H6" s="60"/>
    </row>
    <row r="8" spans="1:27" x14ac:dyDescent="0.35">
      <c r="A8" s="1" t="s">
        <v>253</v>
      </c>
      <c r="B8" s="1" t="s">
        <v>831</v>
      </c>
      <c r="C8" s="1"/>
      <c r="F8" s="119" t="str">
        <f>'As-Filed Schedule 2L'!F8</f>
        <v>Yes/No</v>
      </c>
      <c r="G8" s="41" t="s">
        <v>259</v>
      </c>
    </row>
    <row r="10" spans="1:27" x14ac:dyDescent="0.35">
      <c r="A10" s="1" t="s">
        <v>254</v>
      </c>
      <c r="B10" s="1" t="s">
        <v>256</v>
      </c>
      <c r="C10" s="1"/>
    </row>
    <row r="12" spans="1:27" x14ac:dyDescent="0.35">
      <c r="B12" s="508">
        <v>1</v>
      </c>
      <c r="C12" s="508"/>
      <c r="D12" s="508"/>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09" t="s">
        <v>255</v>
      </c>
      <c r="C13" s="509"/>
      <c r="D13" s="509"/>
      <c r="F13" s="511" t="s">
        <v>261</v>
      </c>
      <c r="G13" s="516"/>
      <c r="H13" s="516"/>
      <c r="I13" s="516"/>
      <c r="J13" s="516"/>
      <c r="K13" s="516"/>
      <c r="L13" s="512"/>
      <c r="N13" s="511" t="s">
        <v>262</v>
      </c>
      <c r="O13" s="516"/>
      <c r="P13" s="516"/>
      <c r="Q13" s="516"/>
      <c r="R13" s="516"/>
      <c r="S13" s="516"/>
      <c r="T13" s="512"/>
      <c r="V13" s="510" t="s">
        <v>250</v>
      </c>
      <c r="W13" s="568" t="s">
        <v>620</v>
      </c>
      <c r="X13" s="569" t="s">
        <v>621</v>
      </c>
      <c r="Y13" s="510" t="s">
        <v>312</v>
      </c>
      <c r="Z13" s="568" t="s">
        <v>630</v>
      </c>
      <c r="AA13" s="569" t="s">
        <v>631</v>
      </c>
    </row>
    <row r="14" spans="1:27" ht="55.5" customHeight="1" x14ac:dyDescent="0.35">
      <c r="B14" s="509"/>
      <c r="C14" s="509"/>
      <c r="D14" s="509"/>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0"/>
      <c r="W14" s="568"/>
      <c r="X14" s="569"/>
      <c r="Y14" s="510"/>
      <c r="Z14" s="568"/>
      <c r="AA14" s="569"/>
    </row>
    <row r="15" spans="1:27" x14ac:dyDescent="0.35">
      <c r="A15" s="24">
        <v>1</v>
      </c>
      <c r="B15" s="513" t="str">
        <f>IF('As-Filed Schedule 2L'!B15:D15=0,"",'As-Filed Schedule 2L'!B15:D15)</f>
        <v/>
      </c>
      <c r="C15" s="513"/>
      <c r="D15" s="513"/>
      <c r="F15" s="117">
        <f>'As-Filed Schedule 2L'!F15</f>
        <v>0</v>
      </c>
      <c r="G15" s="314">
        <f>SUMIFS(Adjustments!$G:$G,Adjustments!$H:$H,"2L",Adjustments!$I:$I,'Schedule 2L Adjustments'!$F$12,Adjustments!$J:$J,'Schedule 2L Adjustments'!$A15)</f>
        <v>0</v>
      </c>
      <c r="H15" s="310">
        <f>SUM(F15:G15)</f>
        <v>0</v>
      </c>
      <c r="I15" s="68">
        <f>IFERROR(F15*'As-Filed Schedule 1'!$E$103,0)</f>
        <v>0</v>
      </c>
      <c r="J15" s="311">
        <f>IFERROR(H15*'Adjusted Schedule 1'!$E$104,0)</f>
        <v>0</v>
      </c>
      <c r="K15" s="68">
        <f>SUM(F15,I15)</f>
        <v>0</v>
      </c>
      <c r="L15" s="311">
        <f>SUM(H15,J15)</f>
        <v>0</v>
      </c>
      <c r="N15" s="117">
        <f>'As-Filed Schedule 2L'!J15</f>
        <v>0</v>
      </c>
      <c r="O15" s="314">
        <f>SUMIFS(Adjustments!$G:$G,Adjustments!$H:$H,"2L",Adjustments!$I:$I,'Schedule 2L Adjustments'!$N$12,Adjustments!$J:$J,'Schedule 2L Adjustments'!$A15)</f>
        <v>0</v>
      </c>
      <c r="P15" s="310">
        <f>SUM(N15:O15)</f>
        <v>0</v>
      </c>
      <c r="Q15" s="68">
        <f>IFERROR(N15*'As-Filed Schedule 1'!$E$103,0)</f>
        <v>0</v>
      </c>
      <c r="R15" s="68">
        <f>IFERROR(P15*'Adjusted Schedule 1'!$E$104,0)</f>
        <v>0</v>
      </c>
      <c r="S15" s="68">
        <f>SUM(N15,Q15)</f>
        <v>0</v>
      </c>
      <c r="T15" s="311">
        <f>SUM(P15,R15)</f>
        <v>0</v>
      </c>
      <c r="V15" s="120">
        <f>'As-Filed Schedule 2L'!N15</f>
        <v>0</v>
      </c>
      <c r="W15" s="314">
        <f>SUMIFS(Adjustments!$G:$G,Adjustments!$H:$H,"2L",Adjustments!$I:$I,'Schedule 2L Adjustments'!$V$12,Adjustments!$J:$J,'Schedule 2L Adjustments'!$A15)</f>
        <v>0</v>
      </c>
      <c r="X15" s="310">
        <f>SUM(V15:W15)</f>
        <v>0</v>
      </c>
      <c r="Y15" s="120">
        <f>'As-Filed Schedule 2L'!O15</f>
        <v>0</v>
      </c>
      <c r="Z15" s="314">
        <f>SUMIFS(Adjustments!$G:$G,Adjustments!$H:$H,"2L",Adjustments!$I:$I,'Schedule 2L Adjustments'!$Y$12,Adjustments!$J:$J,'Schedule 2L Adjustments'!$A15)</f>
        <v>0</v>
      </c>
      <c r="AA15" s="310">
        <f>SUM(Y15:Z15)</f>
        <v>0</v>
      </c>
    </row>
    <row r="16" spans="1:27" x14ac:dyDescent="0.35">
      <c r="A16" s="24">
        <v>2</v>
      </c>
      <c r="B16" s="513" t="str">
        <f>IF('As-Filed Schedule 2L'!B16:D16=0,"",'As-Filed Schedule 2L'!B16:D16)</f>
        <v/>
      </c>
      <c r="C16" s="513"/>
      <c r="D16" s="513"/>
      <c r="F16" s="117">
        <f>'As-Filed Schedule 2L'!F16</f>
        <v>0</v>
      </c>
      <c r="G16" s="314">
        <f>SUMIFS(Adjustments!$G:$G,Adjustments!$H:$H,"2L",Adjustments!$I:$I,'Schedule 2L Adjustments'!$F$12,Adjustments!$J:$J,'Schedule 2L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2L'!J16</f>
        <v>0</v>
      </c>
      <c r="O16" s="314">
        <f>SUMIFS(Adjustments!$G:$G,Adjustments!$H:$H,"2L",Adjustments!$I:$I,'Schedule 2L Adjustments'!$N$12,Adjustments!$J:$J,'Schedule 2L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2L'!N16</f>
        <v>0</v>
      </c>
      <c r="W16" s="314">
        <f>SUMIFS(Adjustments!$G:$G,Adjustments!$H:$H,"2L",Adjustments!$I:$I,'Schedule 2L Adjustments'!$V$12,Adjustments!$J:$J,'Schedule 2L Adjustments'!$A16)</f>
        <v>0</v>
      </c>
      <c r="X16" s="310">
        <f t="shared" ref="X16:X72" si="6">SUM(V16:W16)</f>
        <v>0</v>
      </c>
      <c r="Y16" s="120">
        <f>'As-Filed Schedule 2L'!O16</f>
        <v>0</v>
      </c>
      <c r="Z16" s="314">
        <f>SUMIFS(Adjustments!$G:$G,Adjustments!$H:$H,"2L",Adjustments!$I:$I,'Schedule 2L Adjustments'!$Y$12,Adjustments!$J:$J,'Schedule 2L Adjustments'!$A16)</f>
        <v>0</v>
      </c>
      <c r="AA16" s="310">
        <f t="shared" ref="AA16:AA72" si="7">SUM(Y16:Z16)</f>
        <v>0</v>
      </c>
    </row>
    <row r="17" spans="1:27" x14ac:dyDescent="0.35">
      <c r="A17" s="24">
        <v>3</v>
      </c>
      <c r="B17" s="513" t="str">
        <f>IF('As-Filed Schedule 2L'!B17:D17=0,"",'As-Filed Schedule 2L'!B17:D17)</f>
        <v/>
      </c>
      <c r="C17" s="513"/>
      <c r="D17" s="513"/>
      <c r="F17" s="117">
        <f>'As-Filed Schedule 2L'!F17</f>
        <v>0</v>
      </c>
      <c r="G17" s="314">
        <f>SUMIFS(Adjustments!$G:$G,Adjustments!$H:$H,"2L",Adjustments!$I:$I,'Schedule 2L Adjustments'!$F$12,Adjustments!$J:$J,'Schedule 2L Adjustments'!$A17)</f>
        <v>0</v>
      </c>
      <c r="H17" s="310">
        <f t="shared" si="0"/>
        <v>0</v>
      </c>
      <c r="I17" s="68">
        <f>IFERROR(F17*'As-Filed Schedule 1'!$E$103,0)</f>
        <v>0</v>
      </c>
      <c r="J17" s="311">
        <f>IFERROR(H17*'Adjusted Schedule 1'!$E$104,0)</f>
        <v>0</v>
      </c>
      <c r="K17" s="68">
        <f t="shared" si="1"/>
        <v>0</v>
      </c>
      <c r="L17" s="311">
        <f t="shared" si="2"/>
        <v>0</v>
      </c>
      <c r="N17" s="117">
        <f>'As-Filed Schedule 2L'!J17</f>
        <v>0</v>
      </c>
      <c r="O17" s="314">
        <f>SUMIFS(Adjustments!$G:$G,Adjustments!$H:$H,"2L",Adjustments!$I:$I,'Schedule 2L Adjustments'!$N$12,Adjustments!$J:$J,'Schedule 2L Adjustments'!$A17)</f>
        <v>0</v>
      </c>
      <c r="P17" s="310">
        <f t="shared" si="3"/>
        <v>0</v>
      </c>
      <c r="Q17" s="68">
        <f>IFERROR(N17*'As-Filed Schedule 1'!$E$103,0)</f>
        <v>0</v>
      </c>
      <c r="R17" s="68">
        <f>IFERROR(P17*'Adjusted Schedule 1'!$E$104,0)</f>
        <v>0</v>
      </c>
      <c r="S17" s="68">
        <f t="shared" si="4"/>
        <v>0</v>
      </c>
      <c r="T17" s="311">
        <f t="shared" si="5"/>
        <v>0</v>
      </c>
      <c r="V17" s="120">
        <f>'As-Filed Schedule 2L'!N17</f>
        <v>0</v>
      </c>
      <c r="W17" s="314">
        <f>SUMIFS(Adjustments!$G:$G,Adjustments!$H:$H,"2L",Adjustments!$I:$I,'Schedule 2L Adjustments'!$V$12,Adjustments!$J:$J,'Schedule 2L Adjustments'!$A17)</f>
        <v>0</v>
      </c>
      <c r="X17" s="310">
        <f t="shared" si="6"/>
        <v>0</v>
      </c>
      <c r="Y17" s="120">
        <f>'As-Filed Schedule 2L'!O17</f>
        <v>0</v>
      </c>
      <c r="Z17" s="314">
        <f>SUMIFS(Adjustments!$G:$G,Adjustments!$H:$H,"2L",Adjustments!$I:$I,'Schedule 2L Adjustments'!$Y$12,Adjustments!$J:$J,'Schedule 2L Adjustments'!$A17)</f>
        <v>0</v>
      </c>
      <c r="AA17" s="310">
        <f t="shared" si="7"/>
        <v>0</v>
      </c>
    </row>
    <row r="18" spans="1:27" x14ac:dyDescent="0.35">
      <c r="A18" s="24">
        <v>4</v>
      </c>
      <c r="B18" s="513" t="str">
        <f>IF('As-Filed Schedule 2L'!B18:D18=0,"",'As-Filed Schedule 2L'!B18:D18)</f>
        <v/>
      </c>
      <c r="C18" s="513"/>
      <c r="D18" s="513"/>
      <c r="F18" s="117">
        <f>'As-Filed Schedule 2L'!F18</f>
        <v>0</v>
      </c>
      <c r="G18" s="314">
        <f>SUMIFS(Adjustments!$G:$G,Adjustments!$H:$H,"2L",Adjustments!$I:$I,'Schedule 2L Adjustments'!$F$12,Adjustments!$J:$J,'Schedule 2L Adjustments'!$A18)</f>
        <v>0</v>
      </c>
      <c r="H18" s="310">
        <f t="shared" si="0"/>
        <v>0</v>
      </c>
      <c r="I18" s="68">
        <f>IFERROR(F18*'As-Filed Schedule 1'!$E$103,0)</f>
        <v>0</v>
      </c>
      <c r="J18" s="311">
        <f>IFERROR(H18*'Adjusted Schedule 1'!$E$104,0)</f>
        <v>0</v>
      </c>
      <c r="K18" s="68">
        <f>SUM(F18,I18)</f>
        <v>0</v>
      </c>
      <c r="L18" s="311">
        <f>SUM(H18,J18)</f>
        <v>0</v>
      </c>
      <c r="N18" s="117">
        <f>'As-Filed Schedule 2L'!J18</f>
        <v>0</v>
      </c>
      <c r="O18" s="314">
        <f>SUMIFS(Adjustments!$G:$G,Adjustments!$H:$H,"2L",Adjustments!$I:$I,'Schedule 2L Adjustments'!$N$12,Adjustments!$J:$J,'Schedule 2L Adjustments'!$A18)</f>
        <v>0</v>
      </c>
      <c r="P18" s="310">
        <f t="shared" si="3"/>
        <v>0</v>
      </c>
      <c r="Q18" s="68">
        <f>IFERROR(N18*'As-Filed Schedule 1'!$E$103,0)</f>
        <v>0</v>
      </c>
      <c r="R18" s="68">
        <f>IFERROR(P18*'Adjusted Schedule 1'!$E$104,0)</f>
        <v>0</v>
      </c>
      <c r="S18" s="68">
        <f t="shared" si="4"/>
        <v>0</v>
      </c>
      <c r="T18" s="311">
        <f t="shared" si="5"/>
        <v>0</v>
      </c>
      <c r="V18" s="120">
        <f>'As-Filed Schedule 2L'!N18</f>
        <v>0</v>
      </c>
      <c r="W18" s="314">
        <f>SUMIFS(Adjustments!$G:$G,Adjustments!$H:$H,"2L",Adjustments!$I:$I,'Schedule 2L Adjustments'!$V$12,Adjustments!$J:$J,'Schedule 2L Adjustments'!$A18)</f>
        <v>0</v>
      </c>
      <c r="X18" s="310">
        <f t="shared" si="6"/>
        <v>0</v>
      </c>
      <c r="Y18" s="120">
        <f>'As-Filed Schedule 2L'!O18</f>
        <v>0</v>
      </c>
      <c r="Z18" s="314">
        <f>SUMIFS(Adjustments!$G:$G,Adjustments!$H:$H,"2L",Adjustments!$I:$I,'Schedule 2L Adjustments'!$Y$12,Adjustments!$J:$J,'Schedule 2L Adjustments'!$A18)</f>
        <v>0</v>
      </c>
      <c r="AA18" s="310">
        <f t="shared" si="7"/>
        <v>0</v>
      </c>
    </row>
    <row r="19" spans="1:27" x14ac:dyDescent="0.35">
      <c r="A19" s="24">
        <v>5</v>
      </c>
      <c r="B19" s="513" t="str">
        <f>IF('As-Filed Schedule 2L'!B19:D19=0,"",'As-Filed Schedule 2L'!B19:D19)</f>
        <v/>
      </c>
      <c r="C19" s="513"/>
      <c r="D19" s="513"/>
      <c r="F19" s="117">
        <f>'As-Filed Schedule 2L'!F19</f>
        <v>0</v>
      </c>
      <c r="G19" s="314">
        <f>SUMIFS(Adjustments!$G:$G,Adjustments!$H:$H,"2L",Adjustments!$I:$I,'Schedule 2L Adjustments'!$F$12,Adjustments!$J:$J,'Schedule 2L Adjustments'!$A19)</f>
        <v>0</v>
      </c>
      <c r="H19" s="310">
        <f t="shared" si="0"/>
        <v>0</v>
      </c>
      <c r="I19" s="68">
        <f>IFERROR(F19*'As-Filed Schedule 1'!$E$103,0)</f>
        <v>0</v>
      </c>
      <c r="J19" s="311">
        <f>IFERROR(H19*'Adjusted Schedule 1'!$E$104,0)</f>
        <v>0</v>
      </c>
      <c r="K19" s="68">
        <f t="shared" si="1"/>
        <v>0</v>
      </c>
      <c r="L19" s="311">
        <f>SUM(H19,J19)</f>
        <v>0</v>
      </c>
      <c r="N19" s="117">
        <f>'As-Filed Schedule 2L'!J19</f>
        <v>0</v>
      </c>
      <c r="O19" s="314">
        <f>SUMIFS(Adjustments!$G:$G,Adjustments!$H:$H,"2L",Adjustments!$I:$I,'Schedule 2L Adjustments'!$N$12,Adjustments!$J:$J,'Schedule 2L Adjustments'!$A19)</f>
        <v>0</v>
      </c>
      <c r="P19" s="310">
        <f t="shared" si="3"/>
        <v>0</v>
      </c>
      <c r="Q19" s="68">
        <f>IFERROR(N19*'As-Filed Schedule 1'!$E$103,0)</f>
        <v>0</v>
      </c>
      <c r="R19" s="68">
        <f>IFERROR(P19*'Adjusted Schedule 1'!$E$104,0)</f>
        <v>0</v>
      </c>
      <c r="S19" s="68">
        <f t="shared" si="4"/>
        <v>0</v>
      </c>
      <c r="T19" s="311">
        <f t="shared" si="5"/>
        <v>0</v>
      </c>
      <c r="V19" s="120">
        <f>'As-Filed Schedule 2L'!N19</f>
        <v>0</v>
      </c>
      <c r="W19" s="314">
        <f>SUMIFS(Adjustments!$G:$G,Adjustments!$H:$H,"2L",Adjustments!$I:$I,'Schedule 2L Adjustments'!$V$12,Adjustments!$J:$J,'Schedule 2L Adjustments'!$A19)</f>
        <v>0</v>
      </c>
      <c r="X19" s="310">
        <f t="shared" si="6"/>
        <v>0</v>
      </c>
      <c r="Y19" s="120">
        <f>'As-Filed Schedule 2L'!O19</f>
        <v>0</v>
      </c>
      <c r="Z19" s="314">
        <f>SUMIFS(Adjustments!$G:$G,Adjustments!$H:$H,"2L",Adjustments!$I:$I,'Schedule 2L Adjustments'!$Y$12,Adjustments!$J:$J,'Schedule 2L Adjustments'!$A19)</f>
        <v>0</v>
      </c>
      <c r="AA19" s="310">
        <f t="shared" si="7"/>
        <v>0</v>
      </c>
    </row>
    <row r="20" spans="1:27" x14ac:dyDescent="0.35">
      <c r="A20" s="24">
        <v>6</v>
      </c>
      <c r="B20" s="513" t="str">
        <f>IF('As-Filed Schedule 2L'!B20:D20=0,"",'As-Filed Schedule 2L'!B20:D20)</f>
        <v/>
      </c>
      <c r="C20" s="513"/>
      <c r="D20" s="513"/>
      <c r="F20" s="117">
        <f>'As-Filed Schedule 2L'!F20</f>
        <v>0</v>
      </c>
      <c r="G20" s="314">
        <f>SUMIFS(Adjustments!$G:$G,Adjustments!$H:$H,"2L",Adjustments!$I:$I,'Schedule 2L Adjustments'!$F$12,Adjustments!$J:$J,'Schedule 2L Adjustments'!$A20)</f>
        <v>0</v>
      </c>
      <c r="H20" s="310">
        <f t="shared" si="0"/>
        <v>0</v>
      </c>
      <c r="I20" s="68">
        <f>IFERROR(F20*'As-Filed Schedule 1'!$E$103,0)</f>
        <v>0</v>
      </c>
      <c r="J20" s="311">
        <f>IFERROR(H20*'Adjusted Schedule 1'!$E$104,0)</f>
        <v>0</v>
      </c>
      <c r="K20" s="68">
        <f>SUM(F20,I20)</f>
        <v>0</v>
      </c>
      <c r="L20" s="311">
        <f t="shared" si="2"/>
        <v>0</v>
      </c>
      <c r="N20" s="117">
        <f>'As-Filed Schedule 2L'!J20</f>
        <v>0</v>
      </c>
      <c r="O20" s="314">
        <f>SUMIFS(Adjustments!$G:$G,Adjustments!$H:$H,"2L",Adjustments!$I:$I,'Schedule 2L Adjustments'!$N$12,Adjustments!$J:$J,'Schedule 2L Adjustments'!$A20)</f>
        <v>0</v>
      </c>
      <c r="P20" s="310">
        <f t="shared" si="3"/>
        <v>0</v>
      </c>
      <c r="Q20" s="68">
        <f>IFERROR(N20*'As-Filed Schedule 1'!$E$103,0)</f>
        <v>0</v>
      </c>
      <c r="R20" s="68">
        <f>IFERROR(P20*'Adjusted Schedule 1'!$E$104,0)</f>
        <v>0</v>
      </c>
      <c r="S20" s="68">
        <f t="shared" si="4"/>
        <v>0</v>
      </c>
      <c r="T20" s="311">
        <f t="shared" si="5"/>
        <v>0</v>
      </c>
      <c r="V20" s="120">
        <f>'As-Filed Schedule 2L'!N20</f>
        <v>0</v>
      </c>
      <c r="W20" s="314">
        <f>SUMIFS(Adjustments!$G:$G,Adjustments!$H:$H,"2L",Adjustments!$I:$I,'Schedule 2L Adjustments'!$V$12,Adjustments!$J:$J,'Schedule 2L Adjustments'!$A20)</f>
        <v>0</v>
      </c>
      <c r="X20" s="310">
        <f t="shared" si="6"/>
        <v>0</v>
      </c>
      <c r="Y20" s="120">
        <f>'As-Filed Schedule 2L'!O20</f>
        <v>0</v>
      </c>
      <c r="Z20" s="314">
        <f>SUMIFS(Adjustments!$G:$G,Adjustments!$H:$H,"2L",Adjustments!$I:$I,'Schedule 2L Adjustments'!$Y$12,Adjustments!$J:$J,'Schedule 2L Adjustments'!$A20)</f>
        <v>0</v>
      </c>
      <c r="AA20" s="310">
        <f t="shared" si="7"/>
        <v>0</v>
      </c>
    </row>
    <row r="21" spans="1:27" x14ac:dyDescent="0.35">
      <c r="A21" s="24">
        <v>7</v>
      </c>
      <c r="B21" s="513" t="str">
        <f>IF('As-Filed Schedule 2L'!B21:D21=0,"",'As-Filed Schedule 2L'!B21:D21)</f>
        <v/>
      </c>
      <c r="C21" s="513"/>
      <c r="D21" s="513"/>
      <c r="F21" s="117">
        <f>'As-Filed Schedule 2L'!F21</f>
        <v>0</v>
      </c>
      <c r="G21" s="314">
        <f>SUMIFS(Adjustments!$G:$G,Adjustments!$H:$H,"2L",Adjustments!$I:$I,'Schedule 2L Adjustments'!$F$12,Adjustments!$J:$J,'Schedule 2L Adjustments'!$A21)</f>
        <v>0</v>
      </c>
      <c r="H21" s="310">
        <f t="shared" si="0"/>
        <v>0</v>
      </c>
      <c r="I21" s="68">
        <f>IFERROR(F21*'As-Filed Schedule 1'!$E$103,0)</f>
        <v>0</v>
      </c>
      <c r="J21" s="311">
        <f>IFERROR(H21*'Adjusted Schedule 1'!$E$104,0)</f>
        <v>0</v>
      </c>
      <c r="K21" s="68">
        <f t="shared" si="1"/>
        <v>0</v>
      </c>
      <c r="L21" s="311">
        <f t="shared" si="2"/>
        <v>0</v>
      </c>
      <c r="N21" s="117">
        <f>'As-Filed Schedule 2L'!J21</f>
        <v>0</v>
      </c>
      <c r="O21" s="314">
        <f>SUMIFS(Adjustments!$G:$G,Adjustments!$H:$H,"2L",Adjustments!$I:$I,'Schedule 2L Adjustments'!$N$12,Adjustments!$J:$J,'Schedule 2L Adjustments'!$A21)</f>
        <v>0</v>
      </c>
      <c r="P21" s="310">
        <f t="shared" si="3"/>
        <v>0</v>
      </c>
      <c r="Q21" s="68">
        <f>IFERROR(N21*'As-Filed Schedule 1'!$E$103,0)</f>
        <v>0</v>
      </c>
      <c r="R21" s="68">
        <f>IFERROR(P21*'Adjusted Schedule 1'!$E$104,0)</f>
        <v>0</v>
      </c>
      <c r="S21" s="68">
        <f>SUM(N21,Q21)</f>
        <v>0</v>
      </c>
      <c r="T21" s="311">
        <f>SUM(P21,R21)</f>
        <v>0</v>
      </c>
      <c r="V21" s="120">
        <f>'As-Filed Schedule 2L'!N21</f>
        <v>0</v>
      </c>
      <c r="W21" s="314">
        <f>SUMIFS(Adjustments!$G:$G,Adjustments!$H:$H,"2L",Adjustments!$I:$I,'Schedule 2L Adjustments'!$V$12,Adjustments!$J:$J,'Schedule 2L Adjustments'!$A21)</f>
        <v>0</v>
      </c>
      <c r="X21" s="310">
        <f t="shared" si="6"/>
        <v>0</v>
      </c>
      <c r="Y21" s="120">
        <f>'As-Filed Schedule 2L'!O21</f>
        <v>0</v>
      </c>
      <c r="Z21" s="314">
        <f>SUMIFS(Adjustments!$G:$G,Adjustments!$H:$H,"2L",Adjustments!$I:$I,'Schedule 2L Adjustments'!$Y$12,Adjustments!$J:$J,'Schedule 2L Adjustments'!$A21)</f>
        <v>0</v>
      </c>
      <c r="AA21" s="310">
        <f t="shared" si="7"/>
        <v>0</v>
      </c>
    </row>
    <row r="22" spans="1:27" x14ac:dyDescent="0.35">
      <c r="A22" s="24">
        <v>8</v>
      </c>
      <c r="B22" s="513" t="str">
        <f>IF('As-Filed Schedule 2L'!B22:D22=0,"",'As-Filed Schedule 2L'!B22:D22)</f>
        <v/>
      </c>
      <c r="C22" s="513"/>
      <c r="D22" s="513"/>
      <c r="F22" s="117">
        <f>'As-Filed Schedule 2L'!F22</f>
        <v>0</v>
      </c>
      <c r="G22" s="314">
        <f>SUMIFS(Adjustments!$G:$G,Adjustments!$H:$H,"2L",Adjustments!$I:$I,'Schedule 2L Adjustments'!$F$12,Adjustments!$J:$J,'Schedule 2L Adjustments'!$A22)</f>
        <v>0</v>
      </c>
      <c r="H22" s="310">
        <f t="shared" si="0"/>
        <v>0</v>
      </c>
      <c r="I22" s="68">
        <f>IFERROR(F22*'As-Filed Schedule 1'!$E$103,0)</f>
        <v>0</v>
      </c>
      <c r="J22" s="311">
        <f>IFERROR(H22*'Adjusted Schedule 1'!$E$104,0)</f>
        <v>0</v>
      </c>
      <c r="K22" s="68">
        <f t="shared" si="1"/>
        <v>0</v>
      </c>
      <c r="L22" s="311">
        <f t="shared" si="2"/>
        <v>0</v>
      </c>
      <c r="N22" s="117">
        <f>'As-Filed Schedule 2L'!J22</f>
        <v>0</v>
      </c>
      <c r="O22" s="314">
        <f>SUMIFS(Adjustments!$G:$G,Adjustments!$H:$H,"2L",Adjustments!$I:$I,'Schedule 2L Adjustments'!$N$12,Adjustments!$J:$J,'Schedule 2L Adjustments'!$A22)</f>
        <v>0</v>
      </c>
      <c r="P22" s="310">
        <f t="shared" si="3"/>
        <v>0</v>
      </c>
      <c r="Q22" s="68">
        <f>IFERROR(N22*'As-Filed Schedule 1'!$E$103,0)</f>
        <v>0</v>
      </c>
      <c r="R22" s="68">
        <f>IFERROR(P22*'Adjusted Schedule 1'!$E$104,0)</f>
        <v>0</v>
      </c>
      <c r="S22" s="68">
        <f t="shared" si="4"/>
        <v>0</v>
      </c>
      <c r="T22" s="311">
        <f t="shared" si="5"/>
        <v>0</v>
      </c>
      <c r="V22" s="120">
        <f>'As-Filed Schedule 2L'!N22</f>
        <v>0</v>
      </c>
      <c r="W22" s="314">
        <f>SUMIFS(Adjustments!$G:$G,Adjustments!$H:$H,"2L",Adjustments!$I:$I,'Schedule 2L Adjustments'!$V$12,Adjustments!$J:$J,'Schedule 2L Adjustments'!$A22)</f>
        <v>0</v>
      </c>
      <c r="X22" s="310">
        <f t="shared" si="6"/>
        <v>0</v>
      </c>
      <c r="Y22" s="120">
        <f>'As-Filed Schedule 2L'!O22</f>
        <v>0</v>
      </c>
      <c r="Z22" s="314">
        <f>SUMIFS(Adjustments!$G:$G,Adjustments!$H:$H,"2L",Adjustments!$I:$I,'Schedule 2L Adjustments'!$Y$12,Adjustments!$J:$J,'Schedule 2L Adjustments'!$A22)</f>
        <v>0</v>
      </c>
      <c r="AA22" s="310">
        <f t="shared" si="7"/>
        <v>0</v>
      </c>
    </row>
    <row r="23" spans="1:27" x14ac:dyDescent="0.35">
      <c r="A23" s="24">
        <v>9</v>
      </c>
      <c r="B23" s="513" t="str">
        <f>IF('As-Filed Schedule 2L'!B23:D23=0,"",'As-Filed Schedule 2L'!B23:D23)</f>
        <v/>
      </c>
      <c r="C23" s="513"/>
      <c r="D23" s="513"/>
      <c r="F23" s="117">
        <f>'As-Filed Schedule 2L'!F23</f>
        <v>0</v>
      </c>
      <c r="G23" s="314">
        <f>SUMIFS(Adjustments!$G:$G,Adjustments!$H:$H,"2L",Adjustments!$I:$I,'Schedule 2L Adjustments'!$F$12,Adjustments!$J:$J,'Schedule 2L Adjustments'!$A23)</f>
        <v>0</v>
      </c>
      <c r="H23" s="310">
        <f t="shared" si="0"/>
        <v>0</v>
      </c>
      <c r="I23" s="68">
        <f>IFERROR(F23*'As-Filed Schedule 1'!$E$103,0)</f>
        <v>0</v>
      </c>
      <c r="J23" s="311">
        <f>IFERROR(H23*'Adjusted Schedule 1'!$E$104,0)</f>
        <v>0</v>
      </c>
      <c r="K23" s="68">
        <f t="shared" si="1"/>
        <v>0</v>
      </c>
      <c r="L23" s="311">
        <f t="shared" si="2"/>
        <v>0</v>
      </c>
      <c r="N23" s="117">
        <f>'As-Filed Schedule 2L'!J23</f>
        <v>0</v>
      </c>
      <c r="O23" s="314">
        <f>SUMIFS(Adjustments!$G:$G,Adjustments!$H:$H,"2L",Adjustments!$I:$I,'Schedule 2L Adjustments'!$N$12,Adjustments!$J:$J,'Schedule 2L Adjustments'!$A23)</f>
        <v>0</v>
      </c>
      <c r="P23" s="310">
        <f t="shared" si="3"/>
        <v>0</v>
      </c>
      <c r="Q23" s="68">
        <f>IFERROR(N23*'As-Filed Schedule 1'!$E$103,0)</f>
        <v>0</v>
      </c>
      <c r="R23" s="68">
        <f>IFERROR(P23*'Adjusted Schedule 1'!$E$104,0)</f>
        <v>0</v>
      </c>
      <c r="S23" s="68">
        <f t="shared" si="4"/>
        <v>0</v>
      </c>
      <c r="T23" s="311">
        <f t="shared" si="5"/>
        <v>0</v>
      </c>
      <c r="V23" s="120">
        <f>'As-Filed Schedule 2L'!N23</f>
        <v>0</v>
      </c>
      <c r="W23" s="314">
        <f>SUMIFS(Adjustments!$G:$G,Adjustments!$H:$H,"2L",Adjustments!$I:$I,'Schedule 2L Adjustments'!$V$12,Adjustments!$J:$J,'Schedule 2L Adjustments'!$A23)</f>
        <v>0</v>
      </c>
      <c r="X23" s="310">
        <f t="shared" si="6"/>
        <v>0</v>
      </c>
      <c r="Y23" s="120">
        <f>'As-Filed Schedule 2L'!O23</f>
        <v>0</v>
      </c>
      <c r="Z23" s="314">
        <f>SUMIFS(Adjustments!$G:$G,Adjustments!$H:$H,"2L",Adjustments!$I:$I,'Schedule 2L Adjustments'!$Y$12,Adjustments!$J:$J,'Schedule 2L Adjustments'!$A23)</f>
        <v>0</v>
      </c>
      <c r="AA23" s="310">
        <f t="shared" si="7"/>
        <v>0</v>
      </c>
    </row>
    <row r="24" spans="1:27" x14ac:dyDescent="0.35">
      <c r="A24" s="24">
        <v>10</v>
      </c>
      <c r="B24" s="513" t="str">
        <f>IF('As-Filed Schedule 2L'!B24:D24=0,"",'As-Filed Schedule 2L'!B24:D24)</f>
        <v/>
      </c>
      <c r="C24" s="513"/>
      <c r="D24" s="513"/>
      <c r="F24" s="117">
        <f>'As-Filed Schedule 2L'!F24</f>
        <v>0</v>
      </c>
      <c r="G24" s="314">
        <f>SUMIFS(Adjustments!$G:$G,Adjustments!$H:$H,"2L",Adjustments!$I:$I,'Schedule 2L Adjustments'!$F$12,Adjustments!$J:$J,'Schedule 2L Adjustments'!$A24)</f>
        <v>0</v>
      </c>
      <c r="H24" s="310">
        <f t="shared" si="0"/>
        <v>0</v>
      </c>
      <c r="I24" s="68">
        <f>IFERROR(F24*'As-Filed Schedule 1'!$E$103,0)</f>
        <v>0</v>
      </c>
      <c r="J24" s="311">
        <f>IFERROR(H24*'Adjusted Schedule 1'!$E$104,0)</f>
        <v>0</v>
      </c>
      <c r="K24" s="68">
        <f t="shared" si="1"/>
        <v>0</v>
      </c>
      <c r="L24" s="311">
        <f t="shared" si="2"/>
        <v>0</v>
      </c>
      <c r="N24" s="117">
        <f>'As-Filed Schedule 2L'!J24</f>
        <v>0</v>
      </c>
      <c r="O24" s="314">
        <f>SUMIFS(Adjustments!$G:$G,Adjustments!$H:$H,"2L",Adjustments!$I:$I,'Schedule 2L Adjustments'!$N$12,Adjustments!$J:$J,'Schedule 2L Adjustments'!$A24)</f>
        <v>0</v>
      </c>
      <c r="P24" s="310">
        <f t="shared" si="3"/>
        <v>0</v>
      </c>
      <c r="Q24" s="68">
        <f>IFERROR(N24*'As-Filed Schedule 1'!$E$103,0)</f>
        <v>0</v>
      </c>
      <c r="R24" s="68">
        <f>IFERROR(P24*'Adjusted Schedule 1'!$E$104,0)</f>
        <v>0</v>
      </c>
      <c r="S24" s="68">
        <f t="shared" si="4"/>
        <v>0</v>
      </c>
      <c r="T24" s="311">
        <f t="shared" si="5"/>
        <v>0</v>
      </c>
      <c r="V24" s="120">
        <f>'As-Filed Schedule 2L'!N24</f>
        <v>0</v>
      </c>
      <c r="W24" s="314">
        <f>SUMIFS(Adjustments!$G:$G,Adjustments!$H:$H,"2L",Adjustments!$I:$I,'Schedule 2L Adjustments'!$V$12,Adjustments!$J:$J,'Schedule 2L Adjustments'!$A24)</f>
        <v>0</v>
      </c>
      <c r="X24" s="310">
        <f t="shared" si="6"/>
        <v>0</v>
      </c>
      <c r="Y24" s="120">
        <f>'As-Filed Schedule 2L'!O24</f>
        <v>0</v>
      </c>
      <c r="Z24" s="314">
        <f>SUMIFS(Adjustments!$G:$G,Adjustments!$H:$H,"2L",Adjustments!$I:$I,'Schedule 2L Adjustments'!$Y$12,Adjustments!$J:$J,'Schedule 2L Adjustments'!$A24)</f>
        <v>0</v>
      </c>
      <c r="AA24" s="310">
        <f t="shared" si="7"/>
        <v>0</v>
      </c>
    </row>
    <row r="25" spans="1:27" x14ac:dyDescent="0.35">
      <c r="A25" s="24">
        <v>11</v>
      </c>
      <c r="B25" s="513" t="str">
        <f>IF('As-Filed Schedule 2L'!B25:D25=0,"",'As-Filed Schedule 2L'!B25:D25)</f>
        <v/>
      </c>
      <c r="C25" s="513"/>
      <c r="D25" s="513"/>
      <c r="F25" s="117">
        <f>'As-Filed Schedule 2L'!F25</f>
        <v>0</v>
      </c>
      <c r="G25" s="314">
        <f>SUMIFS(Adjustments!$G:$G,Adjustments!$H:$H,"2L",Adjustments!$I:$I,'Schedule 2L Adjustments'!$F$12,Adjustments!$J:$J,'Schedule 2L Adjustments'!$A25)</f>
        <v>0</v>
      </c>
      <c r="H25" s="310">
        <f t="shared" si="0"/>
        <v>0</v>
      </c>
      <c r="I25" s="68">
        <f>IFERROR(F25*'As-Filed Schedule 1'!$E$103,0)</f>
        <v>0</v>
      </c>
      <c r="J25" s="311">
        <f>IFERROR(H25*'Adjusted Schedule 1'!$E$104,0)</f>
        <v>0</v>
      </c>
      <c r="K25" s="68">
        <f t="shared" si="1"/>
        <v>0</v>
      </c>
      <c r="L25" s="311">
        <f t="shared" si="2"/>
        <v>0</v>
      </c>
      <c r="N25" s="117">
        <f>'As-Filed Schedule 2L'!J25</f>
        <v>0</v>
      </c>
      <c r="O25" s="314">
        <f>SUMIFS(Adjustments!$G:$G,Adjustments!$H:$H,"2L",Adjustments!$I:$I,'Schedule 2L Adjustments'!$N$12,Adjustments!$J:$J,'Schedule 2L Adjustments'!$A25)</f>
        <v>0</v>
      </c>
      <c r="P25" s="310">
        <f t="shared" si="3"/>
        <v>0</v>
      </c>
      <c r="Q25" s="68">
        <f>IFERROR(N25*'As-Filed Schedule 1'!$E$103,0)</f>
        <v>0</v>
      </c>
      <c r="R25" s="68">
        <f>IFERROR(P25*'Adjusted Schedule 1'!$E$104,0)</f>
        <v>0</v>
      </c>
      <c r="S25" s="68">
        <f t="shared" si="4"/>
        <v>0</v>
      </c>
      <c r="T25" s="311">
        <f t="shared" si="5"/>
        <v>0</v>
      </c>
      <c r="V25" s="120">
        <f>'As-Filed Schedule 2L'!N25</f>
        <v>0</v>
      </c>
      <c r="W25" s="314">
        <f>SUMIFS(Adjustments!$G:$G,Adjustments!$H:$H,"2L",Adjustments!$I:$I,'Schedule 2L Adjustments'!$V$12,Adjustments!$J:$J,'Schedule 2L Adjustments'!$A25)</f>
        <v>0</v>
      </c>
      <c r="X25" s="310">
        <f t="shared" si="6"/>
        <v>0</v>
      </c>
      <c r="Y25" s="120">
        <f>'As-Filed Schedule 2L'!O25</f>
        <v>0</v>
      </c>
      <c r="Z25" s="314">
        <f>SUMIFS(Adjustments!$G:$G,Adjustments!$H:$H,"2L",Adjustments!$I:$I,'Schedule 2L Adjustments'!$Y$12,Adjustments!$J:$J,'Schedule 2L Adjustments'!$A25)</f>
        <v>0</v>
      </c>
      <c r="AA25" s="310">
        <f t="shared" si="7"/>
        <v>0</v>
      </c>
    </row>
    <row r="26" spans="1:27" x14ac:dyDescent="0.35">
      <c r="A26" s="24">
        <v>12</v>
      </c>
      <c r="B26" s="513" t="str">
        <f>IF('As-Filed Schedule 2L'!B26:D26=0,"",'As-Filed Schedule 2L'!B26:D26)</f>
        <v/>
      </c>
      <c r="C26" s="513"/>
      <c r="D26" s="513"/>
      <c r="F26" s="117">
        <f>'As-Filed Schedule 2L'!F26</f>
        <v>0</v>
      </c>
      <c r="G26" s="314">
        <f>SUMIFS(Adjustments!$G:$G,Adjustments!$H:$H,"2L",Adjustments!$I:$I,'Schedule 2L Adjustments'!$F$12,Adjustments!$J:$J,'Schedule 2L Adjustments'!$A26)</f>
        <v>0</v>
      </c>
      <c r="H26" s="310">
        <f t="shared" si="0"/>
        <v>0</v>
      </c>
      <c r="I26" s="68">
        <f>IFERROR(F26*'As-Filed Schedule 1'!$E$103,0)</f>
        <v>0</v>
      </c>
      <c r="J26" s="311">
        <f>IFERROR(H26*'Adjusted Schedule 1'!$E$104,0)</f>
        <v>0</v>
      </c>
      <c r="K26" s="68">
        <f t="shared" si="1"/>
        <v>0</v>
      </c>
      <c r="L26" s="311">
        <f t="shared" si="2"/>
        <v>0</v>
      </c>
      <c r="N26" s="117">
        <f>'As-Filed Schedule 2L'!J26</f>
        <v>0</v>
      </c>
      <c r="O26" s="314">
        <f>SUMIFS(Adjustments!$G:$G,Adjustments!$H:$H,"2L",Adjustments!$I:$I,'Schedule 2L Adjustments'!$N$12,Adjustments!$J:$J,'Schedule 2L Adjustments'!$A26)</f>
        <v>0</v>
      </c>
      <c r="P26" s="310">
        <f t="shared" si="3"/>
        <v>0</v>
      </c>
      <c r="Q26" s="68">
        <f>IFERROR(N26*'As-Filed Schedule 1'!$E$103,0)</f>
        <v>0</v>
      </c>
      <c r="R26" s="68">
        <f>IFERROR(P26*'Adjusted Schedule 1'!$E$104,0)</f>
        <v>0</v>
      </c>
      <c r="S26" s="68">
        <f t="shared" si="4"/>
        <v>0</v>
      </c>
      <c r="T26" s="311">
        <f t="shared" si="5"/>
        <v>0</v>
      </c>
      <c r="V26" s="120">
        <f>'As-Filed Schedule 2L'!N26</f>
        <v>0</v>
      </c>
      <c r="W26" s="314">
        <f>SUMIFS(Adjustments!$G:$G,Adjustments!$H:$H,"2L",Adjustments!$I:$I,'Schedule 2L Adjustments'!$V$12,Adjustments!$J:$J,'Schedule 2L Adjustments'!$A26)</f>
        <v>0</v>
      </c>
      <c r="X26" s="310">
        <f t="shared" si="6"/>
        <v>0</v>
      </c>
      <c r="Y26" s="120">
        <f>'As-Filed Schedule 2L'!O26</f>
        <v>0</v>
      </c>
      <c r="Z26" s="314">
        <f>SUMIFS(Adjustments!$G:$G,Adjustments!$H:$H,"2L",Adjustments!$I:$I,'Schedule 2L Adjustments'!$Y$12,Adjustments!$J:$J,'Schedule 2L Adjustments'!$A26)</f>
        <v>0</v>
      </c>
      <c r="AA26" s="310">
        <f t="shared" si="7"/>
        <v>0</v>
      </c>
    </row>
    <row r="27" spans="1:27" x14ac:dyDescent="0.35">
      <c r="A27" s="24">
        <v>13</v>
      </c>
      <c r="B27" s="513" t="str">
        <f>IF('As-Filed Schedule 2L'!B27:D27=0,"",'As-Filed Schedule 2L'!B27:D27)</f>
        <v/>
      </c>
      <c r="C27" s="513"/>
      <c r="D27" s="513"/>
      <c r="F27" s="117">
        <f>'As-Filed Schedule 2L'!F27</f>
        <v>0</v>
      </c>
      <c r="G27" s="314">
        <f>SUMIFS(Adjustments!$G:$G,Adjustments!$H:$H,"2L",Adjustments!$I:$I,'Schedule 2L Adjustments'!$F$12,Adjustments!$J:$J,'Schedule 2L Adjustments'!$A27)</f>
        <v>0</v>
      </c>
      <c r="H27" s="310">
        <f t="shared" si="0"/>
        <v>0</v>
      </c>
      <c r="I27" s="68">
        <f>IFERROR(F27*'As-Filed Schedule 1'!$E$103,0)</f>
        <v>0</v>
      </c>
      <c r="J27" s="311">
        <f>IFERROR(H27*'Adjusted Schedule 1'!$E$104,0)</f>
        <v>0</v>
      </c>
      <c r="K27" s="68">
        <f t="shared" si="1"/>
        <v>0</v>
      </c>
      <c r="L27" s="311">
        <f t="shared" si="2"/>
        <v>0</v>
      </c>
      <c r="N27" s="117">
        <f>'As-Filed Schedule 2L'!J27</f>
        <v>0</v>
      </c>
      <c r="O27" s="314">
        <f>SUMIFS(Adjustments!$G:$G,Adjustments!$H:$H,"2L",Adjustments!$I:$I,'Schedule 2L Adjustments'!$N$12,Adjustments!$J:$J,'Schedule 2L Adjustments'!$A27)</f>
        <v>0</v>
      </c>
      <c r="P27" s="310">
        <f t="shared" si="3"/>
        <v>0</v>
      </c>
      <c r="Q27" s="68">
        <f>IFERROR(N27*'As-Filed Schedule 1'!$E$103,0)</f>
        <v>0</v>
      </c>
      <c r="R27" s="68">
        <f>IFERROR(P27*'Adjusted Schedule 1'!$E$104,0)</f>
        <v>0</v>
      </c>
      <c r="S27" s="68">
        <f t="shared" si="4"/>
        <v>0</v>
      </c>
      <c r="T27" s="311">
        <f t="shared" si="5"/>
        <v>0</v>
      </c>
      <c r="V27" s="120">
        <f>'As-Filed Schedule 2L'!N27</f>
        <v>0</v>
      </c>
      <c r="W27" s="314">
        <f>SUMIFS(Adjustments!$G:$G,Adjustments!$H:$H,"2L",Adjustments!$I:$I,'Schedule 2L Adjustments'!$V$12,Adjustments!$J:$J,'Schedule 2L Adjustments'!$A27)</f>
        <v>0</v>
      </c>
      <c r="X27" s="310">
        <f t="shared" si="6"/>
        <v>0</v>
      </c>
      <c r="Y27" s="120">
        <f>'As-Filed Schedule 2L'!O27</f>
        <v>0</v>
      </c>
      <c r="Z27" s="314">
        <f>SUMIFS(Adjustments!$G:$G,Adjustments!$H:$H,"2L",Adjustments!$I:$I,'Schedule 2L Adjustments'!$Y$12,Adjustments!$J:$J,'Schedule 2L Adjustments'!$A27)</f>
        <v>0</v>
      </c>
      <c r="AA27" s="310">
        <f t="shared" si="7"/>
        <v>0</v>
      </c>
    </row>
    <row r="28" spans="1:27" x14ac:dyDescent="0.35">
      <c r="A28" s="24">
        <v>14</v>
      </c>
      <c r="B28" s="513" t="str">
        <f>IF('As-Filed Schedule 2L'!B28:D28=0,"",'As-Filed Schedule 2L'!B28:D28)</f>
        <v/>
      </c>
      <c r="C28" s="513"/>
      <c r="D28" s="513"/>
      <c r="F28" s="117">
        <f>'As-Filed Schedule 2L'!F28</f>
        <v>0</v>
      </c>
      <c r="G28" s="314">
        <f>SUMIFS(Adjustments!$G:$G,Adjustments!$H:$H,"2L",Adjustments!$I:$I,'Schedule 2L Adjustments'!$F$12,Adjustments!$J:$J,'Schedule 2L Adjustments'!$A28)</f>
        <v>0</v>
      </c>
      <c r="H28" s="310">
        <f t="shared" si="0"/>
        <v>0</v>
      </c>
      <c r="I28" s="68">
        <f>IFERROR(F28*'As-Filed Schedule 1'!$E$103,0)</f>
        <v>0</v>
      </c>
      <c r="J28" s="311">
        <f>IFERROR(H28*'Adjusted Schedule 1'!$E$104,0)</f>
        <v>0</v>
      </c>
      <c r="K28" s="68">
        <f t="shared" si="1"/>
        <v>0</v>
      </c>
      <c r="L28" s="311">
        <f t="shared" si="2"/>
        <v>0</v>
      </c>
      <c r="N28" s="117">
        <f>'As-Filed Schedule 2L'!J28</f>
        <v>0</v>
      </c>
      <c r="O28" s="314">
        <f>SUMIFS(Adjustments!$G:$G,Adjustments!$H:$H,"2L",Adjustments!$I:$I,'Schedule 2L Adjustments'!$N$12,Adjustments!$J:$J,'Schedule 2L Adjustments'!$A28)</f>
        <v>0</v>
      </c>
      <c r="P28" s="310">
        <f t="shared" si="3"/>
        <v>0</v>
      </c>
      <c r="Q28" s="68">
        <f>IFERROR(N28*'As-Filed Schedule 1'!$E$103,0)</f>
        <v>0</v>
      </c>
      <c r="R28" s="68">
        <f>IFERROR(P28*'Adjusted Schedule 1'!$E$104,0)</f>
        <v>0</v>
      </c>
      <c r="S28" s="68">
        <f t="shared" si="4"/>
        <v>0</v>
      </c>
      <c r="T28" s="311">
        <f t="shared" si="5"/>
        <v>0</v>
      </c>
      <c r="V28" s="120">
        <f>'As-Filed Schedule 2L'!N28</f>
        <v>0</v>
      </c>
      <c r="W28" s="314">
        <f>SUMIFS(Adjustments!$G:$G,Adjustments!$H:$H,"2L",Adjustments!$I:$I,'Schedule 2L Adjustments'!$V$12,Adjustments!$J:$J,'Schedule 2L Adjustments'!$A28)</f>
        <v>0</v>
      </c>
      <c r="X28" s="310">
        <f t="shared" si="6"/>
        <v>0</v>
      </c>
      <c r="Y28" s="120">
        <f>'As-Filed Schedule 2L'!O28</f>
        <v>0</v>
      </c>
      <c r="Z28" s="314">
        <f>SUMIFS(Adjustments!$G:$G,Adjustments!$H:$H,"2L",Adjustments!$I:$I,'Schedule 2L Adjustments'!$Y$12,Adjustments!$J:$J,'Schedule 2L Adjustments'!$A28)</f>
        <v>0</v>
      </c>
      <c r="AA28" s="310">
        <f t="shared" si="7"/>
        <v>0</v>
      </c>
    </row>
    <row r="29" spans="1:27" x14ac:dyDescent="0.35">
      <c r="A29" s="24">
        <v>15</v>
      </c>
      <c r="B29" s="513" t="str">
        <f>IF('As-Filed Schedule 2L'!B29:D29=0,"",'As-Filed Schedule 2L'!B29:D29)</f>
        <v/>
      </c>
      <c r="C29" s="513"/>
      <c r="D29" s="513"/>
      <c r="F29" s="117">
        <f>'As-Filed Schedule 2L'!F29</f>
        <v>0</v>
      </c>
      <c r="G29" s="314">
        <f>SUMIFS(Adjustments!$G:$G,Adjustments!$H:$H,"2L",Adjustments!$I:$I,'Schedule 2L Adjustments'!$F$12,Adjustments!$J:$J,'Schedule 2L Adjustments'!$A29)</f>
        <v>0</v>
      </c>
      <c r="H29" s="310">
        <f t="shared" si="0"/>
        <v>0</v>
      </c>
      <c r="I29" s="68">
        <f>IFERROR(F29*'As-Filed Schedule 1'!$E$103,0)</f>
        <v>0</v>
      </c>
      <c r="J29" s="311">
        <f>IFERROR(H29*'Adjusted Schedule 1'!$E$104,0)</f>
        <v>0</v>
      </c>
      <c r="K29" s="68">
        <f t="shared" si="1"/>
        <v>0</v>
      </c>
      <c r="L29" s="311">
        <f t="shared" si="2"/>
        <v>0</v>
      </c>
      <c r="N29" s="117">
        <f>'As-Filed Schedule 2L'!J29</f>
        <v>0</v>
      </c>
      <c r="O29" s="314">
        <f>SUMIFS(Adjustments!$G:$G,Adjustments!$H:$H,"2L",Adjustments!$I:$I,'Schedule 2L Adjustments'!$N$12,Adjustments!$J:$J,'Schedule 2L Adjustments'!$A29)</f>
        <v>0</v>
      </c>
      <c r="P29" s="310">
        <f t="shared" si="3"/>
        <v>0</v>
      </c>
      <c r="Q29" s="68">
        <f>IFERROR(N29*'As-Filed Schedule 1'!$E$103,0)</f>
        <v>0</v>
      </c>
      <c r="R29" s="68">
        <f>IFERROR(P29*'Adjusted Schedule 1'!$E$104,0)</f>
        <v>0</v>
      </c>
      <c r="S29" s="68">
        <f t="shared" si="4"/>
        <v>0</v>
      </c>
      <c r="T29" s="311">
        <f t="shared" si="5"/>
        <v>0</v>
      </c>
      <c r="V29" s="120">
        <f>'As-Filed Schedule 2L'!N29</f>
        <v>0</v>
      </c>
      <c r="W29" s="314">
        <f>SUMIFS(Adjustments!$G:$G,Adjustments!$H:$H,"2L",Adjustments!$I:$I,'Schedule 2L Adjustments'!$V$12,Adjustments!$J:$J,'Schedule 2L Adjustments'!$A29)</f>
        <v>0</v>
      </c>
      <c r="X29" s="310">
        <f t="shared" si="6"/>
        <v>0</v>
      </c>
      <c r="Y29" s="120">
        <f>'As-Filed Schedule 2L'!O29</f>
        <v>0</v>
      </c>
      <c r="Z29" s="314">
        <f>SUMIFS(Adjustments!$G:$G,Adjustments!$H:$H,"2L",Adjustments!$I:$I,'Schedule 2L Adjustments'!$Y$12,Adjustments!$J:$J,'Schedule 2L Adjustments'!$A29)</f>
        <v>0</v>
      </c>
      <c r="AA29" s="310">
        <f t="shared" si="7"/>
        <v>0</v>
      </c>
    </row>
    <row r="30" spans="1:27" x14ac:dyDescent="0.35">
      <c r="A30" s="24">
        <v>16</v>
      </c>
      <c r="B30" s="513" t="str">
        <f>IF('As-Filed Schedule 2L'!B30:D30=0,"",'As-Filed Schedule 2L'!B30:D30)</f>
        <v/>
      </c>
      <c r="C30" s="513"/>
      <c r="D30" s="513"/>
      <c r="F30" s="117">
        <f>'As-Filed Schedule 2L'!F30</f>
        <v>0</v>
      </c>
      <c r="G30" s="314">
        <f>SUMIFS(Adjustments!$G:$G,Adjustments!$H:$H,"2L",Adjustments!$I:$I,'Schedule 2L Adjustments'!$F$12,Adjustments!$J:$J,'Schedule 2L Adjustments'!$A30)</f>
        <v>0</v>
      </c>
      <c r="H30" s="310">
        <f t="shared" si="0"/>
        <v>0</v>
      </c>
      <c r="I30" s="68">
        <f>IFERROR(F30*'As-Filed Schedule 1'!$E$103,0)</f>
        <v>0</v>
      </c>
      <c r="J30" s="311">
        <f>IFERROR(H30*'Adjusted Schedule 1'!$E$104,0)</f>
        <v>0</v>
      </c>
      <c r="K30" s="68">
        <f t="shared" si="1"/>
        <v>0</v>
      </c>
      <c r="L30" s="311">
        <f t="shared" si="2"/>
        <v>0</v>
      </c>
      <c r="N30" s="117">
        <f>'As-Filed Schedule 2L'!J30</f>
        <v>0</v>
      </c>
      <c r="O30" s="314">
        <f>SUMIFS(Adjustments!$G:$G,Adjustments!$H:$H,"2L",Adjustments!$I:$I,'Schedule 2L Adjustments'!$N$12,Adjustments!$J:$J,'Schedule 2L Adjustments'!$A30)</f>
        <v>0</v>
      </c>
      <c r="P30" s="310">
        <f t="shared" si="3"/>
        <v>0</v>
      </c>
      <c r="Q30" s="68">
        <f>IFERROR(N30*'As-Filed Schedule 1'!$E$103,0)</f>
        <v>0</v>
      </c>
      <c r="R30" s="68">
        <f>IFERROR(P30*'Adjusted Schedule 1'!$E$104,0)</f>
        <v>0</v>
      </c>
      <c r="S30" s="68">
        <f t="shared" si="4"/>
        <v>0</v>
      </c>
      <c r="T30" s="311">
        <f t="shared" si="5"/>
        <v>0</v>
      </c>
      <c r="V30" s="120">
        <f>'As-Filed Schedule 2L'!N30</f>
        <v>0</v>
      </c>
      <c r="W30" s="314">
        <f>SUMIFS(Adjustments!$G:$G,Adjustments!$H:$H,"2L",Adjustments!$I:$I,'Schedule 2L Adjustments'!$V$12,Adjustments!$J:$J,'Schedule 2L Adjustments'!$A30)</f>
        <v>0</v>
      </c>
      <c r="X30" s="310">
        <f t="shared" si="6"/>
        <v>0</v>
      </c>
      <c r="Y30" s="120">
        <f>'As-Filed Schedule 2L'!O30</f>
        <v>0</v>
      </c>
      <c r="Z30" s="314">
        <f>SUMIFS(Adjustments!$G:$G,Adjustments!$H:$H,"2L",Adjustments!$I:$I,'Schedule 2L Adjustments'!$Y$12,Adjustments!$J:$J,'Schedule 2L Adjustments'!$A30)</f>
        <v>0</v>
      </c>
      <c r="AA30" s="310">
        <f t="shared" si="7"/>
        <v>0</v>
      </c>
    </row>
    <row r="31" spans="1:27" x14ac:dyDescent="0.35">
      <c r="A31" s="24">
        <v>17</v>
      </c>
      <c r="B31" s="513" t="str">
        <f>IF('As-Filed Schedule 2L'!B31:D31=0,"",'As-Filed Schedule 2L'!B31:D31)</f>
        <v/>
      </c>
      <c r="C31" s="513"/>
      <c r="D31" s="513"/>
      <c r="F31" s="117">
        <f>'As-Filed Schedule 2L'!F31</f>
        <v>0</v>
      </c>
      <c r="G31" s="314">
        <f>SUMIFS(Adjustments!$G:$G,Adjustments!$H:$H,"2L",Adjustments!$I:$I,'Schedule 2L Adjustments'!$F$12,Adjustments!$J:$J,'Schedule 2L Adjustments'!$A31)</f>
        <v>0</v>
      </c>
      <c r="H31" s="310">
        <f t="shared" si="0"/>
        <v>0</v>
      </c>
      <c r="I31" s="68">
        <f>IFERROR(F31*'As-Filed Schedule 1'!$E$103,0)</f>
        <v>0</v>
      </c>
      <c r="J31" s="311">
        <f>IFERROR(H31*'Adjusted Schedule 1'!$E$104,0)</f>
        <v>0</v>
      </c>
      <c r="K31" s="68">
        <f t="shared" si="1"/>
        <v>0</v>
      </c>
      <c r="L31" s="311">
        <f t="shared" si="2"/>
        <v>0</v>
      </c>
      <c r="N31" s="117">
        <f>'As-Filed Schedule 2L'!J31</f>
        <v>0</v>
      </c>
      <c r="O31" s="314">
        <f>SUMIFS(Adjustments!$G:$G,Adjustments!$H:$H,"2L",Adjustments!$I:$I,'Schedule 2L Adjustments'!$N$12,Adjustments!$J:$J,'Schedule 2L Adjustments'!$A31)</f>
        <v>0</v>
      </c>
      <c r="P31" s="310">
        <f t="shared" si="3"/>
        <v>0</v>
      </c>
      <c r="Q31" s="68">
        <f>IFERROR(N31*'As-Filed Schedule 1'!$E$103,0)</f>
        <v>0</v>
      </c>
      <c r="R31" s="68">
        <f>IFERROR(P31*'Adjusted Schedule 1'!$E$104,0)</f>
        <v>0</v>
      </c>
      <c r="S31" s="68">
        <f t="shared" si="4"/>
        <v>0</v>
      </c>
      <c r="T31" s="311">
        <f t="shared" si="5"/>
        <v>0</v>
      </c>
      <c r="V31" s="120">
        <f>'As-Filed Schedule 2L'!N31</f>
        <v>0</v>
      </c>
      <c r="W31" s="314">
        <f>SUMIFS(Adjustments!$G:$G,Adjustments!$H:$H,"2L",Adjustments!$I:$I,'Schedule 2L Adjustments'!$V$12,Adjustments!$J:$J,'Schedule 2L Adjustments'!$A31)</f>
        <v>0</v>
      </c>
      <c r="X31" s="310">
        <f t="shared" si="6"/>
        <v>0</v>
      </c>
      <c r="Y31" s="120">
        <f>'As-Filed Schedule 2L'!O31</f>
        <v>0</v>
      </c>
      <c r="Z31" s="314">
        <f>SUMIFS(Adjustments!$G:$G,Adjustments!$H:$H,"2L",Adjustments!$I:$I,'Schedule 2L Adjustments'!$Y$12,Adjustments!$J:$J,'Schedule 2L Adjustments'!$A31)</f>
        <v>0</v>
      </c>
      <c r="AA31" s="310">
        <f t="shared" si="7"/>
        <v>0</v>
      </c>
    </row>
    <row r="32" spans="1:27" x14ac:dyDescent="0.35">
      <c r="A32" s="24">
        <v>18</v>
      </c>
      <c r="B32" s="513" t="str">
        <f>IF('As-Filed Schedule 2L'!B32:D32=0,"",'As-Filed Schedule 2L'!B32:D32)</f>
        <v/>
      </c>
      <c r="C32" s="513"/>
      <c r="D32" s="513"/>
      <c r="F32" s="117">
        <f>'As-Filed Schedule 2L'!F32</f>
        <v>0</v>
      </c>
      <c r="G32" s="314">
        <f>SUMIFS(Adjustments!$G:$G,Adjustments!$H:$H,"2L",Adjustments!$I:$I,'Schedule 2L Adjustments'!$F$12,Adjustments!$J:$J,'Schedule 2L Adjustments'!$A32)</f>
        <v>0</v>
      </c>
      <c r="H32" s="310">
        <f t="shared" si="0"/>
        <v>0</v>
      </c>
      <c r="I32" s="68">
        <f>IFERROR(F32*'As-Filed Schedule 1'!$E$103,0)</f>
        <v>0</v>
      </c>
      <c r="J32" s="311">
        <f>IFERROR(H32*'Adjusted Schedule 1'!$E$104,0)</f>
        <v>0</v>
      </c>
      <c r="K32" s="68">
        <f t="shared" si="1"/>
        <v>0</v>
      </c>
      <c r="L32" s="311">
        <f t="shared" si="2"/>
        <v>0</v>
      </c>
      <c r="N32" s="117">
        <f>'As-Filed Schedule 2L'!J32</f>
        <v>0</v>
      </c>
      <c r="O32" s="314">
        <f>SUMIFS(Adjustments!$G:$G,Adjustments!$H:$H,"2L",Adjustments!$I:$I,'Schedule 2L Adjustments'!$N$12,Adjustments!$J:$J,'Schedule 2L Adjustments'!$A32)</f>
        <v>0</v>
      </c>
      <c r="P32" s="310">
        <f t="shared" si="3"/>
        <v>0</v>
      </c>
      <c r="Q32" s="68">
        <f>IFERROR(N32*'As-Filed Schedule 1'!$E$103,0)</f>
        <v>0</v>
      </c>
      <c r="R32" s="68">
        <f>IFERROR(P32*'Adjusted Schedule 1'!$E$104,0)</f>
        <v>0</v>
      </c>
      <c r="S32" s="68">
        <f t="shared" si="4"/>
        <v>0</v>
      </c>
      <c r="T32" s="311">
        <f t="shared" si="5"/>
        <v>0</v>
      </c>
      <c r="V32" s="120">
        <f>'As-Filed Schedule 2L'!N32</f>
        <v>0</v>
      </c>
      <c r="W32" s="314">
        <f>SUMIFS(Adjustments!$G:$G,Adjustments!$H:$H,"2L",Adjustments!$I:$I,'Schedule 2L Adjustments'!$V$12,Adjustments!$J:$J,'Schedule 2L Adjustments'!$A32)</f>
        <v>0</v>
      </c>
      <c r="X32" s="310">
        <f t="shared" si="6"/>
        <v>0</v>
      </c>
      <c r="Y32" s="120">
        <f>'As-Filed Schedule 2L'!O32</f>
        <v>0</v>
      </c>
      <c r="Z32" s="314">
        <f>SUMIFS(Adjustments!$G:$G,Adjustments!$H:$H,"2L",Adjustments!$I:$I,'Schedule 2L Adjustments'!$Y$12,Adjustments!$J:$J,'Schedule 2L Adjustments'!$A32)</f>
        <v>0</v>
      </c>
      <c r="AA32" s="310">
        <f t="shared" si="7"/>
        <v>0</v>
      </c>
    </row>
    <row r="33" spans="1:27" x14ac:dyDescent="0.35">
      <c r="A33" s="24">
        <v>19</v>
      </c>
      <c r="B33" s="513" t="str">
        <f>IF('As-Filed Schedule 2L'!B33:D33=0,"",'As-Filed Schedule 2L'!B33:D33)</f>
        <v/>
      </c>
      <c r="C33" s="513"/>
      <c r="D33" s="513"/>
      <c r="F33" s="117">
        <f>'As-Filed Schedule 2L'!F33</f>
        <v>0</v>
      </c>
      <c r="G33" s="314">
        <f>SUMIFS(Adjustments!$G:$G,Adjustments!$H:$H,"2L",Adjustments!$I:$I,'Schedule 2L Adjustments'!$F$12,Adjustments!$J:$J,'Schedule 2L Adjustments'!$A33)</f>
        <v>0</v>
      </c>
      <c r="H33" s="310">
        <f t="shared" si="0"/>
        <v>0</v>
      </c>
      <c r="I33" s="68">
        <f>IFERROR(F33*'As-Filed Schedule 1'!$E$103,0)</f>
        <v>0</v>
      </c>
      <c r="J33" s="311">
        <f>IFERROR(H33*'Adjusted Schedule 1'!$E$104,0)</f>
        <v>0</v>
      </c>
      <c r="K33" s="68">
        <f t="shared" si="1"/>
        <v>0</v>
      </c>
      <c r="L33" s="311">
        <f t="shared" si="2"/>
        <v>0</v>
      </c>
      <c r="N33" s="117">
        <f>'As-Filed Schedule 2L'!J33</f>
        <v>0</v>
      </c>
      <c r="O33" s="314">
        <f>SUMIFS(Adjustments!$G:$G,Adjustments!$H:$H,"2L",Adjustments!$I:$I,'Schedule 2L Adjustments'!$N$12,Adjustments!$J:$J,'Schedule 2L Adjustments'!$A33)</f>
        <v>0</v>
      </c>
      <c r="P33" s="310">
        <f t="shared" si="3"/>
        <v>0</v>
      </c>
      <c r="Q33" s="68">
        <f>IFERROR(N33*'As-Filed Schedule 1'!$E$103,0)</f>
        <v>0</v>
      </c>
      <c r="R33" s="68">
        <f>IFERROR(P33*'Adjusted Schedule 1'!$E$104,0)</f>
        <v>0</v>
      </c>
      <c r="S33" s="68">
        <f t="shared" si="4"/>
        <v>0</v>
      </c>
      <c r="T33" s="311">
        <f t="shared" si="5"/>
        <v>0</v>
      </c>
      <c r="V33" s="120">
        <f>'As-Filed Schedule 2L'!N33</f>
        <v>0</v>
      </c>
      <c r="W33" s="314">
        <f>SUMIFS(Adjustments!$G:$G,Adjustments!$H:$H,"2L",Adjustments!$I:$I,'Schedule 2L Adjustments'!$V$12,Adjustments!$J:$J,'Schedule 2L Adjustments'!$A33)</f>
        <v>0</v>
      </c>
      <c r="X33" s="310">
        <f t="shared" si="6"/>
        <v>0</v>
      </c>
      <c r="Y33" s="120">
        <f>'As-Filed Schedule 2L'!O33</f>
        <v>0</v>
      </c>
      <c r="Z33" s="314">
        <f>SUMIFS(Adjustments!$G:$G,Adjustments!$H:$H,"2L",Adjustments!$I:$I,'Schedule 2L Adjustments'!$Y$12,Adjustments!$J:$J,'Schedule 2L Adjustments'!$A33)</f>
        <v>0</v>
      </c>
      <c r="AA33" s="310">
        <f t="shared" si="7"/>
        <v>0</v>
      </c>
    </row>
    <row r="34" spans="1:27" x14ac:dyDescent="0.35">
      <c r="A34" s="24">
        <v>20</v>
      </c>
      <c r="B34" s="513" t="str">
        <f>IF('As-Filed Schedule 2L'!B34:D34=0,"",'As-Filed Schedule 2L'!B34:D34)</f>
        <v/>
      </c>
      <c r="C34" s="513"/>
      <c r="D34" s="513"/>
      <c r="F34" s="117">
        <f>'As-Filed Schedule 2L'!F34</f>
        <v>0</v>
      </c>
      <c r="G34" s="314">
        <f>SUMIFS(Adjustments!$G:$G,Adjustments!$H:$H,"2L",Adjustments!$I:$I,'Schedule 2L Adjustments'!$F$12,Adjustments!$J:$J,'Schedule 2L Adjustments'!$A34)</f>
        <v>0</v>
      </c>
      <c r="H34" s="310">
        <f t="shared" si="0"/>
        <v>0</v>
      </c>
      <c r="I34" s="68">
        <f>IFERROR(F34*'As-Filed Schedule 1'!$E$103,0)</f>
        <v>0</v>
      </c>
      <c r="J34" s="311">
        <f>IFERROR(H34*'Adjusted Schedule 1'!$E$104,0)</f>
        <v>0</v>
      </c>
      <c r="K34" s="68">
        <f t="shared" si="1"/>
        <v>0</v>
      </c>
      <c r="L34" s="311">
        <f t="shared" si="2"/>
        <v>0</v>
      </c>
      <c r="N34" s="117">
        <f>'As-Filed Schedule 2L'!J34</f>
        <v>0</v>
      </c>
      <c r="O34" s="314">
        <f>SUMIFS(Adjustments!$G:$G,Adjustments!$H:$H,"2L",Adjustments!$I:$I,'Schedule 2L Adjustments'!$N$12,Adjustments!$J:$J,'Schedule 2L Adjustments'!$A34)</f>
        <v>0</v>
      </c>
      <c r="P34" s="310">
        <f t="shared" si="3"/>
        <v>0</v>
      </c>
      <c r="Q34" s="68">
        <f>IFERROR(N34*'As-Filed Schedule 1'!$E$103,0)</f>
        <v>0</v>
      </c>
      <c r="R34" s="68">
        <f>IFERROR(P34*'Adjusted Schedule 1'!$E$104,0)</f>
        <v>0</v>
      </c>
      <c r="S34" s="68">
        <f t="shared" si="4"/>
        <v>0</v>
      </c>
      <c r="T34" s="311">
        <f t="shared" si="5"/>
        <v>0</v>
      </c>
      <c r="V34" s="120">
        <f>'As-Filed Schedule 2L'!N34</f>
        <v>0</v>
      </c>
      <c r="W34" s="314">
        <f>SUMIFS(Adjustments!$G:$G,Adjustments!$H:$H,"2L",Adjustments!$I:$I,'Schedule 2L Adjustments'!$V$12,Adjustments!$J:$J,'Schedule 2L Adjustments'!$A34)</f>
        <v>0</v>
      </c>
      <c r="X34" s="310">
        <f t="shared" si="6"/>
        <v>0</v>
      </c>
      <c r="Y34" s="120">
        <f>'As-Filed Schedule 2L'!O34</f>
        <v>0</v>
      </c>
      <c r="Z34" s="314">
        <f>SUMIFS(Adjustments!$G:$G,Adjustments!$H:$H,"2L",Adjustments!$I:$I,'Schedule 2L Adjustments'!$Y$12,Adjustments!$J:$J,'Schedule 2L Adjustments'!$A34)</f>
        <v>0</v>
      </c>
      <c r="AA34" s="310">
        <f t="shared" si="7"/>
        <v>0</v>
      </c>
    </row>
    <row r="35" spans="1:27" x14ac:dyDescent="0.35">
      <c r="A35" s="24">
        <v>21</v>
      </c>
      <c r="B35" s="513" t="str">
        <f>IF('As-Filed Schedule 2L'!B35:D35=0,"",'As-Filed Schedule 2L'!B35:D35)</f>
        <v/>
      </c>
      <c r="C35" s="513"/>
      <c r="D35" s="513"/>
      <c r="F35" s="117">
        <f>'As-Filed Schedule 2L'!F35</f>
        <v>0</v>
      </c>
      <c r="G35" s="314">
        <f>SUMIFS(Adjustments!$G:$G,Adjustments!$H:$H,"2L",Adjustments!$I:$I,'Schedule 2L Adjustments'!$F$12,Adjustments!$J:$J,'Schedule 2L Adjustments'!$A35)</f>
        <v>0</v>
      </c>
      <c r="H35" s="310">
        <f t="shared" si="0"/>
        <v>0</v>
      </c>
      <c r="I35" s="68">
        <f>IFERROR(F35*'As-Filed Schedule 1'!$E$103,0)</f>
        <v>0</v>
      </c>
      <c r="J35" s="311">
        <f>IFERROR(H35*'Adjusted Schedule 1'!$E$104,0)</f>
        <v>0</v>
      </c>
      <c r="K35" s="68">
        <f t="shared" si="1"/>
        <v>0</v>
      </c>
      <c r="L35" s="311">
        <f t="shared" si="2"/>
        <v>0</v>
      </c>
      <c r="N35" s="117">
        <f>'As-Filed Schedule 2L'!J35</f>
        <v>0</v>
      </c>
      <c r="O35" s="314">
        <f>SUMIFS(Adjustments!$G:$G,Adjustments!$H:$H,"2L",Adjustments!$I:$I,'Schedule 2L Adjustments'!$N$12,Adjustments!$J:$J,'Schedule 2L Adjustments'!$A35)</f>
        <v>0</v>
      </c>
      <c r="P35" s="310">
        <f t="shared" si="3"/>
        <v>0</v>
      </c>
      <c r="Q35" s="68">
        <f>IFERROR(N35*'As-Filed Schedule 1'!$E$103,0)</f>
        <v>0</v>
      </c>
      <c r="R35" s="68">
        <f>IFERROR(P35*'Adjusted Schedule 1'!$E$104,0)</f>
        <v>0</v>
      </c>
      <c r="S35" s="68">
        <f t="shared" si="4"/>
        <v>0</v>
      </c>
      <c r="T35" s="311">
        <f t="shared" si="5"/>
        <v>0</v>
      </c>
      <c r="V35" s="120">
        <f>'As-Filed Schedule 2L'!N35</f>
        <v>0</v>
      </c>
      <c r="W35" s="314">
        <f>SUMIFS(Adjustments!$G:$G,Adjustments!$H:$H,"2L",Adjustments!$I:$I,'Schedule 2L Adjustments'!$V$12,Adjustments!$J:$J,'Schedule 2L Adjustments'!$A35)</f>
        <v>0</v>
      </c>
      <c r="X35" s="310">
        <f t="shared" si="6"/>
        <v>0</v>
      </c>
      <c r="Y35" s="120">
        <f>'As-Filed Schedule 2L'!O35</f>
        <v>0</v>
      </c>
      <c r="Z35" s="314">
        <f>SUMIFS(Adjustments!$G:$G,Adjustments!$H:$H,"2L",Adjustments!$I:$I,'Schedule 2L Adjustments'!$Y$12,Adjustments!$J:$J,'Schedule 2L Adjustments'!$A35)</f>
        <v>0</v>
      </c>
      <c r="AA35" s="310">
        <f t="shared" si="7"/>
        <v>0</v>
      </c>
    </row>
    <row r="36" spans="1:27" x14ac:dyDescent="0.35">
      <c r="A36" s="24">
        <v>22</v>
      </c>
      <c r="B36" s="513" t="str">
        <f>IF('As-Filed Schedule 2L'!B36:D36=0,"",'As-Filed Schedule 2L'!B36:D36)</f>
        <v/>
      </c>
      <c r="C36" s="513"/>
      <c r="D36" s="513"/>
      <c r="F36" s="117">
        <f>'As-Filed Schedule 2L'!F36</f>
        <v>0</v>
      </c>
      <c r="G36" s="314">
        <f>SUMIFS(Adjustments!$G:$G,Adjustments!$H:$H,"2L",Adjustments!$I:$I,'Schedule 2L Adjustments'!$F$12,Adjustments!$J:$J,'Schedule 2L Adjustments'!$A36)</f>
        <v>0</v>
      </c>
      <c r="H36" s="310">
        <f t="shared" si="0"/>
        <v>0</v>
      </c>
      <c r="I36" s="68">
        <f>IFERROR(F36*'As-Filed Schedule 1'!$E$103,0)</f>
        <v>0</v>
      </c>
      <c r="J36" s="311">
        <f>IFERROR(H36*'Adjusted Schedule 1'!$E$104,0)</f>
        <v>0</v>
      </c>
      <c r="K36" s="68">
        <f t="shared" si="1"/>
        <v>0</v>
      </c>
      <c r="L36" s="311">
        <f t="shared" si="2"/>
        <v>0</v>
      </c>
      <c r="N36" s="117">
        <f>'As-Filed Schedule 2L'!J36</f>
        <v>0</v>
      </c>
      <c r="O36" s="314">
        <f>SUMIFS(Adjustments!$G:$G,Adjustments!$H:$H,"2L",Adjustments!$I:$I,'Schedule 2L Adjustments'!$N$12,Adjustments!$J:$J,'Schedule 2L Adjustments'!$A36)</f>
        <v>0</v>
      </c>
      <c r="P36" s="310">
        <f t="shared" si="3"/>
        <v>0</v>
      </c>
      <c r="Q36" s="68">
        <f>IFERROR(N36*'As-Filed Schedule 1'!$E$103,0)</f>
        <v>0</v>
      </c>
      <c r="R36" s="68">
        <f>IFERROR(P36*'Adjusted Schedule 1'!$E$104,0)</f>
        <v>0</v>
      </c>
      <c r="S36" s="68">
        <f t="shared" si="4"/>
        <v>0</v>
      </c>
      <c r="T36" s="311">
        <f t="shared" si="5"/>
        <v>0</v>
      </c>
      <c r="V36" s="120">
        <f>'As-Filed Schedule 2L'!N36</f>
        <v>0</v>
      </c>
      <c r="W36" s="314">
        <f>SUMIFS(Adjustments!$G:$G,Adjustments!$H:$H,"2L",Adjustments!$I:$I,'Schedule 2L Adjustments'!$V$12,Adjustments!$J:$J,'Schedule 2L Adjustments'!$A36)</f>
        <v>0</v>
      </c>
      <c r="X36" s="310">
        <f t="shared" si="6"/>
        <v>0</v>
      </c>
      <c r="Y36" s="120">
        <f>'As-Filed Schedule 2L'!O36</f>
        <v>0</v>
      </c>
      <c r="Z36" s="314">
        <f>SUMIFS(Adjustments!$G:$G,Adjustments!$H:$H,"2L",Adjustments!$I:$I,'Schedule 2L Adjustments'!$Y$12,Adjustments!$J:$J,'Schedule 2L Adjustments'!$A36)</f>
        <v>0</v>
      </c>
      <c r="AA36" s="310">
        <f t="shared" si="7"/>
        <v>0</v>
      </c>
    </row>
    <row r="37" spans="1:27" x14ac:dyDescent="0.35">
      <c r="A37" s="24">
        <v>23</v>
      </c>
      <c r="B37" s="513" t="str">
        <f>IF('As-Filed Schedule 2L'!B37:D37=0,"",'As-Filed Schedule 2L'!B37:D37)</f>
        <v/>
      </c>
      <c r="C37" s="513"/>
      <c r="D37" s="513"/>
      <c r="F37" s="117">
        <f>'As-Filed Schedule 2L'!F37</f>
        <v>0</v>
      </c>
      <c r="G37" s="314">
        <f>SUMIFS(Adjustments!$G:$G,Adjustments!$H:$H,"2L",Adjustments!$I:$I,'Schedule 2L Adjustments'!$F$12,Adjustments!$J:$J,'Schedule 2L Adjustments'!$A37)</f>
        <v>0</v>
      </c>
      <c r="H37" s="310">
        <f t="shared" si="0"/>
        <v>0</v>
      </c>
      <c r="I37" s="68">
        <f>IFERROR(F37*'As-Filed Schedule 1'!$E$103,0)</f>
        <v>0</v>
      </c>
      <c r="J37" s="311">
        <f>IFERROR(H37*'Adjusted Schedule 1'!$E$104,0)</f>
        <v>0</v>
      </c>
      <c r="K37" s="68">
        <f t="shared" si="1"/>
        <v>0</v>
      </c>
      <c r="L37" s="311">
        <f t="shared" si="2"/>
        <v>0</v>
      </c>
      <c r="N37" s="117">
        <f>'As-Filed Schedule 2L'!J37</f>
        <v>0</v>
      </c>
      <c r="O37" s="314">
        <f>SUMIFS(Adjustments!$G:$G,Adjustments!$H:$H,"2L",Adjustments!$I:$I,'Schedule 2L Adjustments'!$N$12,Adjustments!$J:$J,'Schedule 2L Adjustments'!$A37)</f>
        <v>0</v>
      </c>
      <c r="P37" s="310">
        <f t="shared" si="3"/>
        <v>0</v>
      </c>
      <c r="Q37" s="68">
        <f>IFERROR(N37*'As-Filed Schedule 1'!$E$103,0)</f>
        <v>0</v>
      </c>
      <c r="R37" s="68">
        <f>IFERROR(P37*'Adjusted Schedule 1'!$E$104,0)</f>
        <v>0</v>
      </c>
      <c r="S37" s="68">
        <f t="shared" si="4"/>
        <v>0</v>
      </c>
      <c r="T37" s="311">
        <f t="shared" si="5"/>
        <v>0</v>
      </c>
      <c r="V37" s="120">
        <f>'As-Filed Schedule 2L'!N37</f>
        <v>0</v>
      </c>
      <c r="W37" s="314">
        <f>SUMIFS(Adjustments!$G:$G,Adjustments!$H:$H,"2L",Adjustments!$I:$I,'Schedule 2L Adjustments'!$V$12,Adjustments!$J:$J,'Schedule 2L Adjustments'!$A37)</f>
        <v>0</v>
      </c>
      <c r="X37" s="310">
        <f t="shared" si="6"/>
        <v>0</v>
      </c>
      <c r="Y37" s="120">
        <f>'As-Filed Schedule 2L'!O37</f>
        <v>0</v>
      </c>
      <c r="Z37" s="314">
        <f>SUMIFS(Adjustments!$G:$G,Adjustments!$H:$H,"2L",Adjustments!$I:$I,'Schedule 2L Adjustments'!$Y$12,Adjustments!$J:$J,'Schedule 2L Adjustments'!$A37)</f>
        <v>0</v>
      </c>
      <c r="AA37" s="310">
        <f t="shared" si="7"/>
        <v>0</v>
      </c>
    </row>
    <row r="38" spans="1:27" x14ac:dyDescent="0.35">
      <c r="A38" s="24">
        <v>24</v>
      </c>
      <c r="B38" s="513" t="str">
        <f>IF('As-Filed Schedule 2L'!B38:D38=0,"",'As-Filed Schedule 2L'!B38:D38)</f>
        <v/>
      </c>
      <c r="C38" s="513"/>
      <c r="D38" s="513"/>
      <c r="F38" s="117">
        <f>'As-Filed Schedule 2L'!F38</f>
        <v>0</v>
      </c>
      <c r="G38" s="314">
        <f>SUMIFS(Adjustments!$G:$G,Adjustments!$H:$H,"2L",Adjustments!$I:$I,'Schedule 2L Adjustments'!$F$12,Adjustments!$J:$J,'Schedule 2L Adjustments'!$A38)</f>
        <v>0</v>
      </c>
      <c r="H38" s="310">
        <f t="shared" si="0"/>
        <v>0</v>
      </c>
      <c r="I38" s="68">
        <f>IFERROR(F38*'As-Filed Schedule 1'!$E$103,0)</f>
        <v>0</v>
      </c>
      <c r="J38" s="311">
        <f>IFERROR(H38*'Adjusted Schedule 1'!$E$104,0)</f>
        <v>0</v>
      </c>
      <c r="K38" s="68">
        <f t="shared" si="1"/>
        <v>0</v>
      </c>
      <c r="L38" s="311">
        <f t="shared" si="2"/>
        <v>0</v>
      </c>
      <c r="N38" s="117">
        <f>'As-Filed Schedule 2L'!J38</f>
        <v>0</v>
      </c>
      <c r="O38" s="314">
        <f>SUMIFS(Adjustments!$G:$G,Adjustments!$H:$H,"2L",Adjustments!$I:$I,'Schedule 2L Adjustments'!$N$12,Adjustments!$J:$J,'Schedule 2L Adjustments'!$A38)</f>
        <v>0</v>
      </c>
      <c r="P38" s="310">
        <f t="shared" si="3"/>
        <v>0</v>
      </c>
      <c r="Q38" s="68">
        <f>IFERROR(N38*'As-Filed Schedule 1'!$E$103,0)</f>
        <v>0</v>
      </c>
      <c r="R38" s="68">
        <f>IFERROR(P38*'Adjusted Schedule 1'!$E$104,0)</f>
        <v>0</v>
      </c>
      <c r="S38" s="68">
        <f t="shared" si="4"/>
        <v>0</v>
      </c>
      <c r="T38" s="311">
        <f t="shared" si="5"/>
        <v>0</v>
      </c>
      <c r="V38" s="120">
        <f>'As-Filed Schedule 2L'!N38</f>
        <v>0</v>
      </c>
      <c r="W38" s="314">
        <f>SUMIFS(Adjustments!$G:$G,Adjustments!$H:$H,"2L",Adjustments!$I:$I,'Schedule 2L Adjustments'!$V$12,Adjustments!$J:$J,'Schedule 2L Adjustments'!$A38)</f>
        <v>0</v>
      </c>
      <c r="X38" s="310">
        <f t="shared" si="6"/>
        <v>0</v>
      </c>
      <c r="Y38" s="120">
        <f>'As-Filed Schedule 2L'!O38</f>
        <v>0</v>
      </c>
      <c r="Z38" s="314">
        <f>SUMIFS(Adjustments!$G:$G,Adjustments!$H:$H,"2L",Adjustments!$I:$I,'Schedule 2L Adjustments'!$Y$12,Adjustments!$J:$J,'Schedule 2L Adjustments'!$A38)</f>
        <v>0</v>
      </c>
      <c r="AA38" s="310">
        <f t="shared" si="7"/>
        <v>0</v>
      </c>
    </row>
    <row r="39" spans="1:27" x14ac:dyDescent="0.35">
      <c r="A39" s="24">
        <v>25</v>
      </c>
      <c r="B39" s="513" t="str">
        <f>IF('As-Filed Schedule 2L'!B39:D39=0,"",'As-Filed Schedule 2L'!B39:D39)</f>
        <v/>
      </c>
      <c r="C39" s="513"/>
      <c r="D39" s="513"/>
      <c r="F39" s="117">
        <f>'As-Filed Schedule 2L'!F39</f>
        <v>0</v>
      </c>
      <c r="G39" s="314">
        <f>SUMIFS(Adjustments!$G:$G,Adjustments!$H:$H,"2L",Adjustments!$I:$I,'Schedule 2L Adjustments'!$F$12,Adjustments!$J:$J,'Schedule 2L Adjustments'!$A39)</f>
        <v>0</v>
      </c>
      <c r="H39" s="310">
        <f t="shared" si="0"/>
        <v>0</v>
      </c>
      <c r="I39" s="68">
        <f>IFERROR(F39*'As-Filed Schedule 1'!$E$103,0)</f>
        <v>0</v>
      </c>
      <c r="J39" s="311">
        <f>IFERROR(H39*'Adjusted Schedule 1'!$E$104,0)</f>
        <v>0</v>
      </c>
      <c r="K39" s="68">
        <f t="shared" si="1"/>
        <v>0</v>
      </c>
      <c r="L39" s="311">
        <f t="shared" si="2"/>
        <v>0</v>
      </c>
      <c r="N39" s="117">
        <f>'As-Filed Schedule 2L'!J39</f>
        <v>0</v>
      </c>
      <c r="O39" s="314">
        <f>SUMIFS(Adjustments!$G:$G,Adjustments!$H:$H,"2L",Adjustments!$I:$I,'Schedule 2L Adjustments'!$N$12,Adjustments!$J:$J,'Schedule 2L Adjustments'!$A39)</f>
        <v>0</v>
      </c>
      <c r="P39" s="310">
        <f t="shared" si="3"/>
        <v>0</v>
      </c>
      <c r="Q39" s="68">
        <f>IFERROR(N39*'As-Filed Schedule 1'!$E$103,0)</f>
        <v>0</v>
      </c>
      <c r="R39" s="68">
        <f>IFERROR(P39*'Adjusted Schedule 1'!$E$104,0)</f>
        <v>0</v>
      </c>
      <c r="S39" s="68">
        <f t="shared" si="4"/>
        <v>0</v>
      </c>
      <c r="T39" s="311">
        <f t="shared" si="5"/>
        <v>0</v>
      </c>
      <c r="V39" s="120">
        <f>'As-Filed Schedule 2L'!N39</f>
        <v>0</v>
      </c>
      <c r="W39" s="314">
        <f>SUMIFS(Adjustments!$G:$G,Adjustments!$H:$H,"2L",Adjustments!$I:$I,'Schedule 2L Adjustments'!$V$12,Adjustments!$J:$J,'Schedule 2L Adjustments'!$A39)</f>
        <v>0</v>
      </c>
      <c r="X39" s="310">
        <f t="shared" si="6"/>
        <v>0</v>
      </c>
      <c r="Y39" s="120">
        <f>'As-Filed Schedule 2L'!O39</f>
        <v>0</v>
      </c>
      <c r="Z39" s="314">
        <f>SUMIFS(Adjustments!$G:$G,Adjustments!$H:$H,"2L",Adjustments!$I:$I,'Schedule 2L Adjustments'!$Y$12,Adjustments!$J:$J,'Schedule 2L Adjustments'!$A39)</f>
        <v>0</v>
      </c>
      <c r="AA39" s="310">
        <f t="shared" si="7"/>
        <v>0</v>
      </c>
    </row>
    <row r="40" spans="1:27" x14ac:dyDescent="0.35">
      <c r="A40" s="24">
        <v>26</v>
      </c>
      <c r="B40" s="513" t="str">
        <f>IF('As-Filed Schedule 2L'!B40:D40=0,"",'As-Filed Schedule 2L'!B40:D40)</f>
        <v/>
      </c>
      <c r="C40" s="513"/>
      <c r="D40" s="513"/>
      <c r="F40" s="117">
        <f>'As-Filed Schedule 2L'!F40</f>
        <v>0</v>
      </c>
      <c r="G40" s="314">
        <f>SUMIFS(Adjustments!$G:$G,Adjustments!$H:$H,"2L",Adjustments!$I:$I,'Schedule 2L Adjustments'!$F$12,Adjustments!$J:$J,'Schedule 2L Adjustments'!$A40)</f>
        <v>0</v>
      </c>
      <c r="H40" s="310">
        <f t="shared" si="0"/>
        <v>0</v>
      </c>
      <c r="I40" s="68">
        <f>IFERROR(F40*'As-Filed Schedule 1'!$E$103,0)</f>
        <v>0</v>
      </c>
      <c r="J40" s="311">
        <f>IFERROR(H40*'Adjusted Schedule 1'!$E$104,0)</f>
        <v>0</v>
      </c>
      <c r="K40" s="68">
        <f t="shared" si="1"/>
        <v>0</v>
      </c>
      <c r="L40" s="311">
        <f t="shared" si="2"/>
        <v>0</v>
      </c>
      <c r="N40" s="117">
        <f>'As-Filed Schedule 2L'!J40</f>
        <v>0</v>
      </c>
      <c r="O40" s="314">
        <f>SUMIFS(Adjustments!$G:$G,Adjustments!$H:$H,"2L",Adjustments!$I:$I,'Schedule 2L Adjustments'!$N$12,Adjustments!$J:$J,'Schedule 2L Adjustments'!$A40)</f>
        <v>0</v>
      </c>
      <c r="P40" s="310">
        <f t="shared" si="3"/>
        <v>0</v>
      </c>
      <c r="Q40" s="68">
        <f>IFERROR(N40*'As-Filed Schedule 1'!$E$103,0)</f>
        <v>0</v>
      </c>
      <c r="R40" s="68">
        <f>IFERROR(P40*'Adjusted Schedule 1'!$E$104,0)</f>
        <v>0</v>
      </c>
      <c r="S40" s="68">
        <f t="shared" si="4"/>
        <v>0</v>
      </c>
      <c r="T40" s="311">
        <f t="shared" si="5"/>
        <v>0</v>
      </c>
      <c r="V40" s="120">
        <f>'As-Filed Schedule 2L'!N40</f>
        <v>0</v>
      </c>
      <c r="W40" s="314">
        <f>SUMIFS(Adjustments!$G:$G,Adjustments!$H:$H,"2L",Adjustments!$I:$I,'Schedule 2L Adjustments'!$V$12,Adjustments!$J:$J,'Schedule 2L Adjustments'!$A40)</f>
        <v>0</v>
      </c>
      <c r="X40" s="310">
        <f t="shared" si="6"/>
        <v>0</v>
      </c>
      <c r="Y40" s="120">
        <f>'As-Filed Schedule 2L'!O40</f>
        <v>0</v>
      </c>
      <c r="Z40" s="314">
        <f>SUMIFS(Adjustments!$G:$G,Adjustments!$H:$H,"2L",Adjustments!$I:$I,'Schedule 2L Adjustments'!$Y$12,Adjustments!$J:$J,'Schedule 2L Adjustments'!$A40)</f>
        <v>0</v>
      </c>
      <c r="AA40" s="310">
        <f t="shared" si="7"/>
        <v>0</v>
      </c>
    </row>
    <row r="41" spans="1:27" x14ac:dyDescent="0.35">
      <c r="A41" s="24">
        <v>27</v>
      </c>
      <c r="B41" s="513" t="str">
        <f>IF('As-Filed Schedule 2L'!B41:D41=0,"",'As-Filed Schedule 2L'!B41:D41)</f>
        <v/>
      </c>
      <c r="C41" s="513"/>
      <c r="D41" s="513"/>
      <c r="F41" s="117">
        <f>'As-Filed Schedule 2L'!F41</f>
        <v>0</v>
      </c>
      <c r="G41" s="314">
        <f>SUMIFS(Adjustments!$G:$G,Adjustments!$H:$H,"2L",Adjustments!$I:$I,'Schedule 2L Adjustments'!$F$12,Adjustments!$J:$J,'Schedule 2L Adjustments'!$A41)</f>
        <v>0</v>
      </c>
      <c r="H41" s="310">
        <f t="shared" si="0"/>
        <v>0</v>
      </c>
      <c r="I41" s="68">
        <f>IFERROR(F41*'As-Filed Schedule 1'!$E$103,0)</f>
        <v>0</v>
      </c>
      <c r="J41" s="311">
        <f>IFERROR(H41*'Adjusted Schedule 1'!$E$104,0)</f>
        <v>0</v>
      </c>
      <c r="K41" s="68">
        <f t="shared" si="1"/>
        <v>0</v>
      </c>
      <c r="L41" s="311">
        <f t="shared" si="2"/>
        <v>0</v>
      </c>
      <c r="N41" s="117">
        <f>'As-Filed Schedule 2L'!J41</f>
        <v>0</v>
      </c>
      <c r="O41" s="314">
        <f>SUMIFS(Adjustments!$G:$G,Adjustments!$H:$H,"2L",Adjustments!$I:$I,'Schedule 2L Adjustments'!$N$12,Adjustments!$J:$J,'Schedule 2L Adjustments'!$A41)</f>
        <v>0</v>
      </c>
      <c r="P41" s="310">
        <f t="shared" si="3"/>
        <v>0</v>
      </c>
      <c r="Q41" s="68">
        <f>IFERROR(N41*'As-Filed Schedule 1'!$E$103,0)</f>
        <v>0</v>
      </c>
      <c r="R41" s="68">
        <f>IFERROR(P41*'Adjusted Schedule 1'!$E$104,0)</f>
        <v>0</v>
      </c>
      <c r="S41" s="68">
        <f t="shared" si="4"/>
        <v>0</v>
      </c>
      <c r="T41" s="311">
        <f t="shared" si="5"/>
        <v>0</v>
      </c>
      <c r="V41" s="120">
        <f>'As-Filed Schedule 2L'!N41</f>
        <v>0</v>
      </c>
      <c r="W41" s="314">
        <f>SUMIFS(Adjustments!$G:$G,Adjustments!$H:$H,"2L",Adjustments!$I:$I,'Schedule 2L Adjustments'!$V$12,Adjustments!$J:$J,'Schedule 2L Adjustments'!$A41)</f>
        <v>0</v>
      </c>
      <c r="X41" s="310">
        <f t="shared" si="6"/>
        <v>0</v>
      </c>
      <c r="Y41" s="120">
        <f>'As-Filed Schedule 2L'!O41</f>
        <v>0</v>
      </c>
      <c r="Z41" s="314">
        <f>SUMIFS(Adjustments!$G:$G,Adjustments!$H:$H,"2L",Adjustments!$I:$I,'Schedule 2L Adjustments'!$Y$12,Adjustments!$J:$J,'Schedule 2L Adjustments'!$A41)</f>
        <v>0</v>
      </c>
      <c r="AA41" s="310">
        <f t="shared" si="7"/>
        <v>0</v>
      </c>
    </row>
    <row r="42" spans="1:27" x14ac:dyDescent="0.35">
      <c r="A42" s="24">
        <v>28</v>
      </c>
      <c r="B42" s="513" t="str">
        <f>IF('As-Filed Schedule 2L'!B42:D42=0,"",'As-Filed Schedule 2L'!B42:D42)</f>
        <v/>
      </c>
      <c r="C42" s="513"/>
      <c r="D42" s="513"/>
      <c r="F42" s="117">
        <f>'As-Filed Schedule 2L'!F42</f>
        <v>0</v>
      </c>
      <c r="G42" s="314">
        <f>SUMIFS(Adjustments!$G:$G,Adjustments!$H:$H,"2L",Adjustments!$I:$I,'Schedule 2L Adjustments'!$F$12,Adjustments!$J:$J,'Schedule 2L Adjustments'!$A42)</f>
        <v>0</v>
      </c>
      <c r="H42" s="310">
        <f t="shared" si="0"/>
        <v>0</v>
      </c>
      <c r="I42" s="68">
        <f>IFERROR(F42*'As-Filed Schedule 1'!$E$103,0)</f>
        <v>0</v>
      </c>
      <c r="J42" s="311">
        <f>IFERROR(H42*'Adjusted Schedule 1'!$E$104,0)</f>
        <v>0</v>
      </c>
      <c r="K42" s="68">
        <f t="shared" si="1"/>
        <v>0</v>
      </c>
      <c r="L42" s="311">
        <f t="shared" si="2"/>
        <v>0</v>
      </c>
      <c r="N42" s="117">
        <f>'As-Filed Schedule 2L'!J42</f>
        <v>0</v>
      </c>
      <c r="O42" s="314">
        <f>SUMIFS(Adjustments!$G:$G,Adjustments!$H:$H,"2L",Adjustments!$I:$I,'Schedule 2L Adjustments'!$N$12,Adjustments!$J:$J,'Schedule 2L Adjustments'!$A42)</f>
        <v>0</v>
      </c>
      <c r="P42" s="310">
        <f t="shared" si="3"/>
        <v>0</v>
      </c>
      <c r="Q42" s="68">
        <f>IFERROR(N42*'As-Filed Schedule 1'!$E$103,0)</f>
        <v>0</v>
      </c>
      <c r="R42" s="68">
        <f>IFERROR(P42*'Adjusted Schedule 1'!$E$104,0)</f>
        <v>0</v>
      </c>
      <c r="S42" s="68">
        <f t="shared" si="4"/>
        <v>0</v>
      </c>
      <c r="T42" s="311">
        <f t="shared" si="5"/>
        <v>0</v>
      </c>
      <c r="V42" s="120">
        <f>'As-Filed Schedule 2L'!N42</f>
        <v>0</v>
      </c>
      <c r="W42" s="314">
        <f>SUMIFS(Adjustments!$G:$G,Adjustments!$H:$H,"2L",Adjustments!$I:$I,'Schedule 2L Adjustments'!$V$12,Adjustments!$J:$J,'Schedule 2L Adjustments'!$A42)</f>
        <v>0</v>
      </c>
      <c r="X42" s="310">
        <f t="shared" si="6"/>
        <v>0</v>
      </c>
      <c r="Y42" s="120">
        <f>'As-Filed Schedule 2L'!O42</f>
        <v>0</v>
      </c>
      <c r="Z42" s="314">
        <f>SUMIFS(Adjustments!$G:$G,Adjustments!$H:$H,"2L",Adjustments!$I:$I,'Schedule 2L Adjustments'!$Y$12,Adjustments!$J:$J,'Schedule 2L Adjustments'!$A42)</f>
        <v>0</v>
      </c>
      <c r="AA42" s="310">
        <f t="shared" si="7"/>
        <v>0</v>
      </c>
    </row>
    <row r="43" spans="1:27" x14ac:dyDescent="0.35">
      <c r="A43" s="24">
        <v>29</v>
      </c>
      <c r="B43" s="513" t="str">
        <f>IF('As-Filed Schedule 2L'!B43:D43=0,"",'As-Filed Schedule 2L'!B43:D43)</f>
        <v/>
      </c>
      <c r="C43" s="513"/>
      <c r="D43" s="513"/>
      <c r="F43" s="117">
        <f>'As-Filed Schedule 2L'!F43</f>
        <v>0</v>
      </c>
      <c r="G43" s="314">
        <f>SUMIFS(Adjustments!$G:$G,Adjustments!$H:$H,"2L",Adjustments!$I:$I,'Schedule 2L Adjustments'!$F$12,Adjustments!$J:$J,'Schedule 2L Adjustments'!$A43)</f>
        <v>0</v>
      </c>
      <c r="H43" s="310">
        <f t="shared" si="0"/>
        <v>0</v>
      </c>
      <c r="I43" s="68">
        <f>IFERROR(F43*'As-Filed Schedule 1'!$E$103,0)</f>
        <v>0</v>
      </c>
      <c r="J43" s="311">
        <f>IFERROR(H43*'Adjusted Schedule 1'!$E$104,0)</f>
        <v>0</v>
      </c>
      <c r="K43" s="68">
        <f t="shared" si="1"/>
        <v>0</v>
      </c>
      <c r="L43" s="311">
        <f t="shared" si="2"/>
        <v>0</v>
      </c>
      <c r="N43" s="117">
        <f>'As-Filed Schedule 2L'!J43</f>
        <v>0</v>
      </c>
      <c r="O43" s="314">
        <f>SUMIFS(Adjustments!$G:$G,Adjustments!$H:$H,"2L",Adjustments!$I:$I,'Schedule 2L Adjustments'!$N$12,Adjustments!$J:$J,'Schedule 2L Adjustments'!$A43)</f>
        <v>0</v>
      </c>
      <c r="P43" s="310">
        <f t="shared" si="3"/>
        <v>0</v>
      </c>
      <c r="Q43" s="68">
        <f>IFERROR(N43*'As-Filed Schedule 1'!$E$103,0)</f>
        <v>0</v>
      </c>
      <c r="R43" s="68">
        <f>IFERROR(P43*'Adjusted Schedule 1'!$E$104,0)</f>
        <v>0</v>
      </c>
      <c r="S43" s="68">
        <f t="shared" si="4"/>
        <v>0</v>
      </c>
      <c r="T43" s="311">
        <f t="shared" si="5"/>
        <v>0</v>
      </c>
      <c r="V43" s="120">
        <f>'As-Filed Schedule 2L'!N43</f>
        <v>0</v>
      </c>
      <c r="W43" s="314">
        <f>SUMIFS(Adjustments!$G:$G,Adjustments!$H:$H,"2L",Adjustments!$I:$I,'Schedule 2L Adjustments'!$V$12,Adjustments!$J:$J,'Schedule 2L Adjustments'!$A43)</f>
        <v>0</v>
      </c>
      <c r="X43" s="310">
        <f t="shared" si="6"/>
        <v>0</v>
      </c>
      <c r="Y43" s="120">
        <f>'As-Filed Schedule 2L'!O43</f>
        <v>0</v>
      </c>
      <c r="Z43" s="314">
        <f>SUMIFS(Adjustments!$G:$G,Adjustments!$H:$H,"2L",Adjustments!$I:$I,'Schedule 2L Adjustments'!$Y$12,Adjustments!$J:$J,'Schedule 2L Adjustments'!$A43)</f>
        <v>0</v>
      </c>
      <c r="AA43" s="310">
        <f t="shared" si="7"/>
        <v>0</v>
      </c>
    </row>
    <row r="44" spans="1:27" x14ac:dyDescent="0.35">
      <c r="A44" s="24">
        <v>30</v>
      </c>
      <c r="B44" s="513" t="str">
        <f>IF('As-Filed Schedule 2L'!B44:D44=0,"",'As-Filed Schedule 2L'!B44:D44)</f>
        <v/>
      </c>
      <c r="C44" s="513"/>
      <c r="D44" s="513"/>
      <c r="F44" s="117">
        <f>'As-Filed Schedule 2L'!F44</f>
        <v>0</v>
      </c>
      <c r="G44" s="314">
        <f>SUMIFS(Adjustments!$G:$G,Adjustments!$H:$H,"2L",Adjustments!$I:$I,'Schedule 2L Adjustments'!$F$12,Adjustments!$J:$J,'Schedule 2L Adjustments'!$A44)</f>
        <v>0</v>
      </c>
      <c r="H44" s="310">
        <f t="shared" si="0"/>
        <v>0</v>
      </c>
      <c r="I44" s="68">
        <f>IFERROR(F44*'As-Filed Schedule 1'!$E$103,0)</f>
        <v>0</v>
      </c>
      <c r="J44" s="311">
        <f>IFERROR(H44*'Adjusted Schedule 1'!$E$104,0)</f>
        <v>0</v>
      </c>
      <c r="K44" s="68">
        <f t="shared" si="1"/>
        <v>0</v>
      </c>
      <c r="L44" s="311">
        <f t="shared" si="2"/>
        <v>0</v>
      </c>
      <c r="N44" s="117">
        <f>'As-Filed Schedule 2L'!J44</f>
        <v>0</v>
      </c>
      <c r="O44" s="314">
        <f>SUMIFS(Adjustments!$G:$G,Adjustments!$H:$H,"2L",Adjustments!$I:$I,'Schedule 2L Adjustments'!$N$12,Adjustments!$J:$J,'Schedule 2L Adjustments'!$A44)</f>
        <v>0</v>
      </c>
      <c r="P44" s="310">
        <f t="shared" si="3"/>
        <v>0</v>
      </c>
      <c r="Q44" s="68">
        <f>IFERROR(N44*'As-Filed Schedule 1'!$E$103,0)</f>
        <v>0</v>
      </c>
      <c r="R44" s="68">
        <f>IFERROR(P44*'Adjusted Schedule 1'!$E$104,0)</f>
        <v>0</v>
      </c>
      <c r="S44" s="68">
        <f t="shared" si="4"/>
        <v>0</v>
      </c>
      <c r="T44" s="311">
        <f t="shared" si="5"/>
        <v>0</v>
      </c>
      <c r="V44" s="120">
        <f>'As-Filed Schedule 2L'!N44</f>
        <v>0</v>
      </c>
      <c r="W44" s="314">
        <f>SUMIFS(Adjustments!$G:$G,Adjustments!$H:$H,"2L",Adjustments!$I:$I,'Schedule 2L Adjustments'!$V$12,Adjustments!$J:$J,'Schedule 2L Adjustments'!$A44)</f>
        <v>0</v>
      </c>
      <c r="X44" s="310">
        <f t="shared" si="6"/>
        <v>0</v>
      </c>
      <c r="Y44" s="120">
        <f>'As-Filed Schedule 2L'!O44</f>
        <v>0</v>
      </c>
      <c r="Z44" s="314">
        <f>SUMIFS(Adjustments!$G:$G,Adjustments!$H:$H,"2L",Adjustments!$I:$I,'Schedule 2L Adjustments'!$Y$12,Adjustments!$J:$J,'Schedule 2L Adjustments'!$A44)</f>
        <v>0</v>
      </c>
      <c r="AA44" s="310">
        <f t="shared" si="7"/>
        <v>0</v>
      </c>
    </row>
    <row r="45" spans="1:27" x14ac:dyDescent="0.35">
      <c r="A45" s="24">
        <v>31</v>
      </c>
      <c r="B45" s="513" t="str">
        <f>IF('As-Filed Schedule 2L'!B45:D45=0,"",'As-Filed Schedule 2L'!B45:D45)</f>
        <v/>
      </c>
      <c r="C45" s="513"/>
      <c r="D45" s="513"/>
      <c r="F45" s="117">
        <f>'As-Filed Schedule 2L'!F45</f>
        <v>0</v>
      </c>
      <c r="G45" s="314">
        <f>SUMIFS(Adjustments!$G:$G,Adjustments!$H:$H,"2L",Adjustments!$I:$I,'Schedule 2L Adjustments'!$F$12,Adjustments!$J:$J,'Schedule 2L Adjustments'!$A45)</f>
        <v>0</v>
      </c>
      <c r="H45" s="310">
        <f t="shared" si="0"/>
        <v>0</v>
      </c>
      <c r="I45" s="68">
        <f>IFERROR(F45*'As-Filed Schedule 1'!$E$103,0)</f>
        <v>0</v>
      </c>
      <c r="J45" s="311">
        <f>IFERROR(H45*'Adjusted Schedule 1'!$E$104,0)</f>
        <v>0</v>
      </c>
      <c r="K45" s="68">
        <f t="shared" si="1"/>
        <v>0</v>
      </c>
      <c r="L45" s="311">
        <f t="shared" si="2"/>
        <v>0</v>
      </c>
      <c r="N45" s="117">
        <f>'As-Filed Schedule 2L'!J45</f>
        <v>0</v>
      </c>
      <c r="O45" s="314">
        <f>SUMIFS(Adjustments!$G:$G,Adjustments!$H:$H,"2L",Adjustments!$I:$I,'Schedule 2L Adjustments'!$N$12,Adjustments!$J:$J,'Schedule 2L Adjustments'!$A45)</f>
        <v>0</v>
      </c>
      <c r="P45" s="310">
        <f t="shared" si="3"/>
        <v>0</v>
      </c>
      <c r="Q45" s="68">
        <f>IFERROR(N45*'As-Filed Schedule 1'!$E$103,0)</f>
        <v>0</v>
      </c>
      <c r="R45" s="68">
        <f>IFERROR(P45*'Adjusted Schedule 1'!$E$104,0)</f>
        <v>0</v>
      </c>
      <c r="S45" s="68">
        <f t="shared" si="4"/>
        <v>0</v>
      </c>
      <c r="T45" s="311">
        <f t="shared" si="5"/>
        <v>0</v>
      </c>
      <c r="V45" s="120">
        <f>'As-Filed Schedule 2L'!N45</f>
        <v>0</v>
      </c>
      <c r="W45" s="314">
        <f>SUMIFS(Adjustments!$G:$G,Adjustments!$H:$H,"2L",Adjustments!$I:$I,'Schedule 2L Adjustments'!$V$12,Adjustments!$J:$J,'Schedule 2L Adjustments'!$A45)</f>
        <v>0</v>
      </c>
      <c r="X45" s="310">
        <f t="shared" si="6"/>
        <v>0</v>
      </c>
      <c r="Y45" s="120">
        <f>'As-Filed Schedule 2L'!O45</f>
        <v>0</v>
      </c>
      <c r="Z45" s="314">
        <f>SUMIFS(Adjustments!$G:$G,Adjustments!$H:$H,"2L",Adjustments!$I:$I,'Schedule 2L Adjustments'!$Y$12,Adjustments!$J:$J,'Schedule 2L Adjustments'!$A45)</f>
        <v>0</v>
      </c>
      <c r="AA45" s="310">
        <f t="shared" si="7"/>
        <v>0</v>
      </c>
    </row>
    <row r="46" spans="1:27" x14ac:dyDescent="0.35">
      <c r="A46" s="24">
        <v>32</v>
      </c>
      <c r="B46" s="513" t="str">
        <f>IF('As-Filed Schedule 2L'!B46:D46=0,"",'As-Filed Schedule 2L'!B46:D46)</f>
        <v/>
      </c>
      <c r="C46" s="513"/>
      <c r="D46" s="513"/>
      <c r="F46" s="117">
        <f>'As-Filed Schedule 2L'!F46</f>
        <v>0</v>
      </c>
      <c r="G46" s="314">
        <f>SUMIFS(Adjustments!$G:$G,Adjustments!$H:$H,"2L",Adjustments!$I:$I,'Schedule 2L Adjustments'!$F$12,Adjustments!$J:$J,'Schedule 2L Adjustments'!$A46)</f>
        <v>0</v>
      </c>
      <c r="H46" s="310">
        <f t="shared" si="0"/>
        <v>0</v>
      </c>
      <c r="I46" s="68">
        <f>IFERROR(F46*'As-Filed Schedule 1'!$E$103,0)</f>
        <v>0</v>
      </c>
      <c r="J46" s="311">
        <f>IFERROR(H46*'Adjusted Schedule 1'!$E$104,0)</f>
        <v>0</v>
      </c>
      <c r="K46" s="68">
        <f t="shared" si="1"/>
        <v>0</v>
      </c>
      <c r="L46" s="311">
        <f t="shared" si="2"/>
        <v>0</v>
      </c>
      <c r="N46" s="117">
        <f>'As-Filed Schedule 2L'!J46</f>
        <v>0</v>
      </c>
      <c r="O46" s="314">
        <f>SUMIFS(Adjustments!$G:$G,Adjustments!$H:$H,"2L",Adjustments!$I:$I,'Schedule 2L Adjustments'!$N$12,Adjustments!$J:$J,'Schedule 2L Adjustments'!$A46)</f>
        <v>0</v>
      </c>
      <c r="P46" s="310">
        <f t="shared" si="3"/>
        <v>0</v>
      </c>
      <c r="Q46" s="68">
        <f>IFERROR(N46*'As-Filed Schedule 1'!$E$103,0)</f>
        <v>0</v>
      </c>
      <c r="R46" s="68">
        <f>IFERROR(P46*'Adjusted Schedule 1'!$E$104,0)</f>
        <v>0</v>
      </c>
      <c r="S46" s="68">
        <f t="shared" si="4"/>
        <v>0</v>
      </c>
      <c r="T46" s="311">
        <f t="shared" si="5"/>
        <v>0</v>
      </c>
      <c r="V46" s="120">
        <f>'As-Filed Schedule 2L'!N46</f>
        <v>0</v>
      </c>
      <c r="W46" s="314">
        <f>SUMIFS(Adjustments!$G:$G,Adjustments!$H:$H,"2L",Adjustments!$I:$I,'Schedule 2L Adjustments'!$V$12,Adjustments!$J:$J,'Schedule 2L Adjustments'!$A46)</f>
        <v>0</v>
      </c>
      <c r="X46" s="310">
        <f t="shared" si="6"/>
        <v>0</v>
      </c>
      <c r="Y46" s="120">
        <f>'As-Filed Schedule 2L'!O46</f>
        <v>0</v>
      </c>
      <c r="Z46" s="314">
        <f>SUMIFS(Adjustments!$G:$G,Adjustments!$H:$H,"2L",Adjustments!$I:$I,'Schedule 2L Adjustments'!$Y$12,Adjustments!$J:$J,'Schedule 2L Adjustments'!$A46)</f>
        <v>0</v>
      </c>
      <c r="AA46" s="310">
        <f t="shared" si="7"/>
        <v>0</v>
      </c>
    </row>
    <row r="47" spans="1:27" x14ac:dyDescent="0.35">
      <c r="A47" s="24">
        <v>33</v>
      </c>
      <c r="B47" s="513" t="str">
        <f>IF('As-Filed Schedule 2L'!B47:D47=0,"",'As-Filed Schedule 2L'!B47:D47)</f>
        <v/>
      </c>
      <c r="C47" s="513"/>
      <c r="D47" s="513"/>
      <c r="F47" s="117">
        <f>'As-Filed Schedule 2L'!F47</f>
        <v>0</v>
      </c>
      <c r="G47" s="314">
        <f>SUMIFS(Adjustments!$G:$G,Adjustments!$H:$H,"2L",Adjustments!$I:$I,'Schedule 2L Adjustments'!$F$12,Adjustments!$J:$J,'Schedule 2L Adjustments'!$A47)</f>
        <v>0</v>
      </c>
      <c r="H47" s="310">
        <f t="shared" si="0"/>
        <v>0</v>
      </c>
      <c r="I47" s="68">
        <f>IFERROR(F47*'As-Filed Schedule 1'!$E$103,0)</f>
        <v>0</v>
      </c>
      <c r="J47" s="311">
        <f>IFERROR(H47*'Adjusted Schedule 1'!$E$104,0)</f>
        <v>0</v>
      </c>
      <c r="K47" s="68">
        <f t="shared" si="1"/>
        <v>0</v>
      </c>
      <c r="L47" s="311">
        <f t="shared" si="2"/>
        <v>0</v>
      </c>
      <c r="N47" s="117">
        <f>'As-Filed Schedule 2L'!J47</f>
        <v>0</v>
      </c>
      <c r="O47" s="314">
        <f>SUMIFS(Adjustments!$G:$G,Adjustments!$H:$H,"2L",Adjustments!$I:$I,'Schedule 2L Adjustments'!$N$12,Adjustments!$J:$J,'Schedule 2L Adjustments'!$A47)</f>
        <v>0</v>
      </c>
      <c r="P47" s="310">
        <f t="shared" si="3"/>
        <v>0</v>
      </c>
      <c r="Q47" s="68">
        <f>IFERROR(N47*'As-Filed Schedule 1'!$E$103,0)</f>
        <v>0</v>
      </c>
      <c r="R47" s="68">
        <f>IFERROR(P47*'Adjusted Schedule 1'!$E$104,0)</f>
        <v>0</v>
      </c>
      <c r="S47" s="68">
        <f t="shared" si="4"/>
        <v>0</v>
      </c>
      <c r="T47" s="311">
        <f t="shared" si="5"/>
        <v>0</v>
      </c>
      <c r="V47" s="120">
        <f>'As-Filed Schedule 2L'!N47</f>
        <v>0</v>
      </c>
      <c r="W47" s="314">
        <f>SUMIFS(Adjustments!$G:$G,Adjustments!$H:$H,"2L",Adjustments!$I:$I,'Schedule 2L Adjustments'!$V$12,Adjustments!$J:$J,'Schedule 2L Adjustments'!$A47)</f>
        <v>0</v>
      </c>
      <c r="X47" s="310">
        <f t="shared" si="6"/>
        <v>0</v>
      </c>
      <c r="Y47" s="120">
        <f>'As-Filed Schedule 2L'!O47</f>
        <v>0</v>
      </c>
      <c r="Z47" s="314">
        <f>SUMIFS(Adjustments!$G:$G,Adjustments!$H:$H,"2L",Adjustments!$I:$I,'Schedule 2L Adjustments'!$Y$12,Adjustments!$J:$J,'Schedule 2L Adjustments'!$A47)</f>
        <v>0</v>
      </c>
      <c r="AA47" s="310">
        <f t="shared" si="7"/>
        <v>0</v>
      </c>
    </row>
    <row r="48" spans="1:27" x14ac:dyDescent="0.35">
      <c r="A48" s="24">
        <v>34</v>
      </c>
      <c r="B48" s="513" t="str">
        <f>IF('As-Filed Schedule 2L'!B48:D48=0,"",'As-Filed Schedule 2L'!B48:D48)</f>
        <v/>
      </c>
      <c r="C48" s="513"/>
      <c r="D48" s="513"/>
      <c r="F48" s="117">
        <f>'As-Filed Schedule 2L'!F48</f>
        <v>0</v>
      </c>
      <c r="G48" s="314">
        <f>SUMIFS(Adjustments!$G:$G,Adjustments!$H:$H,"2L",Adjustments!$I:$I,'Schedule 2L Adjustments'!$F$12,Adjustments!$J:$J,'Schedule 2L Adjustments'!$A48)</f>
        <v>0</v>
      </c>
      <c r="H48" s="310">
        <f t="shared" si="0"/>
        <v>0</v>
      </c>
      <c r="I48" s="68">
        <f>IFERROR(F48*'As-Filed Schedule 1'!$E$103,0)</f>
        <v>0</v>
      </c>
      <c r="J48" s="311">
        <f>IFERROR(H48*'Adjusted Schedule 1'!$E$104,0)</f>
        <v>0</v>
      </c>
      <c r="K48" s="68">
        <f t="shared" si="1"/>
        <v>0</v>
      </c>
      <c r="L48" s="311">
        <f t="shared" si="2"/>
        <v>0</v>
      </c>
      <c r="N48" s="117">
        <f>'As-Filed Schedule 2L'!J48</f>
        <v>0</v>
      </c>
      <c r="O48" s="314">
        <f>SUMIFS(Adjustments!$G:$G,Adjustments!$H:$H,"2L",Adjustments!$I:$I,'Schedule 2L Adjustments'!$N$12,Adjustments!$J:$J,'Schedule 2L Adjustments'!$A48)</f>
        <v>0</v>
      </c>
      <c r="P48" s="310">
        <f t="shared" si="3"/>
        <v>0</v>
      </c>
      <c r="Q48" s="68">
        <f>IFERROR(N48*'As-Filed Schedule 1'!$E$103,0)</f>
        <v>0</v>
      </c>
      <c r="R48" s="68">
        <f>IFERROR(P48*'Adjusted Schedule 1'!$E$104,0)</f>
        <v>0</v>
      </c>
      <c r="S48" s="68">
        <f t="shared" si="4"/>
        <v>0</v>
      </c>
      <c r="T48" s="311">
        <f t="shared" si="5"/>
        <v>0</v>
      </c>
      <c r="V48" s="120">
        <f>'As-Filed Schedule 2L'!N48</f>
        <v>0</v>
      </c>
      <c r="W48" s="314">
        <f>SUMIFS(Adjustments!$G:$G,Adjustments!$H:$H,"2L",Adjustments!$I:$I,'Schedule 2L Adjustments'!$V$12,Adjustments!$J:$J,'Schedule 2L Adjustments'!$A48)</f>
        <v>0</v>
      </c>
      <c r="X48" s="310">
        <f t="shared" si="6"/>
        <v>0</v>
      </c>
      <c r="Y48" s="120">
        <f>'As-Filed Schedule 2L'!O48</f>
        <v>0</v>
      </c>
      <c r="Z48" s="314">
        <f>SUMIFS(Adjustments!$G:$G,Adjustments!$H:$H,"2L",Adjustments!$I:$I,'Schedule 2L Adjustments'!$Y$12,Adjustments!$J:$J,'Schedule 2L Adjustments'!$A48)</f>
        <v>0</v>
      </c>
      <c r="AA48" s="310">
        <f t="shared" si="7"/>
        <v>0</v>
      </c>
    </row>
    <row r="49" spans="1:27" x14ac:dyDescent="0.35">
      <c r="A49" s="24">
        <v>35</v>
      </c>
      <c r="B49" s="513" t="str">
        <f>IF('As-Filed Schedule 2L'!B49:D49=0,"",'As-Filed Schedule 2L'!B49:D49)</f>
        <v/>
      </c>
      <c r="C49" s="513"/>
      <c r="D49" s="513"/>
      <c r="F49" s="117">
        <f>'As-Filed Schedule 2L'!F49</f>
        <v>0</v>
      </c>
      <c r="G49" s="314">
        <f>SUMIFS(Adjustments!$G:$G,Adjustments!$H:$H,"2L",Adjustments!$I:$I,'Schedule 2L Adjustments'!$F$12,Adjustments!$J:$J,'Schedule 2L Adjustments'!$A49)</f>
        <v>0</v>
      </c>
      <c r="H49" s="310">
        <f t="shared" si="0"/>
        <v>0</v>
      </c>
      <c r="I49" s="68">
        <f>IFERROR(F49*'As-Filed Schedule 1'!$E$103,0)</f>
        <v>0</v>
      </c>
      <c r="J49" s="311">
        <f>IFERROR(H49*'Adjusted Schedule 1'!$E$104,0)</f>
        <v>0</v>
      </c>
      <c r="K49" s="68">
        <f t="shared" si="1"/>
        <v>0</v>
      </c>
      <c r="L49" s="311">
        <f t="shared" si="2"/>
        <v>0</v>
      </c>
      <c r="N49" s="117">
        <f>'As-Filed Schedule 2L'!J49</f>
        <v>0</v>
      </c>
      <c r="O49" s="314">
        <f>SUMIFS(Adjustments!$G:$G,Adjustments!$H:$H,"2L",Adjustments!$I:$I,'Schedule 2L Adjustments'!$N$12,Adjustments!$J:$J,'Schedule 2L Adjustments'!$A49)</f>
        <v>0</v>
      </c>
      <c r="P49" s="310">
        <f t="shared" si="3"/>
        <v>0</v>
      </c>
      <c r="Q49" s="68">
        <f>IFERROR(N49*'As-Filed Schedule 1'!$E$103,0)</f>
        <v>0</v>
      </c>
      <c r="R49" s="68">
        <f>IFERROR(P49*'Adjusted Schedule 1'!$E$104,0)</f>
        <v>0</v>
      </c>
      <c r="S49" s="68">
        <f t="shared" si="4"/>
        <v>0</v>
      </c>
      <c r="T49" s="311">
        <f t="shared" si="5"/>
        <v>0</v>
      </c>
      <c r="V49" s="120">
        <f>'As-Filed Schedule 2L'!N49</f>
        <v>0</v>
      </c>
      <c r="W49" s="314">
        <f>SUMIFS(Adjustments!$G:$G,Adjustments!$H:$H,"2L",Adjustments!$I:$I,'Schedule 2L Adjustments'!$V$12,Adjustments!$J:$J,'Schedule 2L Adjustments'!$A49)</f>
        <v>0</v>
      </c>
      <c r="X49" s="310">
        <f t="shared" si="6"/>
        <v>0</v>
      </c>
      <c r="Y49" s="120">
        <f>'As-Filed Schedule 2L'!O49</f>
        <v>0</v>
      </c>
      <c r="Z49" s="314">
        <f>SUMIFS(Adjustments!$G:$G,Adjustments!$H:$H,"2L",Adjustments!$I:$I,'Schedule 2L Adjustments'!$Y$12,Adjustments!$J:$J,'Schedule 2L Adjustments'!$A49)</f>
        <v>0</v>
      </c>
      <c r="AA49" s="310">
        <f t="shared" si="7"/>
        <v>0</v>
      </c>
    </row>
    <row r="50" spans="1:27" x14ac:dyDescent="0.35">
      <c r="A50" s="24">
        <v>36</v>
      </c>
      <c r="B50" s="513" t="str">
        <f>IF('As-Filed Schedule 2L'!B50:D50=0,"",'As-Filed Schedule 2L'!B50:D50)</f>
        <v/>
      </c>
      <c r="C50" s="513"/>
      <c r="D50" s="513"/>
      <c r="F50" s="117">
        <f>'As-Filed Schedule 2L'!F50</f>
        <v>0</v>
      </c>
      <c r="G50" s="314">
        <f>SUMIFS(Adjustments!$G:$G,Adjustments!$H:$H,"2L",Adjustments!$I:$I,'Schedule 2L Adjustments'!$F$12,Adjustments!$J:$J,'Schedule 2L Adjustments'!$A50)</f>
        <v>0</v>
      </c>
      <c r="H50" s="310">
        <f t="shared" si="0"/>
        <v>0</v>
      </c>
      <c r="I50" s="68">
        <f>IFERROR(F50*'As-Filed Schedule 1'!$E$103,0)</f>
        <v>0</v>
      </c>
      <c r="J50" s="311">
        <f>IFERROR(H50*'Adjusted Schedule 1'!$E$104,0)</f>
        <v>0</v>
      </c>
      <c r="K50" s="68">
        <f t="shared" si="1"/>
        <v>0</v>
      </c>
      <c r="L50" s="311">
        <f t="shared" si="2"/>
        <v>0</v>
      </c>
      <c r="N50" s="117">
        <f>'As-Filed Schedule 2L'!J50</f>
        <v>0</v>
      </c>
      <c r="O50" s="314">
        <f>SUMIFS(Adjustments!$G:$G,Adjustments!$H:$H,"2L",Adjustments!$I:$I,'Schedule 2L Adjustments'!$N$12,Adjustments!$J:$J,'Schedule 2L Adjustments'!$A50)</f>
        <v>0</v>
      </c>
      <c r="P50" s="310">
        <f t="shared" si="3"/>
        <v>0</v>
      </c>
      <c r="Q50" s="68">
        <f>IFERROR(N50*'As-Filed Schedule 1'!$E$103,0)</f>
        <v>0</v>
      </c>
      <c r="R50" s="68">
        <f>IFERROR(P50*'Adjusted Schedule 1'!$E$104,0)</f>
        <v>0</v>
      </c>
      <c r="S50" s="68">
        <f t="shared" si="4"/>
        <v>0</v>
      </c>
      <c r="T50" s="311">
        <f t="shared" si="5"/>
        <v>0</v>
      </c>
      <c r="V50" s="120">
        <f>'As-Filed Schedule 2L'!N50</f>
        <v>0</v>
      </c>
      <c r="W50" s="314">
        <f>SUMIFS(Adjustments!$G:$G,Adjustments!$H:$H,"2L",Adjustments!$I:$I,'Schedule 2L Adjustments'!$V$12,Adjustments!$J:$J,'Schedule 2L Adjustments'!$A50)</f>
        <v>0</v>
      </c>
      <c r="X50" s="310">
        <f t="shared" si="6"/>
        <v>0</v>
      </c>
      <c r="Y50" s="120">
        <f>'As-Filed Schedule 2L'!O50</f>
        <v>0</v>
      </c>
      <c r="Z50" s="314">
        <f>SUMIFS(Adjustments!$G:$G,Adjustments!$H:$H,"2L",Adjustments!$I:$I,'Schedule 2L Adjustments'!$Y$12,Adjustments!$J:$J,'Schedule 2L Adjustments'!$A50)</f>
        <v>0</v>
      </c>
      <c r="AA50" s="310">
        <f t="shared" si="7"/>
        <v>0</v>
      </c>
    </row>
    <row r="51" spans="1:27" x14ac:dyDescent="0.35">
      <c r="A51" s="24">
        <v>37</v>
      </c>
      <c r="B51" s="513" t="str">
        <f>IF('As-Filed Schedule 2L'!B51:D51=0,"",'As-Filed Schedule 2L'!B51:D51)</f>
        <v/>
      </c>
      <c r="C51" s="513"/>
      <c r="D51" s="513"/>
      <c r="F51" s="117">
        <f>'As-Filed Schedule 2L'!F51</f>
        <v>0</v>
      </c>
      <c r="G51" s="314">
        <f>SUMIFS(Adjustments!$G:$G,Adjustments!$H:$H,"2L",Adjustments!$I:$I,'Schedule 2L Adjustments'!$F$12,Adjustments!$J:$J,'Schedule 2L Adjustments'!$A51)</f>
        <v>0</v>
      </c>
      <c r="H51" s="310">
        <f t="shared" si="0"/>
        <v>0</v>
      </c>
      <c r="I51" s="68">
        <f>IFERROR(F51*'As-Filed Schedule 1'!$E$103,0)</f>
        <v>0</v>
      </c>
      <c r="J51" s="311">
        <f>IFERROR(H51*'Adjusted Schedule 1'!$E$104,0)</f>
        <v>0</v>
      </c>
      <c r="K51" s="68">
        <f t="shared" si="1"/>
        <v>0</v>
      </c>
      <c r="L51" s="311">
        <f t="shared" si="2"/>
        <v>0</v>
      </c>
      <c r="N51" s="117">
        <f>'As-Filed Schedule 2L'!J51</f>
        <v>0</v>
      </c>
      <c r="O51" s="314">
        <f>SUMIFS(Adjustments!$G:$G,Adjustments!$H:$H,"2L",Adjustments!$I:$I,'Schedule 2L Adjustments'!$N$12,Adjustments!$J:$J,'Schedule 2L Adjustments'!$A51)</f>
        <v>0</v>
      </c>
      <c r="P51" s="310">
        <f t="shared" si="3"/>
        <v>0</v>
      </c>
      <c r="Q51" s="68">
        <f>IFERROR(N51*'As-Filed Schedule 1'!$E$103,0)</f>
        <v>0</v>
      </c>
      <c r="R51" s="68">
        <f>IFERROR(P51*'Adjusted Schedule 1'!$E$104,0)</f>
        <v>0</v>
      </c>
      <c r="S51" s="68">
        <f t="shared" si="4"/>
        <v>0</v>
      </c>
      <c r="T51" s="311">
        <f t="shared" si="5"/>
        <v>0</v>
      </c>
      <c r="V51" s="120">
        <f>'As-Filed Schedule 2L'!N51</f>
        <v>0</v>
      </c>
      <c r="W51" s="314">
        <f>SUMIFS(Adjustments!$G:$G,Adjustments!$H:$H,"2L",Adjustments!$I:$I,'Schedule 2L Adjustments'!$V$12,Adjustments!$J:$J,'Schedule 2L Adjustments'!$A51)</f>
        <v>0</v>
      </c>
      <c r="X51" s="310">
        <f t="shared" si="6"/>
        <v>0</v>
      </c>
      <c r="Y51" s="120">
        <f>'As-Filed Schedule 2L'!O51</f>
        <v>0</v>
      </c>
      <c r="Z51" s="314">
        <f>SUMIFS(Adjustments!$G:$G,Adjustments!$H:$H,"2L",Adjustments!$I:$I,'Schedule 2L Adjustments'!$Y$12,Adjustments!$J:$J,'Schedule 2L Adjustments'!$A51)</f>
        <v>0</v>
      </c>
      <c r="AA51" s="310">
        <f t="shared" si="7"/>
        <v>0</v>
      </c>
    </row>
    <row r="52" spans="1:27" x14ac:dyDescent="0.35">
      <c r="A52" s="24">
        <v>38</v>
      </c>
      <c r="B52" s="513" t="str">
        <f>IF('As-Filed Schedule 2L'!B52:D52=0,"",'As-Filed Schedule 2L'!B52:D52)</f>
        <v/>
      </c>
      <c r="C52" s="513"/>
      <c r="D52" s="513"/>
      <c r="F52" s="117">
        <f>'As-Filed Schedule 2L'!F52</f>
        <v>0</v>
      </c>
      <c r="G52" s="314">
        <f>SUMIFS(Adjustments!$G:$G,Adjustments!$H:$H,"2L",Adjustments!$I:$I,'Schedule 2L Adjustments'!$F$12,Adjustments!$J:$J,'Schedule 2L Adjustments'!$A52)</f>
        <v>0</v>
      </c>
      <c r="H52" s="310">
        <f t="shared" si="0"/>
        <v>0</v>
      </c>
      <c r="I52" s="68">
        <f>IFERROR(F52*'As-Filed Schedule 1'!$E$103,0)</f>
        <v>0</v>
      </c>
      <c r="J52" s="311">
        <f>IFERROR(H52*'Adjusted Schedule 1'!$E$104,0)</f>
        <v>0</v>
      </c>
      <c r="K52" s="68">
        <f t="shared" si="1"/>
        <v>0</v>
      </c>
      <c r="L52" s="311">
        <f t="shared" si="2"/>
        <v>0</v>
      </c>
      <c r="N52" s="117">
        <f>'As-Filed Schedule 2L'!J52</f>
        <v>0</v>
      </c>
      <c r="O52" s="314">
        <f>SUMIFS(Adjustments!$G:$G,Adjustments!$H:$H,"2L",Adjustments!$I:$I,'Schedule 2L Adjustments'!$N$12,Adjustments!$J:$J,'Schedule 2L Adjustments'!$A52)</f>
        <v>0</v>
      </c>
      <c r="P52" s="310">
        <f t="shared" si="3"/>
        <v>0</v>
      </c>
      <c r="Q52" s="68">
        <f>IFERROR(N52*'As-Filed Schedule 1'!$E$103,0)</f>
        <v>0</v>
      </c>
      <c r="R52" s="68">
        <f>IFERROR(P52*'Adjusted Schedule 1'!$E$104,0)</f>
        <v>0</v>
      </c>
      <c r="S52" s="68">
        <f t="shared" si="4"/>
        <v>0</v>
      </c>
      <c r="T52" s="311">
        <f t="shared" si="5"/>
        <v>0</v>
      </c>
      <c r="V52" s="120">
        <f>'As-Filed Schedule 2L'!N52</f>
        <v>0</v>
      </c>
      <c r="W52" s="314">
        <f>SUMIFS(Adjustments!$G:$G,Adjustments!$H:$H,"2L",Adjustments!$I:$I,'Schedule 2L Adjustments'!$V$12,Adjustments!$J:$J,'Schedule 2L Adjustments'!$A52)</f>
        <v>0</v>
      </c>
      <c r="X52" s="310">
        <f t="shared" si="6"/>
        <v>0</v>
      </c>
      <c r="Y52" s="120">
        <f>'As-Filed Schedule 2L'!O52</f>
        <v>0</v>
      </c>
      <c r="Z52" s="314">
        <f>SUMIFS(Adjustments!$G:$G,Adjustments!$H:$H,"2L",Adjustments!$I:$I,'Schedule 2L Adjustments'!$Y$12,Adjustments!$J:$J,'Schedule 2L Adjustments'!$A52)</f>
        <v>0</v>
      </c>
      <c r="AA52" s="310">
        <f t="shared" si="7"/>
        <v>0</v>
      </c>
    </row>
    <row r="53" spans="1:27" x14ac:dyDescent="0.35">
      <c r="A53" s="24">
        <v>39</v>
      </c>
      <c r="B53" s="513" t="str">
        <f>IF('As-Filed Schedule 2L'!B53:D53=0,"",'As-Filed Schedule 2L'!B53:D53)</f>
        <v/>
      </c>
      <c r="C53" s="513"/>
      <c r="D53" s="513"/>
      <c r="F53" s="117">
        <f>'As-Filed Schedule 2L'!F53</f>
        <v>0</v>
      </c>
      <c r="G53" s="314">
        <f>SUMIFS(Adjustments!$G:$G,Adjustments!$H:$H,"2L",Adjustments!$I:$I,'Schedule 2L Adjustments'!$F$12,Adjustments!$J:$J,'Schedule 2L Adjustments'!$A53)</f>
        <v>0</v>
      </c>
      <c r="H53" s="310">
        <f t="shared" si="0"/>
        <v>0</v>
      </c>
      <c r="I53" s="68">
        <f>IFERROR(F53*'As-Filed Schedule 1'!$E$103,0)</f>
        <v>0</v>
      </c>
      <c r="J53" s="311">
        <f>IFERROR(H53*'Adjusted Schedule 1'!$E$104,0)</f>
        <v>0</v>
      </c>
      <c r="K53" s="68">
        <f t="shared" si="1"/>
        <v>0</v>
      </c>
      <c r="L53" s="311">
        <f t="shared" si="2"/>
        <v>0</v>
      </c>
      <c r="N53" s="117">
        <f>'As-Filed Schedule 2L'!J53</f>
        <v>0</v>
      </c>
      <c r="O53" s="314">
        <f>SUMIFS(Adjustments!$G:$G,Adjustments!$H:$H,"2L",Adjustments!$I:$I,'Schedule 2L Adjustments'!$N$12,Adjustments!$J:$J,'Schedule 2L Adjustments'!$A53)</f>
        <v>0</v>
      </c>
      <c r="P53" s="310">
        <f t="shared" si="3"/>
        <v>0</v>
      </c>
      <c r="Q53" s="68">
        <f>IFERROR(N53*'As-Filed Schedule 1'!$E$103,0)</f>
        <v>0</v>
      </c>
      <c r="R53" s="68">
        <f>IFERROR(P53*'Adjusted Schedule 1'!$E$104,0)</f>
        <v>0</v>
      </c>
      <c r="S53" s="68">
        <f t="shared" si="4"/>
        <v>0</v>
      </c>
      <c r="T53" s="311">
        <f t="shared" si="5"/>
        <v>0</v>
      </c>
      <c r="V53" s="120">
        <f>'As-Filed Schedule 2L'!N53</f>
        <v>0</v>
      </c>
      <c r="W53" s="314">
        <f>SUMIFS(Adjustments!$G:$G,Adjustments!$H:$H,"2L",Adjustments!$I:$I,'Schedule 2L Adjustments'!$V$12,Adjustments!$J:$J,'Schedule 2L Adjustments'!$A53)</f>
        <v>0</v>
      </c>
      <c r="X53" s="310">
        <f t="shared" si="6"/>
        <v>0</v>
      </c>
      <c r="Y53" s="120">
        <f>'As-Filed Schedule 2L'!O53</f>
        <v>0</v>
      </c>
      <c r="Z53" s="314">
        <f>SUMIFS(Adjustments!$G:$G,Adjustments!$H:$H,"2L",Adjustments!$I:$I,'Schedule 2L Adjustments'!$Y$12,Adjustments!$J:$J,'Schedule 2L Adjustments'!$A53)</f>
        <v>0</v>
      </c>
      <c r="AA53" s="310">
        <f t="shared" si="7"/>
        <v>0</v>
      </c>
    </row>
    <row r="54" spans="1:27" x14ac:dyDescent="0.35">
      <c r="A54" s="24">
        <v>40</v>
      </c>
      <c r="B54" s="513" t="str">
        <f>IF('As-Filed Schedule 2L'!B54:D54=0,"",'As-Filed Schedule 2L'!B54:D54)</f>
        <v/>
      </c>
      <c r="C54" s="513"/>
      <c r="D54" s="513"/>
      <c r="F54" s="117">
        <f>'As-Filed Schedule 2L'!F54</f>
        <v>0</v>
      </c>
      <c r="G54" s="314">
        <f>SUMIFS(Adjustments!$G:$G,Adjustments!$H:$H,"2L",Adjustments!$I:$I,'Schedule 2L Adjustments'!$F$12,Adjustments!$J:$J,'Schedule 2L Adjustments'!$A54)</f>
        <v>0</v>
      </c>
      <c r="H54" s="310">
        <f t="shared" si="0"/>
        <v>0</v>
      </c>
      <c r="I54" s="68">
        <f>IFERROR(F54*'As-Filed Schedule 1'!$E$103,0)</f>
        <v>0</v>
      </c>
      <c r="J54" s="311">
        <f>IFERROR(H54*'Adjusted Schedule 1'!$E$104,0)</f>
        <v>0</v>
      </c>
      <c r="K54" s="68">
        <f t="shared" si="1"/>
        <v>0</v>
      </c>
      <c r="L54" s="311">
        <f t="shared" si="2"/>
        <v>0</v>
      </c>
      <c r="N54" s="117">
        <f>'As-Filed Schedule 2L'!J54</f>
        <v>0</v>
      </c>
      <c r="O54" s="314">
        <f>SUMIFS(Adjustments!$G:$G,Adjustments!$H:$H,"2L",Adjustments!$I:$I,'Schedule 2L Adjustments'!$N$12,Adjustments!$J:$J,'Schedule 2L Adjustments'!$A54)</f>
        <v>0</v>
      </c>
      <c r="P54" s="310">
        <f t="shared" si="3"/>
        <v>0</v>
      </c>
      <c r="Q54" s="68">
        <f>IFERROR(N54*'As-Filed Schedule 1'!$E$103,0)</f>
        <v>0</v>
      </c>
      <c r="R54" s="68">
        <f>IFERROR(P54*'Adjusted Schedule 1'!$E$104,0)</f>
        <v>0</v>
      </c>
      <c r="S54" s="68">
        <f t="shared" si="4"/>
        <v>0</v>
      </c>
      <c r="T54" s="311">
        <f t="shared" si="5"/>
        <v>0</v>
      </c>
      <c r="V54" s="120">
        <f>'As-Filed Schedule 2L'!N54</f>
        <v>0</v>
      </c>
      <c r="W54" s="314">
        <f>SUMIFS(Adjustments!$G:$G,Adjustments!$H:$H,"2L",Adjustments!$I:$I,'Schedule 2L Adjustments'!$V$12,Adjustments!$J:$J,'Schedule 2L Adjustments'!$A54)</f>
        <v>0</v>
      </c>
      <c r="X54" s="310">
        <f t="shared" si="6"/>
        <v>0</v>
      </c>
      <c r="Y54" s="120">
        <f>'As-Filed Schedule 2L'!O54</f>
        <v>0</v>
      </c>
      <c r="Z54" s="314">
        <f>SUMIFS(Adjustments!$G:$G,Adjustments!$H:$H,"2L",Adjustments!$I:$I,'Schedule 2L Adjustments'!$Y$12,Adjustments!$J:$J,'Schedule 2L Adjustments'!$A54)</f>
        <v>0</v>
      </c>
      <c r="AA54" s="310">
        <f t="shared" si="7"/>
        <v>0</v>
      </c>
    </row>
    <row r="55" spans="1:27" x14ac:dyDescent="0.35">
      <c r="A55" s="24">
        <v>41</v>
      </c>
      <c r="B55" s="513" t="str">
        <f>IF('As-Filed Schedule 2L'!B55:D55=0,"",'As-Filed Schedule 2L'!B55:D55)</f>
        <v/>
      </c>
      <c r="C55" s="513"/>
      <c r="D55" s="513"/>
      <c r="F55" s="117">
        <f>'As-Filed Schedule 2L'!F55</f>
        <v>0</v>
      </c>
      <c r="G55" s="314">
        <f>SUMIFS(Adjustments!$G:$G,Adjustments!$H:$H,"2L",Adjustments!$I:$I,'Schedule 2L Adjustments'!$F$12,Adjustments!$J:$J,'Schedule 2L Adjustments'!$A55)</f>
        <v>0</v>
      </c>
      <c r="H55" s="310">
        <f t="shared" si="0"/>
        <v>0</v>
      </c>
      <c r="I55" s="68">
        <f>IFERROR(F55*'As-Filed Schedule 1'!$E$103,0)</f>
        <v>0</v>
      </c>
      <c r="J55" s="311">
        <f>IFERROR(H55*'Adjusted Schedule 1'!$E$104,0)</f>
        <v>0</v>
      </c>
      <c r="K55" s="68">
        <f t="shared" si="1"/>
        <v>0</v>
      </c>
      <c r="L55" s="311">
        <f t="shared" si="2"/>
        <v>0</v>
      </c>
      <c r="N55" s="117">
        <f>'As-Filed Schedule 2L'!J55</f>
        <v>0</v>
      </c>
      <c r="O55" s="314">
        <f>SUMIFS(Adjustments!$G:$G,Adjustments!$H:$H,"2L",Adjustments!$I:$I,'Schedule 2L Adjustments'!$N$12,Adjustments!$J:$J,'Schedule 2L Adjustments'!$A55)</f>
        <v>0</v>
      </c>
      <c r="P55" s="310">
        <f t="shared" si="3"/>
        <v>0</v>
      </c>
      <c r="Q55" s="68">
        <f>IFERROR(N55*'As-Filed Schedule 1'!$E$103,0)</f>
        <v>0</v>
      </c>
      <c r="R55" s="68">
        <f>IFERROR(P55*'Adjusted Schedule 1'!$E$104,0)</f>
        <v>0</v>
      </c>
      <c r="S55" s="68">
        <f t="shared" si="4"/>
        <v>0</v>
      </c>
      <c r="T55" s="311">
        <f t="shared" si="5"/>
        <v>0</v>
      </c>
      <c r="V55" s="120">
        <f>'As-Filed Schedule 2L'!N55</f>
        <v>0</v>
      </c>
      <c r="W55" s="314">
        <f>SUMIFS(Adjustments!$G:$G,Adjustments!$H:$H,"2L",Adjustments!$I:$I,'Schedule 2L Adjustments'!$V$12,Adjustments!$J:$J,'Schedule 2L Adjustments'!$A55)</f>
        <v>0</v>
      </c>
      <c r="X55" s="310">
        <f t="shared" si="6"/>
        <v>0</v>
      </c>
      <c r="Y55" s="120">
        <f>'As-Filed Schedule 2L'!O55</f>
        <v>0</v>
      </c>
      <c r="Z55" s="314">
        <f>SUMIFS(Adjustments!$G:$G,Adjustments!$H:$H,"2L",Adjustments!$I:$I,'Schedule 2L Adjustments'!$Y$12,Adjustments!$J:$J,'Schedule 2L Adjustments'!$A55)</f>
        <v>0</v>
      </c>
      <c r="AA55" s="310">
        <f t="shared" si="7"/>
        <v>0</v>
      </c>
    </row>
    <row r="56" spans="1:27" x14ac:dyDescent="0.35">
      <c r="A56" s="24">
        <v>42</v>
      </c>
      <c r="B56" s="513" t="str">
        <f>IF('As-Filed Schedule 2L'!B56:D56=0,"",'As-Filed Schedule 2L'!B56:D56)</f>
        <v/>
      </c>
      <c r="C56" s="513"/>
      <c r="D56" s="513"/>
      <c r="F56" s="117">
        <f>'As-Filed Schedule 2L'!F56</f>
        <v>0</v>
      </c>
      <c r="G56" s="314">
        <f>SUMIFS(Adjustments!$G:$G,Adjustments!$H:$H,"2L",Adjustments!$I:$I,'Schedule 2L Adjustments'!$F$12,Adjustments!$J:$J,'Schedule 2L Adjustments'!$A56)</f>
        <v>0</v>
      </c>
      <c r="H56" s="310">
        <f t="shared" si="0"/>
        <v>0</v>
      </c>
      <c r="I56" s="68">
        <f>IFERROR(F56*'As-Filed Schedule 1'!$E$103,0)</f>
        <v>0</v>
      </c>
      <c r="J56" s="311">
        <f>IFERROR(H56*'Adjusted Schedule 1'!$E$104,0)</f>
        <v>0</v>
      </c>
      <c r="K56" s="68">
        <f t="shared" si="1"/>
        <v>0</v>
      </c>
      <c r="L56" s="311">
        <f t="shared" si="2"/>
        <v>0</v>
      </c>
      <c r="N56" s="117">
        <f>'As-Filed Schedule 2L'!J56</f>
        <v>0</v>
      </c>
      <c r="O56" s="314">
        <f>SUMIFS(Adjustments!$G:$G,Adjustments!$H:$H,"2L",Adjustments!$I:$I,'Schedule 2L Adjustments'!$N$12,Adjustments!$J:$J,'Schedule 2L Adjustments'!$A56)</f>
        <v>0</v>
      </c>
      <c r="P56" s="310">
        <f t="shared" si="3"/>
        <v>0</v>
      </c>
      <c r="Q56" s="68">
        <f>IFERROR(N56*'As-Filed Schedule 1'!$E$103,0)</f>
        <v>0</v>
      </c>
      <c r="R56" s="68">
        <f>IFERROR(P56*'Adjusted Schedule 1'!$E$104,0)</f>
        <v>0</v>
      </c>
      <c r="S56" s="68">
        <f t="shared" si="4"/>
        <v>0</v>
      </c>
      <c r="T56" s="311">
        <f t="shared" si="5"/>
        <v>0</v>
      </c>
      <c r="V56" s="120">
        <f>'As-Filed Schedule 2L'!N56</f>
        <v>0</v>
      </c>
      <c r="W56" s="314">
        <f>SUMIFS(Adjustments!$G:$G,Adjustments!$H:$H,"2L",Adjustments!$I:$I,'Schedule 2L Adjustments'!$V$12,Adjustments!$J:$J,'Schedule 2L Adjustments'!$A56)</f>
        <v>0</v>
      </c>
      <c r="X56" s="310">
        <f t="shared" si="6"/>
        <v>0</v>
      </c>
      <c r="Y56" s="120">
        <f>'As-Filed Schedule 2L'!O56</f>
        <v>0</v>
      </c>
      <c r="Z56" s="314">
        <f>SUMIFS(Adjustments!$G:$G,Adjustments!$H:$H,"2L",Adjustments!$I:$I,'Schedule 2L Adjustments'!$Y$12,Adjustments!$J:$J,'Schedule 2L Adjustments'!$A56)</f>
        <v>0</v>
      </c>
      <c r="AA56" s="310">
        <f t="shared" si="7"/>
        <v>0</v>
      </c>
    </row>
    <row r="57" spans="1:27" x14ac:dyDescent="0.35">
      <c r="A57" s="24">
        <v>43</v>
      </c>
      <c r="B57" s="513" t="str">
        <f>IF('As-Filed Schedule 2L'!B57:D57=0,"",'As-Filed Schedule 2L'!B57:D57)</f>
        <v/>
      </c>
      <c r="C57" s="513"/>
      <c r="D57" s="513"/>
      <c r="F57" s="117">
        <f>'As-Filed Schedule 2L'!F57</f>
        <v>0</v>
      </c>
      <c r="G57" s="314">
        <f>SUMIFS(Adjustments!$G:$G,Adjustments!$H:$H,"2L",Adjustments!$I:$I,'Schedule 2L Adjustments'!$F$12,Adjustments!$J:$J,'Schedule 2L Adjustments'!$A57)</f>
        <v>0</v>
      </c>
      <c r="H57" s="310">
        <f t="shared" si="0"/>
        <v>0</v>
      </c>
      <c r="I57" s="68">
        <f>IFERROR(F57*'As-Filed Schedule 1'!$E$103,0)</f>
        <v>0</v>
      </c>
      <c r="J57" s="311">
        <f>IFERROR(H57*'Adjusted Schedule 1'!$E$104,0)</f>
        <v>0</v>
      </c>
      <c r="K57" s="68">
        <f t="shared" si="1"/>
        <v>0</v>
      </c>
      <c r="L57" s="311">
        <f t="shared" si="2"/>
        <v>0</v>
      </c>
      <c r="N57" s="117">
        <f>'As-Filed Schedule 2L'!J57</f>
        <v>0</v>
      </c>
      <c r="O57" s="314">
        <f>SUMIFS(Adjustments!$G:$G,Adjustments!$H:$H,"2L",Adjustments!$I:$I,'Schedule 2L Adjustments'!$N$12,Adjustments!$J:$J,'Schedule 2L Adjustments'!$A57)</f>
        <v>0</v>
      </c>
      <c r="P57" s="310">
        <f t="shared" si="3"/>
        <v>0</v>
      </c>
      <c r="Q57" s="68">
        <f>IFERROR(N57*'As-Filed Schedule 1'!$E$103,0)</f>
        <v>0</v>
      </c>
      <c r="R57" s="68">
        <f>IFERROR(P57*'Adjusted Schedule 1'!$E$104,0)</f>
        <v>0</v>
      </c>
      <c r="S57" s="68">
        <f t="shared" si="4"/>
        <v>0</v>
      </c>
      <c r="T57" s="311">
        <f t="shared" si="5"/>
        <v>0</v>
      </c>
      <c r="V57" s="120">
        <f>'As-Filed Schedule 2L'!N57</f>
        <v>0</v>
      </c>
      <c r="W57" s="314">
        <f>SUMIFS(Adjustments!$G:$G,Adjustments!$H:$H,"2L",Adjustments!$I:$I,'Schedule 2L Adjustments'!$V$12,Adjustments!$J:$J,'Schedule 2L Adjustments'!$A57)</f>
        <v>0</v>
      </c>
      <c r="X57" s="310">
        <f t="shared" si="6"/>
        <v>0</v>
      </c>
      <c r="Y57" s="120">
        <f>'As-Filed Schedule 2L'!O57</f>
        <v>0</v>
      </c>
      <c r="Z57" s="314">
        <f>SUMIFS(Adjustments!$G:$G,Adjustments!$H:$H,"2L",Adjustments!$I:$I,'Schedule 2L Adjustments'!$Y$12,Adjustments!$J:$J,'Schedule 2L Adjustments'!$A57)</f>
        <v>0</v>
      </c>
      <c r="AA57" s="310">
        <f t="shared" si="7"/>
        <v>0</v>
      </c>
    </row>
    <row r="58" spans="1:27" x14ac:dyDescent="0.35">
      <c r="A58" s="24">
        <v>44</v>
      </c>
      <c r="B58" s="513" t="str">
        <f>IF('As-Filed Schedule 2L'!B58:D58=0,"",'As-Filed Schedule 2L'!B58:D58)</f>
        <v/>
      </c>
      <c r="C58" s="513"/>
      <c r="D58" s="513"/>
      <c r="F58" s="117">
        <f>'As-Filed Schedule 2L'!F58</f>
        <v>0</v>
      </c>
      <c r="G58" s="314">
        <f>SUMIFS(Adjustments!$G:$G,Adjustments!$H:$H,"2L",Adjustments!$I:$I,'Schedule 2L Adjustments'!$F$12,Adjustments!$J:$J,'Schedule 2L Adjustments'!$A58)</f>
        <v>0</v>
      </c>
      <c r="H58" s="310">
        <f t="shared" si="0"/>
        <v>0</v>
      </c>
      <c r="I58" s="68">
        <f>IFERROR(F58*'As-Filed Schedule 1'!$E$103,0)</f>
        <v>0</v>
      </c>
      <c r="J58" s="311">
        <f>IFERROR(H58*'Adjusted Schedule 1'!$E$104,0)</f>
        <v>0</v>
      </c>
      <c r="K58" s="68">
        <f t="shared" si="1"/>
        <v>0</v>
      </c>
      <c r="L58" s="311">
        <f t="shared" si="2"/>
        <v>0</v>
      </c>
      <c r="N58" s="117">
        <f>'As-Filed Schedule 2L'!J58</f>
        <v>0</v>
      </c>
      <c r="O58" s="314">
        <f>SUMIFS(Adjustments!$G:$G,Adjustments!$H:$H,"2L",Adjustments!$I:$I,'Schedule 2L Adjustments'!$N$12,Adjustments!$J:$J,'Schedule 2L Adjustments'!$A58)</f>
        <v>0</v>
      </c>
      <c r="P58" s="310">
        <f t="shared" si="3"/>
        <v>0</v>
      </c>
      <c r="Q58" s="68">
        <f>IFERROR(N58*'As-Filed Schedule 1'!$E$103,0)</f>
        <v>0</v>
      </c>
      <c r="R58" s="68">
        <f>IFERROR(P58*'Adjusted Schedule 1'!$E$104,0)</f>
        <v>0</v>
      </c>
      <c r="S58" s="68">
        <f t="shared" si="4"/>
        <v>0</v>
      </c>
      <c r="T58" s="311">
        <f t="shared" si="5"/>
        <v>0</v>
      </c>
      <c r="V58" s="120">
        <f>'As-Filed Schedule 2L'!N58</f>
        <v>0</v>
      </c>
      <c r="W58" s="314">
        <f>SUMIFS(Adjustments!$G:$G,Adjustments!$H:$H,"2L",Adjustments!$I:$I,'Schedule 2L Adjustments'!$V$12,Adjustments!$J:$J,'Schedule 2L Adjustments'!$A58)</f>
        <v>0</v>
      </c>
      <c r="X58" s="310">
        <f t="shared" si="6"/>
        <v>0</v>
      </c>
      <c r="Y58" s="120">
        <f>'As-Filed Schedule 2L'!O58</f>
        <v>0</v>
      </c>
      <c r="Z58" s="314">
        <f>SUMIFS(Adjustments!$G:$G,Adjustments!$H:$H,"2L",Adjustments!$I:$I,'Schedule 2L Adjustments'!$Y$12,Adjustments!$J:$J,'Schedule 2L Adjustments'!$A58)</f>
        <v>0</v>
      </c>
      <c r="AA58" s="310">
        <f t="shared" si="7"/>
        <v>0</v>
      </c>
    </row>
    <row r="59" spans="1:27" x14ac:dyDescent="0.35">
      <c r="A59" s="24">
        <v>45</v>
      </c>
      <c r="B59" s="513" t="str">
        <f>IF('As-Filed Schedule 2L'!B59:D59=0,"",'As-Filed Schedule 2L'!B59:D59)</f>
        <v/>
      </c>
      <c r="C59" s="513"/>
      <c r="D59" s="513"/>
      <c r="F59" s="117">
        <f>'As-Filed Schedule 2L'!F59</f>
        <v>0</v>
      </c>
      <c r="G59" s="314">
        <f>SUMIFS(Adjustments!$G:$G,Adjustments!$H:$H,"2L",Adjustments!$I:$I,'Schedule 2L Adjustments'!$F$12,Adjustments!$J:$J,'Schedule 2L Adjustments'!$A59)</f>
        <v>0</v>
      </c>
      <c r="H59" s="310">
        <f t="shared" si="0"/>
        <v>0</v>
      </c>
      <c r="I59" s="68">
        <f>IFERROR(F59*'As-Filed Schedule 1'!$E$103,0)</f>
        <v>0</v>
      </c>
      <c r="J59" s="311">
        <f>IFERROR(H59*'Adjusted Schedule 1'!$E$104,0)</f>
        <v>0</v>
      </c>
      <c r="K59" s="68">
        <f t="shared" si="1"/>
        <v>0</v>
      </c>
      <c r="L59" s="311">
        <f t="shared" si="2"/>
        <v>0</v>
      </c>
      <c r="N59" s="117">
        <f>'As-Filed Schedule 2L'!J59</f>
        <v>0</v>
      </c>
      <c r="O59" s="314">
        <f>SUMIFS(Adjustments!$G:$G,Adjustments!$H:$H,"2L",Adjustments!$I:$I,'Schedule 2L Adjustments'!$N$12,Adjustments!$J:$J,'Schedule 2L Adjustments'!$A59)</f>
        <v>0</v>
      </c>
      <c r="P59" s="310">
        <f t="shared" si="3"/>
        <v>0</v>
      </c>
      <c r="Q59" s="68">
        <f>IFERROR(N59*'As-Filed Schedule 1'!$E$103,0)</f>
        <v>0</v>
      </c>
      <c r="R59" s="68">
        <f>IFERROR(P59*'Adjusted Schedule 1'!$E$104,0)</f>
        <v>0</v>
      </c>
      <c r="S59" s="68">
        <f t="shared" si="4"/>
        <v>0</v>
      </c>
      <c r="T59" s="311">
        <f t="shared" si="5"/>
        <v>0</v>
      </c>
      <c r="V59" s="120">
        <f>'As-Filed Schedule 2L'!N59</f>
        <v>0</v>
      </c>
      <c r="W59" s="314">
        <f>SUMIFS(Adjustments!$G:$G,Adjustments!$H:$H,"2L",Adjustments!$I:$I,'Schedule 2L Adjustments'!$V$12,Adjustments!$J:$J,'Schedule 2L Adjustments'!$A59)</f>
        <v>0</v>
      </c>
      <c r="X59" s="310">
        <f t="shared" si="6"/>
        <v>0</v>
      </c>
      <c r="Y59" s="120">
        <f>'As-Filed Schedule 2L'!O59</f>
        <v>0</v>
      </c>
      <c r="Z59" s="314">
        <f>SUMIFS(Adjustments!$G:$G,Adjustments!$H:$H,"2L",Adjustments!$I:$I,'Schedule 2L Adjustments'!$Y$12,Adjustments!$J:$J,'Schedule 2L Adjustments'!$A59)</f>
        <v>0</v>
      </c>
      <c r="AA59" s="310">
        <f t="shared" si="7"/>
        <v>0</v>
      </c>
    </row>
    <row r="60" spans="1:27" x14ac:dyDescent="0.35">
      <c r="A60" s="24">
        <v>46</v>
      </c>
      <c r="B60" s="513" t="str">
        <f>IF('As-Filed Schedule 2L'!B60:D60=0,"",'As-Filed Schedule 2L'!B60:D60)</f>
        <v/>
      </c>
      <c r="C60" s="513"/>
      <c r="D60" s="513"/>
      <c r="F60" s="117">
        <f>'As-Filed Schedule 2L'!F60</f>
        <v>0</v>
      </c>
      <c r="G60" s="314">
        <f>SUMIFS(Adjustments!$G:$G,Adjustments!$H:$H,"2L",Adjustments!$I:$I,'Schedule 2L Adjustments'!$F$12,Adjustments!$J:$J,'Schedule 2L Adjustments'!$A60)</f>
        <v>0</v>
      </c>
      <c r="H60" s="310">
        <f t="shared" si="0"/>
        <v>0</v>
      </c>
      <c r="I60" s="68">
        <f>IFERROR(F60*'As-Filed Schedule 1'!$E$103,0)</f>
        <v>0</v>
      </c>
      <c r="J60" s="311">
        <f>IFERROR(H60*'Adjusted Schedule 1'!$E$104,0)</f>
        <v>0</v>
      </c>
      <c r="K60" s="68">
        <f t="shared" si="1"/>
        <v>0</v>
      </c>
      <c r="L60" s="311">
        <f t="shared" si="2"/>
        <v>0</v>
      </c>
      <c r="N60" s="117">
        <f>'As-Filed Schedule 2L'!J60</f>
        <v>0</v>
      </c>
      <c r="O60" s="314">
        <f>SUMIFS(Adjustments!$G:$G,Adjustments!$H:$H,"2L",Adjustments!$I:$I,'Schedule 2L Adjustments'!$N$12,Adjustments!$J:$J,'Schedule 2L Adjustments'!$A60)</f>
        <v>0</v>
      </c>
      <c r="P60" s="310">
        <f t="shared" si="3"/>
        <v>0</v>
      </c>
      <c r="Q60" s="68">
        <f>IFERROR(N60*'As-Filed Schedule 1'!$E$103,0)</f>
        <v>0</v>
      </c>
      <c r="R60" s="68">
        <f>IFERROR(P60*'Adjusted Schedule 1'!$E$104,0)</f>
        <v>0</v>
      </c>
      <c r="S60" s="68">
        <f t="shared" si="4"/>
        <v>0</v>
      </c>
      <c r="T60" s="311">
        <f t="shared" si="5"/>
        <v>0</v>
      </c>
      <c r="V60" s="120">
        <f>'As-Filed Schedule 2L'!N60</f>
        <v>0</v>
      </c>
      <c r="W60" s="314">
        <f>SUMIFS(Adjustments!$G:$G,Adjustments!$H:$H,"2L",Adjustments!$I:$I,'Schedule 2L Adjustments'!$V$12,Adjustments!$J:$J,'Schedule 2L Adjustments'!$A60)</f>
        <v>0</v>
      </c>
      <c r="X60" s="310">
        <f t="shared" si="6"/>
        <v>0</v>
      </c>
      <c r="Y60" s="120">
        <f>'As-Filed Schedule 2L'!O60</f>
        <v>0</v>
      </c>
      <c r="Z60" s="314">
        <f>SUMIFS(Adjustments!$G:$G,Adjustments!$H:$H,"2L",Adjustments!$I:$I,'Schedule 2L Adjustments'!$Y$12,Adjustments!$J:$J,'Schedule 2L Adjustments'!$A60)</f>
        <v>0</v>
      </c>
      <c r="AA60" s="310">
        <f t="shared" si="7"/>
        <v>0</v>
      </c>
    </row>
    <row r="61" spans="1:27" x14ac:dyDescent="0.35">
      <c r="A61" s="24">
        <v>47</v>
      </c>
      <c r="B61" s="513" t="str">
        <f>IF('As-Filed Schedule 2L'!B61:D61=0,"",'As-Filed Schedule 2L'!B61:D61)</f>
        <v/>
      </c>
      <c r="C61" s="513"/>
      <c r="D61" s="513"/>
      <c r="F61" s="117">
        <f>'As-Filed Schedule 2L'!F61</f>
        <v>0</v>
      </c>
      <c r="G61" s="314">
        <f>SUMIFS(Adjustments!$G:$G,Adjustments!$H:$H,"2L",Adjustments!$I:$I,'Schedule 2L Adjustments'!$F$12,Adjustments!$J:$J,'Schedule 2L Adjustments'!$A61)</f>
        <v>0</v>
      </c>
      <c r="H61" s="310">
        <f t="shared" si="0"/>
        <v>0</v>
      </c>
      <c r="I61" s="68">
        <f>IFERROR(F61*'As-Filed Schedule 1'!$E$103,0)</f>
        <v>0</v>
      </c>
      <c r="J61" s="311">
        <f>IFERROR(H61*'Adjusted Schedule 1'!$E$104,0)</f>
        <v>0</v>
      </c>
      <c r="K61" s="68">
        <f t="shared" si="1"/>
        <v>0</v>
      </c>
      <c r="L61" s="311">
        <f t="shared" si="2"/>
        <v>0</v>
      </c>
      <c r="N61" s="117">
        <f>'As-Filed Schedule 2L'!J61</f>
        <v>0</v>
      </c>
      <c r="O61" s="314">
        <f>SUMIFS(Adjustments!$G:$G,Adjustments!$H:$H,"2L",Adjustments!$I:$I,'Schedule 2L Adjustments'!$N$12,Adjustments!$J:$J,'Schedule 2L Adjustments'!$A61)</f>
        <v>0</v>
      </c>
      <c r="P61" s="310">
        <f t="shared" si="3"/>
        <v>0</v>
      </c>
      <c r="Q61" s="68">
        <f>IFERROR(N61*'As-Filed Schedule 1'!$E$103,0)</f>
        <v>0</v>
      </c>
      <c r="R61" s="68">
        <f>IFERROR(P61*'Adjusted Schedule 1'!$E$104,0)</f>
        <v>0</v>
      </c>
      <c r="S61" s="68">
        <f t="shared" si="4"/>
        <v>0</v>
      </c>
      <c r="T61" s="311">
        <f t="shared" si="5"/>
        <v>0</v>
      </c>
      <c r="V61" s="120">
        <f>'As-Filed Schedule 2L'!N61</f>
        <v>0</v>
      </c>
      <c r="W61" s="314">
        <f>SUMIFS(Adjustments!$G:$G,Adjustments!$H:$H,"2L",Adjustments!$I:$I,'Schedule 2L Adjustments'!$V$12,Adjustments!$J:$J,'Schedule 2L Adjustments'!$A61)</f>
        <v>0</v>
      </c>
      <c r="X61" s="310">
        <f t="shared" si="6"/>
        <v>0</v>
      </c>
      <c r="Y61" s="120">
        <f>'As-Filed Schedule 2L'!O61</f>
        <v>0</v>
      </c>
      <c r="Z61" s="314">
        <f>SUMIFS(Adjustments!$G:$G,Adjustments!$H:$H,"2L",Adjustments!$I:$I,'Schedule 2L Adjustments'!$Y$12,Adjustments!$J:$J,'Schedule 2L Adjustments'!$A61)</f>
        <v>0</v>
      </c>
      <c r="AA61" s="310">
        <f t="shared" si="7"/>
        <v>0</v>
      </c>
    </row>
    <row r="62" spans="1:27" x14ac:dyDescent="0.35">
      <c r="A62" s="24">
        <v>48</v>
      </c>
      <c r="B62" s="513" t="str">
        <f>IF('As-Filed Schedule 2L'!B62:D62=0,"",'As-Filed Schedule 2L'!B62:D62)</f>
        <v/>
      </c>
      <c r="C62" s="513"/>
      <c r="D62" s="513"/>
      <c r="F62" s="117">
        <f>'As-Filed Schedule 2L'!F62</f>
        <v>0</v>
      </c>
      <c r="G62" s="314">
        <f>SUMIFS(Adjustments!$G:$G,Adjustments!$H:$H,"2L",Adjustments!$I:$I,'Schedule 2L Adjustments'!$F$12,Adjustments!$J:$J,'Schedule 2L Adjustments'!$A62)</f>
        <v>0</v>
      </c>
      <c r="H62" s="310">
        <f t="shared" si="0"/>
        <v>0</v>
      </c>
      <c r="I62" s="68">
        <f>IFERROR(F62*'As-Filed Schedule 1'!$E$103,0)</f>
        <v>0</v>
      </c>
      <c r="J62" s="311">
        <f>IFERROR(H62*'Adjusted Schedule 1'!$E$104,0)</f>
        <v>0</v>
      </c>
      <c r="K62" s="68">
        <f t="shared" si="1"/>
        <v>0</v>
      </c>
      <c r="L62" s="311">
        <f t="shared" si="2"/>
        <v>0</v>
      </c>
      <c r="N62" s="117">
        <f>'As-Filed Schedule 2L'!J62</f>
        <v>0</v>
      </c>
      <c r="O62" s="314">
        <f>SUMIFS(Adjustments!$G:$G,Adjustments!$H:$H,"2L",Adjustments!$I:$I,'Schedule 2L Adjustments'!$N$12,Adjustments!$J:$J,'Schedule 2L Adjustments'!$A62)</f>
        <v>0</v>
      </c>
      <c r="P62" s="310">
        <f t="shared" si="3"/>
        <v>0</v>
      </c>
      <c r="Q62" s="68">
        <f>IFERROR(N62*'As-Filed Schedule 1'!$E$103,0)</f>
        <v>0</v>
      </c>
      <c r="R62" s="68">
        <f>IFERROR(P62*'Adjusted Schedule 1'!$E$104,0)</f>
        <v>0</v>
      </c>
      <c r="S62" s="68">
        <f t="shared" si="4"/>
        <v>0</v>
      </c>
      <c r="T62" s="311">
        <f t="shared" si="5"/>
        <v>0</v>
      </c>
      <c r="V62" s="120">
        <f>'As-Filed Schedule 2L'!N62</f>
        <v>0</v>
      </c>
      <c r="W62" s="314">
        <f>SUMIFS(Adjustments!$G:$G,Adjustments!$H:$H,"2L",Adjustments!$I:$I,'Schedule 2L Adjustments'!$V$12,Adjustments!$J:$J,'Schedule 2L Adjustments'!$A62)</f>
        <v>0</v>
      </c>
      <c r="X62" s="310">
        <f t="shared" si="6"/>
        <v>0</v>
      </c>
      <c r="Y62" s="120">
        <f>'As-Filed Schedule 2L'!O62</f>
        <v>0</v>
      </c>
      <c r="Z62" s="314">
        <f>SUMIFS(Adjustments!$G:$G,Adjustments!$H:$H,"2L",Adjustments!$I:$I,'Schedule 2L Adjustments'!$Y$12,Adjustments!$J:$J,'Schedule 2L Adjustments'!$A62)</f>
        <v>0</v>
      </c>
      <c r="AA62" s="310">
        <f t="shared" si="7"/>
        <v>0</v>
      </c>
    </row>
    <row r="63" spans="1:27" x14ac:dyDescent="0.35">
      <c r="A63" s="24">
        <v>49</v>
      </c>
      <c r="B63" s="513" t="str">
        <f>IF('As-Filed Schedule 2L'!B63:D63=0,"",'As-Filed Schedule 2L'!B63:D63)</f>
        <v/>
      </c>
      <c r="C63" s="513"/>
      <c r="D63" s="513"/>
      <c r="F63" s="117">
        <f>'As-Filed Schedule 2L'!F63</f>
        <v>0</v>
      </c>
      <c r="G63" s="314">
        <f>SUMIFS(Adjustments!$G:$G,Adjustments!$H:$H,"2L",Adjustments!$I:$I,'Schedule 2L Adjustments'!$F$12,Adjustments!$J:$J,'Schedule 2L Adjustments'!$A63)</f>
        <v>0</v>
      </c>
      <c r="H63" s="310">
        <f t="shared" si="0"/>
        <v>0</v>
      </c>
      <c r="I63" s="68">
        <f>IFERROR(F63*'As-Filed Schedule 1'!$E$103,0)</f>
        <v>0</v>
      </c>
      <c r="J63" s="311">
        <f>IFERROR(H63*'Adjusted Schedule 1'!$E$104,0)</f>
        <v>0</v>
      </c>
      <c r="K63" s="68">
        <f t="shared" si="1"/>
        <v>0</v>
      </c>
      <c r="L63" s="311">
        <f t="shared" si="2"/>
        <v>0</v>
      </c>
      <c r="N63" s="117">
        <f>'As-Filed Schedule 2L'!J63</f>
        <v>0</v>
      </c>
      <c r="O63" s="314">
        <f>SUMIFS(Adjustments!$G:$G,Adjustments!$H:$H,"2L",Adjustments!$I:$I,'Schedule 2L Adjustments'!$N$12,Adjustments!$J:$J,'Schedule 2L Adjustments'!$A63)</f>
        <v>0</v>
      </c>
      <c r="P63" s="310">
        <f t="shared" si="3"/>
        <v>0</v>
      </c>
      <c r="Q63" s="68">
        <f>IFERROR(N63*'As-Filed Schedule 1'!$E$103,0)</f>
        <v>0</v>
      </c>
      <c r="R63" s="68">
        <f>IFERROR(P63*'Adjusted Schedule 1'!$E$104,0)</f>
        <v>0</v>
      </c>
      <c r="S63" s="68">
        <f t="shared" si="4"/>
        <v>0</v>
      </c>
      <c r="T63" s="311">
        <f t="shared" si="5"/>
        <v>0</v>
      </c>
      <c r="V63" s="120">
        <f>'As-Filed Schedule 2L'!N63</f>
        <v>0</v>
      </c>
      <c r="W63" s="314">
        <f>SUMIFS(Adjustments!$G:$G,Adjustments!$H:$H,"2L",Adjustments!$I:$I,'Schedule 2L Adjustments'!$V$12,Adjustments!$J:$J,'Schedule 2L Adjustments'!$A63)</f>
        <v>0</v>
      </c>
      <c r="X63" s="310">
        <f t="shared" si="6"/>
        <v>0</v>
      </c>
      <c r="Y63" s="120">
        <f>'As-Filed Schedule 2L'!O63</f>
        <v>0</v>
      </c>
      <c r="Z63" s="314">
        <f>SUMIFS(Adjustments!$G:$G,Adjustments!$H:$H,"2L",Adjustments!$I:$I,'Schedule 2L Adjustments'!$Y$12,Adjustments!$J:$J,'Schedule 2L Adjustments'!$A63)</f>
        <v>0</v>
      </c>
      <c r="AA63" s="310">
        <f t="shared" si="7"/>
        <v>0</v>
      </c>
    </row>
    <row r="64" spans="1:27" x14ac:dyDescent="0.35">
      <c r="A64" s="24">
        <v>50</v>
      </c>
      <c r="B64" s="513" t="str">
        <f>IF('As-Filed Schedule 2L'!B64:D64=0,"",'As-Filed Schedule 2L'!B64:D64)</f>
        <v/>
      </c>
      <c r="C64" s="513"/>
      <c r="D64" s="513"/>
      <c r="F64" s="117">
        <f>'As-Filed Schedule 2L'!F64</f>
        <v>0</v>
      </c>
      <c r="G64" s="314">
        <f>SUMIFS(Adjustments!$G:$G,Adjustments!$H:$H,"2L",Adjustments!$I:$I,'Schedule 2L Adjustments'!$F$12,Adjustments!$J:$J,'Schedule 2L Adjustments'!$A64)</f>
        <v>0</v>
      </c>
      <c r="H64" s="310">
        <f t="shared" si="0"/>
        <v>0</v>
      </c>
      <c r="I64" s="68">
        <f>IFERROR(F64*'As-Filed Schedule 1'!$E$103,0)</f>
        <v>0</v>
      </c>
      <c r="J64" s="311">
        <f>IFERROR(H64*'Adjusted Schedule 1'!$E$104,0)</f>
        <v>0</v>
      </c>
      <c r="K64" s="68">
        <f t="shared" si="1"/>
        <v>0</v>
      </c>
      <c r="L64" s="311">
        <f t="shared" si="2"/>
        <v>0</v>
      </c>
      <c r="N64" s="117">
        <f>'As-Filed Schedule 2L'!J64</f>
        <v>0</v>
      </c>
      <c r="O64" s="314">
        <f>SUMIFS(Adjustments!$G:$G,Adjustments!$H:$H,"2L",Adjustments!$I:$I,'Schedule 2L Adjustments'!$N$12,Adjustments!$J:$J,'Schedule 2L Adjustments'!$A64)</f>
        <v>0</v>
      </c>
      <c r="P64" s="310">
        <f t="shared" si="3"/>
        <v>0</v>
      </c>
      <c r="Q64" s="68">
        <f>IFERROR(N64*'As-Filed Schedule 1'!$E$103,0)</f>
        <v>0</v>
      </c>
      <c r="R64" s="68">
        <f>IFERROR(P64*'Adjusted Schedule 1'!$E$104,0)</f>
        <v>0</v>
      </c>
      <c r="S64" s="68">
        <f t="shared" si="4"/>
        <v>0</v>
      </c>
      <c r="T64" s="311">
        <f t="shared" si="5"/>
        <v>0</v>
      </c>
      <c r="V64" s="120">
        <f>'As-Filed Schedule 2L'!N64</f>
        <v>0</v>
      </c>
      <c r="W64" s="314">
        <f>SUMIFS(Adjustments!$G:$G,Adjustments!$H:$H,"2L",Adjustments!$I:$I,'Schedule 2L Adjustments'!$V$12,Adjustments!$J:$J,'Schedule 2L Adjustments'!$A64)</f>
        <v>0</v>
      </c>
      <c r="X64" s="310">
        <f t="shared" si="6"/>
        <v>0</v>
      </c>
      <c r="Y64" s="120">
        <f>'As-Filed Schedule 2L'!O64</f>
        <v>0</v>
      </c>
      <c r="Z64" s="314">
        <f>SUMIFS(Adjustments!$G:$G,Adjustments!$H:$H,"2L",Adjustments!$I:$I,'Schedule 2L Adjustments'!$Y$12,Adjustments!$J:$J,'Schedule 2L Adjustments'!$A64)</f>
        <v>0</v>
      </c>
      <c r="AA64" s="310">
        <f t="shared" si="7"/>
        <v>0</v>
      </c>
    </row>
    <row r="65" spans="1:27" x14ac:dyDescent="0.35">
      <c r="A65" s="24">
        <v>51</v>
      </c>
      <c r="B65" s="513" t="str">
        <f>IF('As-Filed Schedule 2L'!B65:D65=0,"",'As-Filed Schedule 2L'!B65:D65)</f>
        <v/>
      </c>
      <c r="C65" s="513"/>
      <c r="D65" s="513"/>
      <c r="F65" s="117">
        <f>'As-Filed Schedule 2L'!F65</f>
        <v>0</v>
      </c>
      <c r="G65" s="314">
        <f>SUMIFS(Adjustments!$G:$G,Adjustments!$H:$H,"2L",Adjustments!$I:$I,'Schedule 2L Adjustments'!$F$12,Adjustments!$J:$J,'Schedule 2L Adjustments'!$A65)</f>
        <v>0</v>
      </c>
      <c r="H65" s="310">
        <f t="shared" si="0"/>
        <v>0</v>
      </c>
      <c r="I65" s="68">
        <f>IFERROR(F65*'As-Filed Schedule 1'!$E$103,0)</f>
        <v>0</v>
      </c>
      <c r="J65" s="311">
        <f>IFERROR(H65*'Adjusted Schedule 1'!$E$104,0)</f>
        <v>0</v>
      </c>
      <c r="K65" s="68">
        <f t="shared" si="1"/>
        <v>0</v>
      </c>
      <c r="L65" s="311">
        <f t="shared" si="2"/>
        <v>0</v>
      </c>
      <c r="N65" s="117">
        <f>'As-Filed Schedule 2L'!J65</f>
        <v>0</v>
      </c>
      <c r="O65" s="314">
        <f>SUMIFS(Adjustments!$G:$G,Adjustments!$H:$H,"2L",Adjustments!$I:$I,'Schedule 2L Adjustments'!$N$12,Adjustments!$J:$J,'Schedule 2L Adjustments'!$A65)</f>
        <v>0</v>
      </c>
      <c r="P65" s="310">
        <f t="shared" si="3"/>
        <v>0</v>
      </c>
      <c r="Q65" s="68">
        <f>IFERROR(N65*'As-Filed Schedule 1'!$E$103,0)</f>
        <v>0</v>
      </c>
      <c r="R65" s="68">
        <f>IFERROR(P65*'Adjusted Schedule 1'!$E$104,0)</f>
        <v>0</v>
      </c>
      <c r="S65" s="68">
        <f t="shared" si="4"/>
        <v>0</v>
      </c>
      <c r="T65" s="311">
        <f t="shared" si="5"/>
        <v>0</v>
      </c>
      <c r="V65" s="120">
        <f>'As-Filed Schedule 2L'!N65</f>
        <v>0</v>
      </c>
      <c r="W65" s="314">
        <f>SUMIFS(Adjustments!$G:$G,Adjustments!$H:$H,"2L",Adjustments!$I:$I,'Schedule 2L Adjustments'!$V$12,Adjustments!$J:$J,'Schedule 2L Adjustments'!$A65)</f>
        <v>0</v>
      </c>
      <c r="X65" s="310">
        <f t="shared" si="6"/>
        <v>0</v>
      </c>
      <c r="Y65" s="120">
        <f>'As-Filed Schedule 2L'!O65</f>
        <v>0</v>
      </c>
      <c r="Z65" s="314">
        <f>SUMIFS(Adjustments!$G:$G,Adjustments!$H:$H,"2L",Adjustments!$I:$I,'Schedule 2L Adjustments'!$Y$12,Adjustments!$J:$J,'Schedule 2L Adjustments'!$A65)</f>
        <v>0</v>
      </c>
      <c r="AA65" s="310">
        <f t="shared" si="7"/>
        <v>0</v>
      </c>
    </row>
    <row r="66" spans="1:27" x14ac:dyDescent="0.35">
      <c r="A66" s="24">
        <v>52</v>
      </c>
      <c r="B66" s="513" t="str">
        <f>IF('As-Filed Schedule 2L'!B66:D66=0,"",'As-Filed Schedule 2L'!B66:D66)</f>
        <v/>
      </c>
      <c r="C66" s="513"/>
      <c r="D66" s="513"/>
      <c r="F66" s="117">
        <f>'As-Filed Schedule 2L'!F66</f>
        <v>0</v>
      </c>
      <c r="G66" s="314">
        <f>SUMIFS(Adjustments!$G:$G,Adjustments!$H:$H,"2L",Adjustments!$I:$I,'Schedule 2L Adjustments'!$F$12,Adjustments!$J:$J,'Schedule 2L Adjustments'!$A66)</f>
        <v>0</v>
      </c>
      <c r="H66" s="310">
        <f t="shared" si="0"/>
        <v>0</v>
      </c>
      <c r="I66" s="68">
        <f>IFERROR(F66*'As-Filed Schedule 1'!$E$103,0)</f>
        <v>0</v>
      </c>
      <c r="J66" s="311">
        <f>IFERROR(H66*'Adjusted Schedule 1'!$E$104,0)</f>
        <v>0</v>
      </c>
      <c r="K66" s="68">
        <f t="shared" si="1"/>
        <v>0</v>
      </c>
      <c r="L66" s="311">
        <f t="shared" si="2"/>
        <v>0</v>
      </c>
      <c r="N66" s="117">
        <f>'As-Filed Schedule 2L'!J66</f>
        <v>0</v>
      </c>
      <c r="O66" s="314">
        <f>SUMIFS(Adjustments!$G:$G,Adjustments!$H:$H,"2L",Adjustments!$I:$I,'Schedule 2L Adjustments'!$N$12,Adjustments!$J:$J,'Schedule 2L Adjustments'!$A66)</f>
        <v>0</v>
      </c>
      <c r="P66" s="310">
        <f t="shared" si="3"/>
        <v>0</v>
      </c>
      <c r="Q66" s="68">
        <f>IFERROR(N66*'As-Filed Schedule 1'!$E$103,0)</f>
        <v>0</v>
      </c>
      <c r="R66" s="68">
        <f>IFERROR(P66*'Adjusted Schedule 1'!$E$104,0)</f>
        <v>0</v>
      </c>
      <c r="S66" s="68">
        <f t="shared" si="4"/>
        <v>0</v>
      </c>
      <c r="T66" s="311">
        <f t="shared" si="5"/>
        <v>0</v>
      </c>
      <c r="V66" s="120">
        <f>'As-Filed Schedule 2L'!N66</f>
        <v>0</v>
      </c>
      <c r="W66" s="314">
        <f>SUMIFS(Adjustments!$G:$G,Adjustments!$H:$H,"2L",Adjustments!$I:$I,'Schedule 2L Adjustments'!$V$12,Adjustments!$J:$J,'Schedule 2L Adjustments'!$A66)</f>
        <v>0</v>
      </c>
      <c r="X66" s="310">
        <f t="shared" si="6"/>
        <v>0</v>
      </c>
      <c r="Y66" s="120">
        <f>'As-Filed Schedule 2L'!O66</f>
        <v>0</v>
      </c>
      <c r="Z66" s="314">
        <f>SUMIFS(Adjustments!$G:$G,Adjustments!$H:$H,"2L",Adjustments!$I:$I,'Schedule 2L Adjustments'!$Y$12,Adjustments!$J:$J,'Schedule 2L Adjustments'!$A66)</f>
        <v>0</v>
      </c>
      <c r="AA66" s="310">
        <f t="shared" si="7"/>
        <v>0</v>
      </c>
    </row>
    <row r="67" spans="1:27" x14ac:dyDescent="0.35">
      <c r="A67" s="24">
        <v>53</v>
      </c>
      <c r="B67" s="513" t="str">
        <f>IF('As-Filed Schedule 2L'!B67:D67=0,"",'As-Filed Schedule 2L'!B67:D67)</f>
        <v/>
      </c>
      <c r="C67" s="513"/>
      <c r="D67" s="513"/>
      <c r="F67" s="117">
        <f>'As-Filed Schedule 2L'!F67</f>
        <v>0</v>
      </c>
      <c r="G67" s="314">
        <f>SUMIFS(Adjustments!$G:$G,Adjustments!$H:$H,"2L",Adjustments!$I:$I,'Schedule 2L Adjustments'!$F$12,Adjustments!$J:$J,'Schedule 2L Adjustments'!$A67)</f>
        <v>0</v>
      </c>
      <c r="H67" s="310">
        <f t="shared" si="0"/>
        <v>0</v>
      </c>
      <c r="I67" s="68">
        <f>IFERROR(F67*'As-Filed Schedule 1'!$E$103,0)</f>
        <v>0</v>
      </c>
      <c r="J67" s="311">
        <f>IFERROR(H67*'Adjusted Schedule 1'!$E$104,0)</f>
        <v>0</v>
      </c>
      <c r="K67" s="68">
        <f t="shared" si="1"/>
        <v>0</v>
      </c>
      <c r="L67" s="311">
        <f t="shared" si="2"/>
        <v>0</v>
      </c>
      <c r="N67" s="117">
        <f>'As-Filed Schedule 2L'!J67</f>
        <v>0</v>
      </c>
      <c r="O67" s="314">
        <f>SUMIFS(Adjustments!$G:$G,Adjustments!$H:$H,"2L",Adjustments!$I:$I,'Schedule 2L Adjustments'!$N$12,Adjustments!$J:$J,'Schedule 2L Adjustments'!$A67)</f>
        <v>0</v>
      </c>
      <c r="P67" s="310">
        <f t="shared" si="3"/>
        <v>0</v>
      </c>
      <c r="Q67" s="68">
        <f>IFERROR(N67*'As-Filed Schedule 1'!$E$103,0)</f>
        <v>0</v>
      </c>
      <c r="R67" s="68">
        <f>IFERROR(P67*'Adjusted Schedule 1'!$E$104,0)</f>
        <v>0</v>
      </c>
      <c r="S67" s="68">
        <f t="shared" si="4"/>
        <v>0</v>
      </c>
      <c r="T67" s="311">
        <f t="shared" si="5"/>
        <v>0</v>
      </c>
      <c r="V67" s="120">
        <f>'As-Filed Schedule 2L'!N67</f>
        <v>0</v>
      </c>
      <c r="W67" s="314">
        <f>SUMIFS(Adjustments!$G:$G,Adjustments!$H:$H,"2L",Adjustments!$I:$I,'Schedule 2L Adjustments'!$V$12,Adjustments!$J:$J,'Schedule 2L Adjustments'!$A67)</f>
        <v>0</v>
      </c>
      <c r="X67" s="310">
        <f t="shared" si="6"/>
        <v>0</v>
      </c>
      <c r="Y67" s="120">
        <f>'As-Filed Schedule 2L'!O67</f>
        <v>0</v>
      </c>
      <c r="Z67" s="314">
        <f>SUMIFS(Adjustments!$G:$G,Adjustments!$H:$H,"2L",Adjustments!$I:$I,'Schedule 2L Adjustments'!$Y$12,Adjustments!$J:$J,'Schedule 2L Adjustments'!$A67)</f>
        <v>0</v>
      </c>
      <c r="AA67" s="310">
        <f t="shared" si="7"/>
        <v>0</v>
      </c>
    </row>
    <row r="68" spans="1:27" x14ac:dyDescent="0.35">
      <c r="A68" s="24">
        <v>54</v>
      </c>
      <c r="B68" s="513" t="str">
        <f>IF('As-Filed Schedule 2L'!B68:D68=0,"",'As-Filed Schedule 2L'!B68:D68)</f>
        <v/>
      </c>
      <c r="C68" s="513"/>
      <c r="D68" s="513"/>
      <c r="F68" s="117">
        <f>'As-Filed Schedule 2L'!F68</f>
        <v>0</v>
      </c>
      <c r="G68" s="314">
        <f>SUMIFS(Adjustments!$G:$G,Adjustments!$H:$H,"2L",Adjustments!$I:$I,'Schedule 2L Adjustments'!$F$12,Adjustments!$J:$J,'Schedule 2L Adjustments'!$A68)</f>
        <v>0</v>
      </c>
      <c r="H68" s="310">
        <f t="shared" si="0"/>
        <v>0</v>
      </c>
      <c r="I68" s="68">
        <f>IFERROR(F68*'As-Filed Schedule 1'!$E$103,0)</f>
        <v>0</v>
      </c>
      <c r="J68" s="311">
        <f>IFERROR(H68*'Adjusted Schedule 1'!$E$104,0)</f>
        <v>0</v>
      </c>
      <c r="K68" s="68">
        <f t="shared" si="1"/>
        <v>0</v>
      </c>
      <c r="L68" s="311">
        <f t="shared" si="2"/>
        <v>0</v>
      </c>
      <c r="N68" s="117">
        <f>'As-Filed Schedule 2L'!J68</f>
        <v>0</v>
      </c>
      <c r="O68" s="314">
        <f>SUMIFS(Adjustments!$G:$G,Adjustments!$H:$H,"2L",Adjustments!$I:$I,'Schedule 2L Adjustments'!$N$12,Adjustments!$J:$J,'Schedule 2L Adjustments'!$A68)</f>
        <v>0</v>
      </c>
      <c r="P68" s="310">
        <f t="shared" si="3"/>
        <v>0</v>
      </c>
      <c r="Q68" s="68">
        <f>IFERROR(N68*'As-Filed Schedule 1'!$E$103,0)</f>
        <v>0</v>
      </c>
      <c r="R68" s="68">
        <f>IFERROR(P68*'Adjusted Schedule 1'!$E$104,0)</f>
        <v>0</v>
      </c>
      <c r="S68" s="68">
        <f t="shared" si="4"/>
        <v>0</v>
      </c>
      <c r="T68" s="311">
        <f t="shared" si="5"/>
        <v>0</v>
      </c>
      <c r="V68" s="120">
        <f>'As-Filed Schedule 2L'!N68</f>
        <v>0</v>
      </c>
      <c r="W68" s="314">
        <f>SUMIFS(Adjustments!$G:$G,Adjustments!$H:$H,"2L",Adjustments!$I:$I,'Schedule 2L Adjustments'!$V$12,Adjustments!$J:$J,'Schedule 2L Adjustments'!$A68)</f>
        <v>0</v>
      </c>
      <c r="X68" s="310">
        <f t="shared" si="6"/>
        <v>0</v>
      </c>
      <c r="Y68" s="120">
        <f>'As-Filed Schedule 2L'!O68</f>
        <v>0</v>
      </c>
      <c r="Z68" s="314">
        <f>SUMIFS(Adjustments!$G:$G,Adjustments!$H:$H,"2L",Adjustments!$I:$I,'Schedule 2L Adjustments'!$Y$12,Adjustments!$J:$J,'Schedule 2L Adjustments'!$A68)</f>
        <v>0</v>
      </c>
      <c r="AA68" s="310">
        <f t="shared" si="7"/>
        <v>0</v>
      </c>
    </row>
    <row r="69" spans="1:27" x14ac:dyDescent="0.35">
      <c r="A69" s="24">
        <v>55</v>
      </c>
      <c r="B69" s="513" t="str">
        <f>IF('As-Filed Schedule 2L'!B69:D69=0,"",'As-Filed Schedule 2L'!B69:D69)</f>
        <v/>
      </c>
      <c r="C69" s="513"/>
      <c r="D69" s="513"/>
      <c r="F69" s="117">
        <f>'As-Filed Schedule 2L'!F69</f>
        <v>0</v>
      </c>
      <c r="G69" s="314">
        <f>SUMIFS(Adjustments!$G:$G,Adjustments!$H:$H,"2L",Adjustments!$I:$I,'Schedule 2L Adjustments'!$F$12,Adjustments!$J:$J,'Schedule 2L Adjustments'!$A69)</f>
        <v>0</v>
      </c>
      <c r="H69" s="310">
        <f t="shared" si="0"/>
        <v>0</v>
      </c>
      <c r="I69" s="68">
        <f>IFERROR(F69*'As-Filed Schedule 1'!$E$103,0)</f>
        <v>0</v>
      </c>
      <c r="J69" s="311">
        <f>IFERROR(H69*'Adjusted Schedule 1'!$E$104,0)</f>
        <v>0</v>
      </c>
      <c r="K69" s="68">
        <f t="shared" si="1"/>
        <v>0</v>
      </c>
      <c r="L69" s="311">
        <f t="shared" si="2"/>
        <v>0</v>
      </c>
      <c r="N69" s="117">
        <f>'As-Filed Schedule 2L'!J69</f>
        <v>0</v>
      </c>
      <c r="O69" s="314">
        <f>SUMIFS(Adjustments!$G:$G,Adjustments!$H:$H,"2L",Adjustments!$I:$I,'Schedule 2L Adjustments'!$N$12,Adjustments!$J:$J,'Schedule 2L Adjustments'!$A69)</f>
        <v>0</v>
      </c>
      <c r="P69" s="310">
        <f t="shared" si="3"/>
        <v>0</v>
      </c>
      <c r="Q69" s="68">
        <f>IFERROR(N69*'As-Filed Schedule 1'!$E$103,0)</f>
        <v>0</v>
      </c>
      <c r="R69" s="68">
        <f>IFERROR(P69*'Adjusted Schedule 1'!$E$104,0)</f>
        <v>0</v>
      </c>
      <c r="S69" s="68">
        <f t="shared" si="4"/>
        <v>0</v>
      </c>
      <c r="T69" s="311">
        <f t="shared" si="5"/>
        <v>0</v>
      </c>
      <c r="V69" s="120">
        <f>'As-Filed Schedule 2L'!N69</f>
        <v>0</v>
      </c>
      <c r="W69" s="314">
        <f>SUMIFS(Adjustments!$G:$G,Adjustments!$H:$H,"2L",Adjustments!$I:$I,'Schedule 2L Adjustments'!$V$12,Adjustments!$J:$J,'Schedule 2L Adjustments'!$A69)</f>
        <v>0</v>
      </c>
      <c r="X69" s="310">
        <f t="shared" si="6"/>
        <v>0</v>
      </c>
      <c r="Y69" s="120">
        <f>'As-Filed Schedule 2L'!O69</f>
        <v>0</v>
      </c>
      <c r="Z69" s="314">
        <f>SUMIFS(Adjustments!$G:$G,Adjustments!$H:$H,"2L",Adjustments!$I:$I,'Schedule 2L Adjustments'!$Y$12,Adjustments!$J:$J,'Schedule 2L Adjustments'!$A69)</f>
        <v>0</v>
      </c>
      <c r="AA69" s="310">
        <f t="shared" si="7"/>
        <v>0</v>
      </c>
    </row>
    <row r="70" spans="1:27" x14ac:dyDescent="0.35">
      <c r="A70" s="24">
        <v>56</v>
      </c>
      <c r="B70" s="513" t="str">
        <f>IF('As-Filed Schedule 2L'!B70:D70=0,"",'As-Filed Schedule 2L'!B70:D70)</f>
        <v/>
      </c>
      <c r="C70" s="513"/>
      <c r="D70" s="513"/>
      <c r="F70" s="117">
        <f>'As-Filed Schedule 2L'!F70</f>
        <v>0</v>
      </c>
      <c r="G70" s="314">
        <f>SUMIFS(Adjustments!$G:$G,Adjustments!$H:$H,"2L",Adjustments!$I:$I,'Schedule 2L Adjustments'!$F$12,Adjustments!$J:$J,'Schedule 2L Adjustments'!$A70)</f>
        <v>0</v>
      </c>
      <c r="H70" s="310">
        <f t="shared" si="0"/>
        <v>0</v>
      </c>
      <c r="I70" s="68">
        <f>IFERROR(F70*'As-Filed Schedule 1'!$E$103,0)</f>
        <v>0</v>
      </c>
      <c r="J70" s="311">
        <f>IFERROR(H70*'Adjusted Schedule 1'!$E$104,0)</f>
        <v>0</v>
      </c>
      <c r="K70" s="68">
        <f t="shared" si="1"/>
        <v>0</v>
      </c>
      <c r="L70" s="311">
        <f t="shared" si="2"/>
        <v>0</v>
      </c>
      <c r="N70" s="117">
        <f>'As-Filed Schedule 2L'!J70</f>
        <v>0</v>
      </c>
      <c r="O70" s="314">
        <f>SUMIFS(Adjustments!$G:$G,Adjustments!$H:$H,"2L",Adjustments!$I:$I,'Schedule 2L Adjustments'!$N$12,Adjustments!$J:$J,'Schedule 2L Adjustments'!$A70)</f>
        <v>0</v>
      </c>
      <c r="P70" s="310">
        <f t="shared" si="3"/>
        <v>0</v>
      </c>
      <c r="Q70" s="68">
        <f>IFERROR(N70*'As-Filed Schedule 1'!$E$103,0)</f>
        <v>0</v>
      </c>
      <c r="R70" s="68">
        <f>IFERROR(P70*'Adjusted Schedule 1'!$E$104,0)</f>
        <v>0</v>
      </c>
      <c r="S70" s="68">
        <f t="shared" si="4"/>
        <v>0</v>
      </c>
      <c r="T70" s="311">
        <f t="shared" si="5"/>
        <v>0</v>
      </c>
      <c r="V70" s="120">
        <f>'As-Filed Schedule 2L'!N70</f>
        <v>0</v>
      </c>
      <c r="W70" s="314">
        <f>SUMIFS(Adjustments!$G:$G,Adjustments!$H:$H,"2L",Adjustments!$I:$I,'Schedule 2L Adjustments'!$V$12,Adjustments!$J:$J,'Schedule 2L Adjustments'!$A70)</f>
        <v>0</v>
      </c>
      <c r="X70" s="310">
        <f t="shared" si="6"/>
        <v>0</v>
      </c>
      <c r="Y70" s="120">
        <f>'As-Filed Schedule 2L'!O70</f>
        <v>0</v>
      </c>
      <c r="Z70" s="314">
        <f>SUMIFS(Adjustments!$G:$G,Adjustments!$H:$H,"2L",Adjustments!$I:$I,'Schedule 2L Adjustments'!$Y$12,Adjustments!$J:$J,'Schedule 2L Adjustments'!$A70)</f>
        <v>0</v>
      </c>
      <c r="AA70" s="310">
        <f t="shared" si="7"/>
        <v>0</v>
      </c>
    </row>
    <row r="71" spans="1:27" x14ac:dyDescent="0.35">
      <c r="A71" s="24">
        <v>57</v>
      </c>
      <c r="B71" s="513" t="str">
        <f>IF('As-Filed Schedule 2L'!B71:D71=0,"",'As-Filed Schedule 2L'!B71:D71)</f>
        <v/>
      </c>
      <c r="C71" s="513"/>
      <c r="D71" s="513"/>
      <c r="F71" s="117">
        <f>'As-Filed Schedule 2L'!F71</f>
        <v>0</v>
      </c>
      <c r="G71" s="314">
        <f>SUMIFS(Adjustments!$G:$G,Adjustments!$H:$H,"2L",Adjustments!$I:$I,'Schedule 2L Adjustments'!$F$12,Adjustments!$J:$J,'Schedule 2L Adjustments'!$A71)</f>
        <v>0</v>
      </c>
      <c r="H71" s="310">
        <f t="shared" si="0"/>
        <v>0</v>
      </c>
      <c r="I71" s="68">
        <f>IFERROR(F71*'As-Filed Schedule 1'!$E$103,0)</f>
        <v>0</v>
      </c>
      <c r="J71" s="311">
        <f>IFERROR(H71*'Adjusted Schedule 1'!$E$104,0)</f>
        <v>0</v>
      </c>
      <c r="K71" s="68">
        <f t="shared" si="1"/>
        <v>0</v>
      </c>
      <c r="L71" s="311">
        <f t="shared" si="2"/>
        <v>0</v>
      </c>
      <c r="N71" s="117">
        <f>'As-Filed Schedule 2L'!J71</f>
        <v>0</v>
      </c>
      <c r="O71" s="314">
        <f>SUMIFS(Adjustments!$G:$G,Adjustments!$H:$H,"2L",Adjustments!$I:$I,'Schedule 2L Adjustments'!$N$12,Adjustments!$J:$J,'Schedule 2L Adjustments'!$A71)</f>
        <v>0</v>
      </c>
      <c r="P71" s="310">
        <f t="shared" si="3"/>
        <v>0</v>
      </c>
      <c r="Q71" s="68">
        <f>IFERROR(N71*'As-Filed Schedule 1'!$E$103,0)</f>
        <v>0</v>
      </c>
      <c r="R71" s="68">
        <f>IFERROR(P71*'Adjusted Schedule 1'!$E$104,0)</f>
        <v>0</v>
      </c>
      <c r="S71" s="68">
        <f t="shared" si="4"/>
        <v>0</v>
      </c>
      <c r="T71" s="311">
        <f t="shared" si="5"/>
        <v>0</v>
      </c>
      <c r="V71" s="120">
        <f>'As-Filed Schedule 2L'!N71</f>
        <v>0</v>
      </c>
      <c r="W71" s="314">
        <f>SUMIFS(Adjustments!$G:$G,Adjustments!$H:$H,"2L",Adjustments!$I:$I,'Schedule 2L Adjustments'!$V$12,Adjustments!$J:$J,'Schedule 2L Adjustments'!$A71)</f>
        <v>0</v>
      </c>
      <c r="X71" s="310">
        <f t="shared" si="6"/>
        <v>0</v>
      </c>
      <c r="Y71" s="120">
        <f>'As-Filed Schedule 2L'!O71</f>
        <v>0</v>
      </c>
      <c r="Z71" s="314">
        <f>SUMIFS(Adjustments!$G:$G,Adjustments!$H:$H,"2L",Adjustments!$I:$I,'Schedule 2L Adjustments'!$Y$12,Adjustments!$J:$J,'Schedule 2L Adjustments'!$A71)</f>
        <v>0</v>
      </c>
      <c r="AA71" s="310">
        <f t="shared" si="7"/>
        <v>0</v>
      </c>
    </row>
    <row r="72" spans="1:27" x14ac:dyDescent="0.35">
      <c r="A72" s="24">
        <v>58</v>
      </c>
      <c r="B72" s="513" t="str">
        <f>IF('As-Filed Schedule 2L'!B72:D72=0,"",'As-Filed Schedule 2L'!B72:D72)</f>
        <v/>
      </c>
      <c r="C72" s="513"/>
      <c r="D72" s="513"/>
      <c r="F72" s="117">
        <f>'As-Filed Schedule 2L'!F72</f>
        <v>0</v>
      </c>
      <c r="G72" s="314">
        <f>SUMIFS(Adjustments!$G:$G,Adjustments!$H:$H,"2L",Adjustments!$I:$I,'Schedule 2L Adjustments'!$F$12,Adjustments!$J:$J,'Schedule 2L Adjustments'!$A72)</f>
        <v>0</v>
      </c>
      <c r="H72" s="310">
        <f t="shared" si="0"/>
        <v>0</v>
      </c>
      <c r="I72" s="68">
        <f>IFERROR(F72*'As-Filed Schedule 1'!$E$103,0)</f>
        <v>0</v>
      </c>
      <c r="J72" s="311">
        <f>IFERROR(H72*'Adjusted Schedule 1'!$E$104,0)</f>
        <v>0</v>
      </c>
      <c r="K72" s="68">
        <f t="shared" si="1"/>
        <v>0</v>
      </c>
      <c r="L72" s="311">
        <f t="shared" si="2"/>
        <v>0</v>
      </c>
      <c r="N72" s="117">
        <f>'As-Filed Schedule 2L'!J72</f>
        <v>0</v>
      </c>
      <c r="O72" s="314">
        <f>SUMIFS(Adjustments!$G:$G,Adjustments!$H:$H,"2L",Adjustments!$I:$I,'Schedule 2L Adjustments'!$N$12,Adjustments!$J:$J,'Schedule 2L Adjustments'!$A72)</f>
        <v>0</v>
      </c>
      <c r="P72" s="310">
        <f t="shared" si="3"/>
        <v>0</v>
      </c>
      <c r="Q72" s="68">
        <f>IFERROR(N72*'As-Filed Schedule 1'!$E$103,0)</f>
        <v>0</v>
      </c>
      <c r="R72" s="68">
        <f>IFERROR(P72*'Adjusted Schedule 1'!$E$104,0)</f>
        <v>0</v>
      </c>
      <c r="S72" s="68">
        <f t="shared" si="4"/>
        <v>0</v>
      </c>
      <c r="T72" s="311">
        <f t="shared" si="5"/>
        <v>0</v>
      </c>
      <c r="V72" s="120">
        <f>'As-Filed Schedule 2L'!N72</f>
        <v>0</v>
      </c>
      <c r="W72" s="314">
        <f>SUMIFS(Adjustments!$G:$G,Adjustments!$H:$H,"2L",Adjustments!$I:$I,'Schedule 2L Adjustments'!$V$12,Adjustments!$J:$J,'Schedule 2L Adjustments'!$A72)</f>
        <v>0</v>
      </c>
      <c r="X72" s="310">
        <f t="shared" si="6"/>
        <v>0</v>
      </c>
      <c r="Y72" s="120">
        <f>'As-Filed Schedule 2L'!O72</f>
        <v>0</v>
      </c>
      <c r="Z72" s="314">
        <f>SUMIFS(Adjustments!$G:$G,Adjustments!$H:$H,"2L",Adjustments!$I:$I,'Schedule 2L Adjustments'!$Y$12,Adjustments!$J:$J,'Schedule 2L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3"/>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494" t="s">
        <v>847</v>
      </c>
      <c r="B3" s="494"/>
      <c r="C3" s="494"/>
      <c r="D3" s="494"/>
      <c r="E3" s="494"/>
      <c r="F3" s="494"/>
      <c r="G3" s="494"/>
      <c r="H3" s="494"/>
      <c r="I3" s="494"/>
      <c r="J3" s="494"/>
      <c r="K3" s="494"/>
      <c r="L3" s="322"/>
    </row>
    <row r="4" spans="1:27" ht="21" customHeight="1" x14ac:dyDescent="0.5">
      <c r="A4" s="242" t="s">
        <v>834</v>
      </c>
    </row>
    <row r="5" spans="1:27" x14ac:dyDescent="0.35">
      <c r="A5" s="1" t="s">
        <v>773</v>
      </c>
      <c r="C5" s="421" t="str">
        <f>Results!$C$6</f>
        <v>Health Solutions</v>
      </c>
    </row>
    <row r="6" spans="1:27" x14ac:dyDescent="0.35">
      <c r="A6" s="1" t="s">
        <v>0</v>
      </c>
      <c r="C6" s="35">
        <f>Results!$C$7</f>
        <v>45473</v>
      </c>
      <c r="F6" s="35"/>
      <c r="G6" s="320"/>
      <c r="H6" s="60"/>
    </row>
    <row r="8" spans="1:27" x14ac:dyDescent="0.35">
      <c r="A8" s="1" t="s">
        <v>253</v>
      </c>
      <c r="B8" s="1" t="s">
        <v>835</v>
      </c>
      <c r="C8" s="1"/>
      <c r="I8" s="119" t="str">
        <f>'As-Filed Schedule 2M'!K8</f>
        <v>Yes/No</v>
      </c>
      <c r="J8" s="41" t="s">
        <v>259</v>
      </c>
    </row>
    <row r="10" spans="1:27" x14ac:dyDescent="0.35">
      <c r="A10" s="1" t="s">
        <v>254</v>
      </c>
      <c r="B10" s="1" t="s">
        <v>256</v>
      </c>
      <c r="C10" s="1"/>
    </row>
    <row r="12" spans="1:27" x14ac:dyDescent="0.35">
      <c r="B12" s="508">
        <v>1</v>
      </c>
      <c r="C12" s="508"/>
      <c r="D12" s="508"/>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09" t="s">
        <v>255</v>
      </c>
      <c r="C13" s="509"/>
      <c r="D13" s="509"/>
      <c r="F13" s="511" t="s">
        <v>261</v>
      </c>
      <c r="G13" s="516"/>
      <c r="H13" s="516"/>
      <c r="I13" s="516"/>
      <c r="J13" s="516"/>
      <c r="K13" s="516"/>
      <c r="L13" s="512"/>
      <c r="N13" s="511" t="s">
        <v>262</v>
      </c>
      <c r="O13" s="516"/>
      <c r="P13" s="516"/>
      <c r="Q13" s="516"/>
      <c r="R13" s="516"/>
      <c r="S13" s="516"/>
      <c r="T13" s="512"/>
      <c r="V13" s="510" t="s">
        <v>250</v>
      </c>
      <c r="W13" s="568" t="s">
        <v>620</v>
      </c>
      <c r="X13" s="569" t="s">
        <v>621</v>
      </c>
      <c r="Y13" s="510" t="s">
        <v>312</v>
      </c>
      <c r="Z13" s="568" t="s">
        <v>630</v>
      </c>
      <c r="AA13" s="569" t="s">
        <v>631</v>
      </c>
    </row>
    <row r="14" spans="1:27" ht="55.5" customHeight="1" x14ac:dyDescent="0.35">
      <c r="B14" s="509"/>
      <c r="C14" s="509"/>
      <c r="D14" s="509"/>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0"/>
      <c r="W14" s="568"/>
      <c r="X14" s="569"/>
      <c r="Y14" s="510"/>
      <c r="Z14" s="568"/>
      <c r="AA14" s="569"/>
    </row>
    <row r="15" spans="1:27" x14ac:dyDescent="0.35">
      <c r="A15" s="24">
        <v>1</v>
      </c>
      <c r="B15" s="513" t="str">
        <f>IF('As-Filed Schedule 2M'!B15:D15=0,"",'As-Filed Schedule 2M'!B15:D15)</f>
        <v/>
      </c>
      <c r="C15" s="513"/>
      <c r="D15" s="513"/>
      <c r="F15" s="117">
        <f>'As-Filed Schedule 2M'!F15</f>
        <v>0</v>
      </c>
      <c r="G15" s="314">
        <f>SUMIFS(Adjustments!$G:$G,Adjustments!$H:$H,"2M",Adjustments!$I:$I,'Schedule 2M Adjustments'!$F$12,Adjustments!$J:$J,'Schedule 2M Adjustments'!$A15)</f>
        <v>0</v>
      </c>
      <c r="H15" s="310">
        <f>SUM(F15:G15)</f>
        <v>0</v>
      </c>
      <c r="I15" s="68">
        <f>IFERROR(F15*'As-Filed Schedule 1'!$E$103,0)</f>
        <v>0</v>
      </c>
      <c r="J15" s="311">
        <f>IFERROR(H15*'Adjusted Schedule 1'!$E$104,0)</f>
        <v>0</v>
      </c>
      <c r="K15" s="68">
        <f>SUM(F15,I15)</f>
        <v>0</v>
      </c>
      <c r="L15" s="311">
        <f>SUM(H15,J15)</f>
        <v>0</v>
      </c>
      <c r="N15" s="117">
        <f>'As-Filed Schedule 2M'!J15</f>
        <v>0</v>
      </c>
      <c r="O15" s="314">
        <f>SUMIFS(Adjustments!$G:$G,Adjustments!$H:$H,"2M",Adjustments!$I:$I,'Schedule 2M Adjustments'!$N$12,Adjustments!$J:$J,'Schedule 2M Adjustments'!$A15)</f>
        <v>0</v>
      </c>
      <c r="P15" s="310">
        <f>SUM(N15:O15)</f>
        <v>0</v>
      </c>
      <c r="Q15" s="68">
        <f>IFERROR(N15*'As-Filed Schedule 1'!$E$103,0)</f>
        <v>0</v>
      </c>
      <c r="R15" s="68">
        <f>IFERROR(P15*'Adjusted Schedule 1'!$E$104,0)</f>
        <v>0</v>
      </c>
      <c r="S15" s="68">
        <f>SUM(N15,Q15)</f>
        <v>0</v>
      </c>
      <c r="T15" s="311">
        <f>SUM(P15,R15)</f>
        <v>0</v>
      </c>
      <c r="V15" s="120">
        <f>'As-Filed Schedule 2M'!N15</f>
        <v>0</v>
      </c>
      <c r="W15" s="314">
        <f>SUMIFS(Adjustments!$G:$G,Adjustments!$H:$H,"2M",Adjustments!$I:$I,'Schedule 2M Adjustments'!$V$12,Adjustments!$J:$J,'Schedule 2M Adjustments'!$A15)</f>
        <v>0</v>
      </c>
      <c r="X15" s="310">
        <f>SUM(V15:W15)</f>
        <v>0</v>
      </c>
      <c r="Y15" s="120">
        <f>'As-Filed Schedule 2M'!O15</f>
        <v>0</v>
      </c>
      <c r="Z15" s="314">
        <f>SUMIFS(Adjustments!$G:$G,Adjustments!$H:$H,"2M",Adjustments!$I:$I,'Schedule 2M Adjustments'!$Y$12,Adjustments!$J:$J,'Schedule 2M Adjustments'!$A15)</f>
        <v>0</v>
      </c>
      <c r="AA15" s="310">
        <f>SUM(Y15:Z15)</f>
        <v>0</v>
      </c>
    </row>
    <row r="16" spans="1:27" x14ac:dyDescent="0.35">
      <c r="A16" s="24">
        <v>2</v>
      </c>
      <c r="B16" s="513" t="str">
        <f>IF('As-Filed Schedule 2M'!B16:D16=0,"",'As-Filed Schedule 2M'!B16:D16)</f>
        <v/>
      </c>
      <c r="C16" s="513"/>
      <c r="D16" s="513"/>
      <c r="F16" s="117">
        <f>'As-Filed Schedule 2M'!F16</f>
        <v>0</v>
      </c>
      <c r="G16" s="314">
        <f>SUMIFS(Adjustments!$G:$G,Adjustments!$H:$H,"2M",Adjustments!$I:$I,'Schedule 2M Adjustments'!$F$12,Adjustments!$J:$J,'Schedule 2M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2M'!J16</f>
        <v>0</v>
      </c>
      <c r="O16" s="314">
        <f>SUMIFS(Adjustments!$G:$G,Adjustments!$H:$H,"2M",Adjustments!$I:$I,'Schedule 2M Adjustments'!$N$12,Adjustments!$J:$J,'Schedule 2M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2M'!N16</f>
        <v>0</v>
      </c>
      <c r="W16" s="314">
        <f>SUMIFS(Adjustments!$G:$G,Adjustments!$H:$H,"2M",Adjustments!$I:$I,'Schedule 2M Adjustments'!$V$12,Adjustments!$J:$J,'Schedule 2M Adjustments'!$A16)</f>
        <v>0</v>
      </c>
      <c r="X16" s="310">
        <f t="shared" ref="X16:X72" si="6">SUM(V16:W16)</f>
        <v>0</v>
      </c>
      <c r="Y16" s="120">
        <f>'As-Filed Schedule 2M'!O16</f>
        <v>0</v>
      </c>
      <c r="Z16" s="314">
        <f>SUMIFS(Adjustments!$G:$G,Adjustments!$H:$H,"2M",Adjustments!$I:$I,'Schedule 2M Adjustments'!$Y$12,Adjustments!$J:$J,'Schedule 2M Adjustments'!$A16)</f>
        <v>0</v>
      </c>
      <c r="AA16" s="310">
        <f t="shared" ref="AA16:AA72" si="7">SUM(Y16:Z16)</f>
        <v>0</v>
      </c>
    </row>
    <row r="17" spans="1:27" x14ac:dyDescent="0.35">
      <c r="A17" s="24">
        <v>3</v>
      </c>
      <c r="B17" s="513" t="str">
        <f>IF('As-Filed Schedule 2M'!B17:D17=0,"",'As-Filed Schedule 2M'!B17:D17)</f>
        <v/>
      </c>
      <c r="C17" s="513"/>
      <c r="D17" s="513"/>
      <c r="F17" s="117">
        <f>'As-Filed Schedule 2M'!F17</f>
        <v>0</v>
      </c>
      <c r="G17" s="314">
        <f>SUMIFS(Adjustments!$G:$G,Adjustments!$H:$H,"2M",Adjustments!$I:$I,'Schedule 2M Adjustments'!$F$12,Adjustments!$J:$J,'Schedule 2M Adjustments'!$A17)</f>
        <v>0</v>
      </c>
      <c r="H17" s="310">
        <f t="shared" si="0"/>
        <v>0</v>
      </c>
      <c r="I17" s="68">
        <f>IFERROR(F17*'As-Filed Schedule 1'!$E$103,0)</f>
        <v>0</v>
      </c>
      <c r="J17" s="311">
        <f>IFERROR(H17*'Adjusted Schedule 1'!$E$104,0)</f>
        <v>0</v>
      </c>
      <c r="K17" s="68">
        <f t="shared" si="1"/>
        <v>0</v>
      </c>
      <c r="L17" s="311">
        <f t="shared" si="2"/>
        <v>0</v>
      </c>
      <c r="N17" s="117">
        <f>'As-Filed Schedule 2M'!J17</f>
        <v>0</v>
      </c>
      <c r="O17" s="314">
        <f>SUMIFS(Adjustments!$G:$G,Adjustments!$H:$H,"2M",Adjustments!$I:$I,'Schedule 2M Adjustments'!$N$12,Adjustments!$J:$J,'Schedule 2M Adjustments'!$A17)</f>
        <v>0</v>
      </c>
      <c r="P17" s="310">
        <f t="shared" si="3"/>
        <v>0</v>
      </c>
      <c r="Q17" s="68">
        <f>IFERROR(N17*'As-Filed Schedule 1'!$E$103,0)</f>
        <v>0</v>
      </c>
      <c r="R17" s="68">
        <f>IFERROR(P17*'Adjusted Schedule 1'!$E$104,0)</f>
        <v>0</v>
      </c>
      <c r="S17" s="68">
        <f t="shared" si="4"/>
        <v>0</v>
      </c>
      <c r="T17" s="311">
        <f t="shared" si="5"/>
        <v>0</v>
      </c>
      <c r="V17" s="120">
        <f>'As-Filed Schedule 2M'!N17</f>
        <v>0</v>
      </c>
      <c r="W17" s="314">
        <f>SUMIFS(Adjustments!$G:$G,Adjustments!$H:$H,"2M",Adjustments!$I:$I,'Schedule 2M Adjustments'!$V$12,Adjustments!$J:$J,'Schedule 2M Adjustments'!$A17)</f>
        <v>0</v>
      </c>
      <c r="X17" s="310">
        <f t="shared" si="6"/>
        <v>0</v>
      </c>
      <c r="Y17" s="120">
        <f>'As-Filed Schedule 2M'!O17</f>
        <v>0</v>
      </c>
      <c r="Z17" s="314">
        <f>SUMIFS(Adjustments!$G:$G,Adjustments!$H:$H,"2M",Adjustments!$I:$I,'Schedule 2M Adjustments'!$Y$12,Adjustments!$J:$J,'Schedule 2M Adjustments'!$A17)</f>
        <v>0</v>
      </c>
      <c r="AA17" s="310">
        <f t="shared" si="7"/>
        <v>0</v>
      </c>
    </row>
    <row r="18" spans="1:27" x14ac:dyDescent="0.35">
      <c r="A18" s="24">
        <v>4</v>
      </c>
      <c r="B18" s="513" t="str">
        <f>IF('As-Filed Schedule 2M'!B18:D18=0,"",'As-Filed Schedule 2M'!B18:D18)</f>
        <v/>
      </c>
      <c r="C18" s="513"/>
      <c r="D18" s="513"/>
      <c r="F18" s="117">
        <f>'As-Filed Schedule 2M'!F18</f>
        <v>0</v>
      </c>
      <c r="G18" s="314">
        <f>SUMIFS(Adjustments!$G:$G,Adjustments!$H:$H,"2M",Adjustments!$I:$I,'Schedule 2M Adjustments'!$F$12,Adjustments!$J:$J,'Schedule 2M Adjustments'!$A18)</f>
        <v>0</v>
      </c>
      <c r="H18" s="310">
        <f t="shared" si="0"/>
        <v>0</v>
      </c>
      <c r="I18" s="68">
        <f>IFERROR(F18*'As-Filed Schedule 1'!$E$103,0)</f>
        <v>0</v>
      </c>
      <c r="J18" s="311">
        <f>IFERROR(H18*'Adjusted Schedule 1'!$E$104,0)</f>
        <v>0</v>
      </c>
      <c r="K18" s="68">
        <f>SUM(F18,I18)</f>
        <v>0</v>
      </c>
      <c r="L18" s="311">
        <f>SUM(H18,J18)</f>
        <v>0</v>
      </c>
      <c r="N18" s="117">
        <f>'As-Filed Schedule 2M'!J18</f>
        <v>0</v>
      </c>
      <c r="O18" s="314">
        <f>SUMIFS(Adjustments!$G:$G,Adjustments!$H:$H,"2M",Adjustments!$I:$I,'Schedule 2M Adjustments'!$N$12,Adjustments!$J:$J,'Schedule 2M Adjustments'!$A18)</f>
        <v>0</v>
      </c>
      <c r="P18" s="310">
        <f t="shared" si="3"/>
        <v>0</v>
      </c>
      <c r="Q18" s="68">
        <f>IFERROR(N18*'As-Filed Schedule 1'!$E$103,0)</f>
        <v>0</v>
      </c>
      <c r="R18" s="68">
        <f>IFERROR(P18*'Adjusted Schedule 1'!$E$104,0)</f>
        <v>0</v>
      </c>
      <c r="S18" s="68">
        <f t="shared" si="4"/>
        <v>0</v>
      </c>
      <c r="T18" s="311">
        <f t="shared" si="5"/>
        <v>0</v>
      </c>
      <c r="V18" s="120">
        <f>'As-Filed Schedule 2M'!N18</f>
        <v>0</v>
      </c>
      <c r="W18" s="314">
        <f>SUMIFS(Adjustments!$G:$G,Adjustments!$H:$H,"2M",Adjustments!$I:$I,'Schedule 2M Adjustments'!$V$12,Adjustments!$J:$J,'Schedule 2M Adjustments'!$A18)</f>
        <v>0</v>
      </c>
      <c r="X18" s="310">
        <f t="shared" si="6"/>
        <v>0</v>
      </c>
      <c r="Y18" s="120">
        <f>'As-Filed Schedule 2M'!O18</f>
        <v>0</v>
      </c>
      <c r="Z18" s="314">
        <f>SUMIFS(Adjustments!$G:$G,Adjustments!$H:$H,"2M",Adjustments!$I:$I,'Schedule 2M Adjustments'!$Y$12,Adjustments!$J:$J,'Schedule 2M Adjustments'!$A18)</f>
        <v>0</v>
      </c>
      <c r="AA18" s="310">
        <f t="shared" si="7"/>
        <v>0</v>
      </c>
    </row>
    <row r="19" spans="1:27" x14ac:dyDescent="0.35">
      <c r="A19" s="24">
        <v>5</v>
      </c>
      <c r="B19" s="513" t="str">
        <f>IF('As-Filed Schedule 2M'!B19:D19=0,"",'As-Filed Schedule 2M'!B19:D19)</f>
        <v/>
      </c>
      <c r="C19" s="513"/>
      <c r="D19" s="513"/>
      <c r="F19" s="117">
        <f>'As-Filed Schedule 2M'!F19</f>
        <v>0</v>
      </c>
      <c r="G19" s="314">
        <f>SUMIFS(Adjustments!$G:$G,Adjustments!$H:$H,"2M",Adjustments!$I:$I,'Schedule 2M Adjustments'!$F$12,Adjustments!$J:$J,'Schedule 2M Adjustments'!$A19)</f>
        <v>0</v>
      </c>
      <c r="H19" s="310">
        <f t="shared" si="0"/>
        <v>0</v>
      </c>
      <c r="I19" s="68">
        <f>IFERROR(F19*'As-Filed Schedule 1'!$E$103,0)</f>
        <v>0</v>
      </c>
      <c r="J19" s="311">
        <f>IFERROR(H19*'Adjusted Schedule 1'!$E$104,0)</f>
        <v>0</v>
      </c>
      <c r="K19" s="68">
        <f t="shared" si="1"/>
        <v>0</v>
      </c>
      <c r="L19" s="311">
        <f>SUM(H19,J19)</f>
        <v>0</v>
      </c>
      <c r="N19" s="117">
        <f>'As-Filed Schedule 2M'!J19</f>
        <v>0</v>
      </c>
      <c r="O19" s="314">
        <f>SUMIFS(Adjustments!$G:$G,Adjustments!$H:$H,"2M",Adjustments!$I:$I,'Schedule 2M Adjustments'!$N$12,Adjustments!$J:$J,'Schedule 2M Adjustments'!$A19)</f>
        <v>0</v>
      </c>
      <c r="P19" s="310">
        <f t="shared" si="3"/>
        <v>0</v>
      </c>
      <c r="Q19" s="68">
        <f>IFERROR(N19*'As-Filed Schedule 1'!$E$103,0)</f>
        <v>0</v>
      </c>
      <c r="R19" s="68">
        <f>IFERROR(P19*'Adjusted Schedule 1'!$E$104,0)</f>
        <v>0</v>
      </c>
      <c r="S19" s="68">
        <f t="shared" si="4"/>
        <v>0</v>
      </c>
      <c r="T19" s="311">
        <f t="shared" si="5"/>
        <v>0</v>
      </c>
      <c r="V19" s="120">
        <f>'As-Filed Schedule 2M'!N19</f>
        <v>0</v>
      </c>
      <c r="W19" s="314">
        <f>SUMIFS(Adjustments!$G:$G,Adjustments!$H:$H,"2M",Adjustments!$I:$I,'Schedule 2M Adjustments'!$V$12,Adjustments!$J:$J,'Schedule 2M Adjustments'!$A19)</f>
        <v>0</v>
      </c>
      <c r="X19" s="310">
        <f t="shared" si="6"/>
        <v>0</v>
      </c>
      <c r="Y19" s="120">
        <f>'As-Filed Schedule 2M'!O19</f>
        <v>0</v>
      </c>
      <c r="Z19" s="314">
        <f>SUMIFS(Adjustments!$G:$G,Adjustments!$H:$H,"2M",Adjustments!$I:$I,'Schedule 2M Adjustments'!$Y$12,Adjustments!$J:$J,'Schedule 2M Adjustments'!$A19)</f>
        <v>0</v>
      </c>
      <c r="AA19" s="310">
        <f t="shared" si="7"/>
        <v>0</v>
      </c>
    </row>
    <row r="20" spans="1:27" x14ac:dyDescent="0.35">
      <c r="A20" s="24">
        <v>6</v>
      </c>
      <c r="B20" s="513" t="str">
        <f>IF('As-Filed Schedule 2M'!B20:D20=0,"",'As-Filed Schedule 2M'!B20:D20)</f>
        <v/>
      </c>
      <c r="C20" s="513"/>
      <c r="D20" s="513"/>
      <c r="F20" s="117">
        <f>'As-Filed Schedule 2M'!F20</f>
        <v>0</v>
      </c>
      <c r="G20" s="314">
        <f>SUMIFS(Adjustments!$G:$G,Adjustments!$H:$H,"2M",Adjustments!$I:$I,'Schedule 2M Adjustments'!$F$12,Adjustments!$J:$J,'Schedule 2M Adjustments'!$A20)</f>
        <v>0</v>
      </c>
      <c r="H20" s="310">
        <f t="shared" si="0"/>
        <v>0</v>
      </c>
      <c r="I20" s="68">
        <f>IFERROR(F20*'As-Filed Schedule 1'!$E$103,0)</f>
        <v>0</v>
      </c>
      <c r="J20" s="311">
        <f>IFERROR(H20*'Adjusted Schedule 1'!$E$104,0)</f>
        <v>0</v>
      </c>
      <c r="K20" s="68">
        <f>SUM(F20,I20)</f>
        <v>0</v>
      </c>
      <c r="L20" s="311">
        <f t="shared" si="2"/>
        <v>0</v>
      </c>
      <c r="N20" s="117">
        <f>'As-Filed Schedule 2M'!J20</f>
        <v>0</v>
      </c>
      <c r="O20" s="314">
        <f>SUMIFS(Adjustments!$G:$G,Adjustments!$H:$H,"2M",Adjustments!$I:$I,'Schedule 2M Adjustments'!$N$12,Adjustments!$J:$J,'Schedule 2M Adjustments'!$A20)</f>
        <v>0</v>
      </c>
      <c r="P20" s="310">
        <f t="shared" si="3"/>
        <v>0</v>
      </c>
      <c r="Q20" s="68">
        <f>IFERROR(N20*'As-Filed Schedule 1'!$E$103,0)</f>
        <v>0</v>
      </c>
      <c r="R20" s="68">
        <f>IFERROR(P20*'Adjusted Schedule 1'!$E$104,0)</f>
        <v>0</v>
      </c>
      <c r="S20" s="68">
        <f t="shared" si="4"/>
        <v>0</v>
      </c>
      <c r="T20" s="311">
        <f t="shared" si="5"/>
        <v>0</v>
      </c>
      <c r="V20" s="120">
        <f>'As-Filed Schedule 2M'!N20</f>
        <v>0</v>
      </c>
      <c r="W20" s="314">
        <f>SUMIFS(Adjustments!$G:$G,Adjustments!$H:$H,"2M",Adjustments!$I:$I,'Schedule 2M Adjustments'!$V$12,Adjustments!$J:$J,'Schedule 2M Adjustments'!$A20)</f>
        <v>0</v>
      </c>
      <c r="X20" s="310">
        <f t="shared" si="6"/>
        <v>0</v>
      </c>
      <c r="Y20" s="120">
        <f>'As-Filed Schedule 2M'!O20</f>
        <v>0</v>
      </c>
      <c r="Z20" s="314">
        <f>SUMIFS(Adjustments!$G:$G,Adjustments!$H:$H,"2M",Adjustments!$I:$I,'Schedule 2M Adjustments'!$Y$12,Adjustments!$J:$J,'Schedule 2M Adjustments'!$A20)</f>
        <v>0</v>
      </c>
      <c r="AA20" s="310">
        <f t="shared" si="7"/>
        <v>0</v>
      </c>
    </row>
    <row r="21" spans="1:27" x14ac:dyDescent="0.35">
      <c r="A21" s="24">
        <v>7</v>
      </c>
      <c r="B21" s="513" t="str">
        <f>IF('As-Filed Schedule 2M'!B21:D21=0,"",'As-Filed Schedule 2M'!B21:D21)</f>
        <v/>
      </c>
      <c r="C21" s="513"/>
      <c r="D21" s="513"/>
      <c r="F21" s="117">
        <f>'As-Filed Schedule 2M'!F21</f>
        <v>0</v>
      </c>
      <c r="G21" s="314">
        <f>SUMIFS(Adjustments!$G:$G,Adjustments!$H:$H,"2M",Adjustments!$I:$I,'Schedule 2M Adjustments'!$F$12,Adjustments!$J:$J,'Schedule 2M Adjustments'!$A21)</f>
        <v>0</v>
      </c>
      <c r="H21" s="310">
        <f t="shared" si="0"/>
        <v>0</v>
      </c>
      <c r="I21" s="68">
        <f>IFERROR(F21*'As-Filed Schedule 1'!$E$103,0)</f>
        <v>0</v>
      </c>
      <c r="J21" s="311">
        <f>IFERROR(H21*'Adjusted Schedule 1'!$E$104,0)</f>
        <v>0</v>
      </c>
      <c r="K21" s="68">
        <f t="shared" si="1"/>
        <v>0</v>
      </c>
      <c r="L21" s="311">
        <f t="shared" si="2"/>
        <v>0</v>
      </c>
      <c r="N21" s="117">
        <f>'As-Filed Schedule 2M'!J21</f>
        <v>0</v>
      </c>
      <c r="O21" s="314">
        <f>SUMIFS(Adjustments!$G:$G,Adjustments!$H:$H,"2M",Adjustments!$I:$I,'Schedule 2M Adjustments'!$N$12,Adjustments!$J:$J,'Schedule 2M Adjustments'!$A21)</f>
        <v>0</v>
      </c>
      <c r="P21" s="310">
        <f t="shared" si="3"/>
        <v>0</v>
      </c>
      <c r="Q21" s="68">
        <f>IFERROR(N21*'As-Filed Schedule 1'!$E$103,0)</f>
        <v>0</v>
      </c>
      <c r="R21" s="68">
        <f>IFERROR(P21*'Adjusted Schedule 1'!$E$104,0)</f>
        <v>0</v>
      </c>
      <c r="S21" s="68">
        <f>SUM(N21,Q21)</f>
        <v>0</v>
      </c>
      <c r="T21" s="311">
        <f>SUM(P21,R21)</f>
        <v>0</v>
      </c>
      <c r="V21" s="120">
        <f>'As-Filed Schedule 2M'!N21</f>
        <v>0</v>
      </c>
      <c r="W21" s="314">
        <f>SUMIFS(Adjustments!$G:$G,Adjustments!$H:$H,"2M",Adjustments!$I:$I,'Schedule 2M Adjustments'!$V$12,Adjustments!$J:$J,'Schedule 2M Adjustments'!$A21)</f>
        <v>0</v>
      </c>
      <c r="X21" s="310">
        <f t="shared" si="6"/>
        <v>0</v>
      </c>
      <c r="Y21" s="120">
        <f>'As-Filed Schedule 2M'!O21</f>
        <v>0</v>
      </c>
      <c r="Z21" s="314">
        <f>SUMIFS(Adjustments!$G:$G,Adjustments!$H:$H,"2M",Adjustments!$I:$I,'Schedule 2M Adjustments'!$Y$12,Adjustments!$J:$J,'Schedule 2M Adjustments'!$A21)</f>
        <v>0</v>
      </c>
      <c r="AA21" s="310">
        <f t="shared" si="7"/>
        <v>0</v>
      </c>
    </row>
    <row r="22" spans="1:27" x14ac:dyDescent="0.35">
      <c r="A22" s="24">
        <v>8</v>
      </c>
      <c r="B22" s="513" t="str">
        <f>IF('As-Filed Schedule 2M'!B22:D22=0,"",'As-Filed Schedule 2M'!B22:D22)</f>
        <v/>
      </c>
      <c r="C22" s="513"/>
      <c r="D22" s="513"/>
      <c r="F22" s="117">
        <f>'As-Filed Schedule 2M'!F22</f>
        <v>0</v>
      </c>
      <c r="G22" s="314">
        <f>SUMIFS(Adjustments!$G:$G,Adjustments!$H:$H,"2M",Adjustments!$I:$I,'Schedule 2M Adjustments'!$F$12,Adjustments!$J:$J,'Schedule 2M Adjustments'!$A22)</f>
        <v>0</v>
      </c>
      <c r="H22" s="310">
        <f t="shared" si="0"/>
        <v>0</v>
      </c>
      <c r="I22" s="68">
        <f>IFERROR(F22*'As-Filed Schedule 1'!$E$103,0)</f>
        <v>0</v>
      </c>
      <c r="J22" s="311">
        <f>IFERROR(H22*'Adjusted Schedule 1'!$E$104,0)</f>
        <v>0</v>
      </c>
      <c r="K22" s="68">
        <f t="shared" si="1"/>
        <v>0</v>
      </c>
      <c r="L22" s="311">
        <f t="shared" si="2"/>
        <v>0</v>
      </c>
      <c r="N22" s="117">
        <f>'As-Filed Schedule 2M'!J22</f>
        <v>0</v>
      </c>
      <c r="O22" s="314">
        <f>SUMIFS(Adjustments!$G:$G,Adjustments!$H:$H,"2M",Adjustments!$I:$I,'Schedule 2M Adjustments'!$N$12,Adjustments!$J:$J,'Schedule 2M Adjustments'!$A22)</f>
        <v>0</v>
      </c>
      <c r="P22" s="310">
        <f t="shared" si="3"/>
        <v>0</v>
      </c>
      <c r="Q22" s="68">
        <f>IFERROR(N22*'As-Filed Schedule 1'!$E$103,0)</f>
        <v>0</v>
      </c>
      <c r="R22" s="68">
        <f>IFERROR(P22*'Adjusted Schedule 1'!$E$104,0)</f>
        <v>0</v>
      </c>
      <c r="S22" s="68">
        <f t="shared" si="4"/>
        <v>0</v>
      </c>
      <c r="T22" s="311">
        <f t="shared" si="5"/>
        <v>0</v>
      </c>
      <c r="V22" s="120">
        <f>'As-Filed Schedule 2M'!N22</f>
        <v>0</v>
      </c>
      <c r="W22" s="314">
        <f>SUMIFS(Adjustments!$G:$G,Adjustments!$H:$H,"2M",Adjustments!$I:$I,'Schedule 2M Adjustments'!$V$12,Adjustments!$J:$J,'Schedule 2M Adjustments'!$A22)</f>
        <v>0</v>
      </c>
      <c r="X22" s="310">
        <f t="shared" si="6"/>
        <v>0</v>
      </c>
      <c r="Y22" s="120">
        <f>'As-Filed Schedule 2M'!O22</f>
        <v>0</v>
      </c>
      <c r="Z22" s="314">
        <f>SUMIFS(Adjustments!$G:$G,Adjustments!$H:$H,"2M",Adjustments!$I:$I,'Schedule 2M Adjustments'!$Y$12,Adjustments!$J:$J,'Schedule 2M Adjustments'!$A22)</f>
        <v>0</v>
      </c>
      <c r="AA22" s="310">
        <f t="shared" si="7"/>
        <v>0</v>
      </c>
    </row>
    <row r="23" spans="1:27" x14ac:dyDescent="0.35">
      <c r="A23" s="24">
        <v>9</v>
      </c>
      <c r="B23" s="513" t="str">
        <f>IF('As-Filed Schedule 2M'!B23:D23=0,"",'As-Filed Schedule 2M'!B23:D23)</f>
        <v/>
      </c>
      <c r="C23" s="513"/>
      <c r="D23" s="513"/>
      <c r="F23" s="117">
        <f>'As-Filed Schedule 2M'!F23</f>
        <v>0</v>
      </c>
      <c r="G23" s="314">
        <f>SUMIFS(Adjustments!$G:$G,Adjustments!$H:$H,"2M",Adjustments!$I:$I,'Schedule 2M Adjustments'!$F$12,Adjustments!$J:$J,'Schedule 2M Adjustments'!$A23)</f>
        <v>0</v>
      </c>
      <c r="H23" s="310">
        <f t="shared" si="0"/>
        <v>0</v>
      </c>
      <c r="I23" s="68">
        <f>IFERROR(F23*'As-Filed Schedule 1'!$E$103,0)</f>
        <v>0</v>
      </c>
      <c r="J23" s="311">
        <f>IFERROR(H23*'Adjusted Schedule 1'!$E$104,0)</f>
        <v>0</v>
      </c>
      <c r="K23" s="68">
        <f t="shared" si="1"/>
        <v>0</v>
      </c>
      <c r="L23" s="311">
        <f t="shared" si="2"/>
        <v>0</v>
      </c>
      <c r="N23" s="117">
        <f>'As-Filed Schedule 2M'!J23</f>
        <v>0</v>
      </c>
      <c r="O23" s="314">
        <f>SUMIFS(Adjustments!$G:$G,Adjustments!$H:$H,"2M",Adjustments!$I:$I,'Schedule 2M Adjustments'!$N$12,Adjustments!$J:$J,'Schedule 2M Adjustments'!$A23)</f>
        <v>0</v>
      </c>
      <c r="P23" s="310">
        <f t="shared" si="3"/>
        <v>0</v>
      </c>
      <c r="Q23" s="68">
        <f>IFERROR(N23*'As-Filed Schedule 1'!$E$103,0)</f>
        <v>0</v>
      </c>
      <c r="R23" s="68">
        <f>IFERROR(P23*'Adjusted Schedule 1'!$E$104,0)</f>
        <v>0</v>
      </c>
      <c r="S23" s="68">
        <f t="shared" si="4"/>
        <v>0</v>
      </c>
      <c r="T23" s="311">
        <f t="shared" si="5"/>
        <v>0</v>
      </c>
      <c r="V23" s="120">
        <f>'As-Filed Schedule 2M'!N23</f>
        <v>0</v>
      </c>
      <c r="W23" s="314">
        <f>SUMIFS(Adjustments!$G:$G,Adjustments!$H:$H,"2M",Adjustments!$I:$I,'Schedule 2M Adjustments'!$V$12,Adjustments!$J:$J,'Schedule 2M Adjustments'!$A23)</f>
        <v>0</v>
      </c>
      <c r="X23" s="310">
        <f t="shared" si="6"/>
        <v>0</v>
      </c>
      <c r="Y23" s="120">
        <f>'As-Filed Schedule 2M'!O23</f>
        <v>0</v>
      </c>
      <c r="Z23" s="314">
        <f>SUMIFS(Adjustments!$G:$G,Adjustments!$H:$H,"2M",Adjustments!$I:$I,'Schedule 2M Adjustments'!$Y$12,Adjustments!$J:$J,'Schedule 2M Adjustments'!$A23)</f>
        <v>0</v>
      </c>
      <c r="AA23" s="310">
        <f t="shared" si="7"/>
        <v>0</v>
      </c>
    </row>
    <row r="24" spans="1:27" x14ac:dyDescent="0.35">
      <c r="A24" s="24">
        <v>10</v>
      </c>
      <c r="B24" s="513" t="str">
        <f>IF('As-Filed Schedule 2M'!B24:D24=0,"",'As-Filed Schedule 2M'!B24:D24)</f>
        <v/>
      </c>
      <c r="C24" s="513"/>
      <c r="D24" s="513"/>
      <c r="F24" s="117">
        <f>'As-Filed Schedule 2M'!F24</f>
        <v>0</v>
      </c>
      <c r="G24" s="314">
        <f>SUMIFS(Adjustments!$G:$G,Adjustments!$H:$H,"2M",Adjustments!$I:$I,'Schedule 2M Adjustments'!$F$12,Adjustments!$J:$J,'Schedule 2M Adjustments'!$A24)</f>
        <v>0</v>
      </c>
      <c r="H24" s="310">
        <f t="shared" si="0"/>
        <v>0</v>
      </c>
      <c r="I24" s="68">
        <f>IFERROR(F24*'As-Filed Schedule 1'!$E$103,0)</f>
        <v>0</v>
      </c>
      <c r="J24" s="311">
        <f>IFERROR(H24*'Adjusted Schedule 1'!$E$104,0)</f>
        <v>0</v>
      </c>
      <c r="K24" s="68">
        <f t="shared" si="1"/>
        <v>0</v>
      </c>
      <c r="L24" s="311">
        <f t="shared" si="2"/>
        <v>0</v>
      </c>
      <c r="N24" s="117">
        <f>'As-Filed Schedule 2M'!J24</f>
        <v>0</v>
      </c>
      <c r="O24" s="314">
        <f>SUMIFS(Adjustments!$G:$G,Adjustments!$H:$H,"2M",Adjustments!$I:$I,'Schedule 2M Adjustments'!$N$12,Adjustments!$J:$J,'Schedule 2M Adjustments'!$A24)</f>
        <v>0</v>
      </c>
      <c r="P24" s="310">
        <f t="shared" si="3"/>
        <v>0</v>
      </c>
      <c r="Q24" s="68">
        <f>IFERROR(N24*'As-Filed Schedule 1'!$E$103,0)</f>
        <v>0</v>
      </c>
      <c r="R24" s="68">
        <f>IFERROR(P24*'Adjusted Schedule 1'!$E$104,0)</f>
        <v>0</v>
      </c>
      <c r="S24" s="68">
        <f t="shared" si="4"/>
        <v>0</v>
      </c>
      <c r="T24" s="311">
        <f t="shared" si="5"/>
        <v>0</v>
      </c>
      <c r="V24" s="120">
        <f>'As-Filed Schedule 2M'!N24</f>
        <v>0</v>
      </c>
      <c r="W24" s="314">
        <f>SUMIFS(Adjustments!$G:$G,Adjustments!$H:$H,"2M",Adjustments!$I:$I,'Schedule 2M Adjustments'!$V$12,Adjustments!$J:$J,'Schedule 2M Adjustments'!$A24)</f>
        <v>0</v>
      </c>
      <c r="X24" s="310">
        <f t="shared" si="6"/>
        <v>0</v>
      </c>
      <c r="Y24" s="120">
        <f>'As-Filed Schedule 2M'!O24</f>
        <v>0</v>
      </c>
      <c r="Z24" s="314">
        <f>SUMIFS(Adjustments!$G:$G,Adjustments!$H:$H,"2M",Adjustments!$I:$I,'Schedule 2M Adjustments'!$Y$12,Adjustments!$J:$J,'Schedule 2M Adjustments'!$A24)</f>
        <v>0</v>
      </c>
      <c r="AA24" s="310">
        <f t="shared" si="7"/>
        <v>0</v>
      </c>
    </row>
    <row r="25" spans="1:27" x14ac:dyDescent="0.35">
      <c r="A25" s="24">
        <v>11</v>
      </c>
      <c r="B25" s="513" t="str">
        <f>IF('As-Filed Schedule 2M'!B25:D25=0,"",'As-Filed Schedule 2M'!B25:D25)</f>
        <v/>
      </c>
      <c r="C25" s="513"/>
      <c r="D25" s="513"/>
      <c r="F25" s="117">
        <f>'As-Filed Schedule 2M'!F25</f>
        <v>0</v>
      </c>
      <c r="G25" s="314">
        <f>SUMIFS(Adjustments!$G:$G,Adjustments!$H:$H,"2M",Adjustments!$I:$I,'Schedule 2M Adjustments'!$F$12,Adjustments!$J:$J,'Schedule 2M Adjustments'!$A25)</f>
        <v>0</v>
      </c>
      <c r="H25" s="310">
        <f t="shared" si="0"/>
        <v>0</v>
      </c>
      <c r="I25" s="68">
        <f>IFERROR(F25*'As-Filed Schedule 1'!$E$103,0)</f>
        <v>0</v>
      </c>
      <c r="J25" s="311">
        <f>IFERROR(H25*'Adjusted Schedule 1'!$E$104,0)</f>
        <v>0</v>
      </c>
      <c r="K25" s="68">
        <f t="shared" si="1"/>
        <v>0</v>
      </c>
      <c r="L25" s="311">
        <f t="shared" si="2"/>
        <v>0</v>
      </c>
      <c r="N25" s="117">
        <f>'As-Filed Schedule 2M'!J25</f>
        <v>0</v>
      </c>
      <c r="O25" s="314">
        <f>SUMIFS(Adjustments!$G:$G,Adjustments!$H:$H,"2M",Adjustments!$I:$I,'Schedule 2M Adjustments'!$N$12,Adjustments!$J:$J,'Schedule 2M Adjustments'!$A25)</f>
        <v>0</v>
      </c>
      <c r="P25" s="310">
        <f t="shared" si="3"/>
        <v>0</v>
      </c>
      <c r="Q25" s="68">
        <f>IFERROR(N25*'As-Filed Schedule 1'!$E$103,0)</f>
        <v>0</v>
      </c>
      <c r="R25" s="68">
        <f>IFERROR(P25*'Adjusted Schedule 1'!$E$104,0)</f>
        <v>0</v>
      </c>
      <c r="S25" s="68">
        <f t="shared" si="4"/>
        <v>0</v>
      </c>
      <c r="T25" s="311">
        <f t="shared" si="5"/>
        <v>0</v>
      </c>
      <c r="V25" s="120">
        <f>'As-Filed Schedule 2M'!N25</f>
        <v>0</v>
      </c>
      <c r="W25" s="314">
        <f>SUMIFS(Adjustments!$G:$G,Adjustments!$H:$H,"2M",Adjustments!$I:$I,'Schedule 2M Adjustments'!$V$12,Adjustments!$J:$J,'Schedule 2M Adjustments'!$A25)</f>
        <v>0</v>
      </c>
      <c r="X25" s="310">
        <f t="shared" si="6"/>
        <v>0</v>
      </c>
      <c r="Y25" s="120">
        <f>'As-Filed Schedule 2M'!O25</f>
        <v>0</v>
      </c>
      <c r="Z25" s="314">
        <f>SUMIFS(Adjustments!$G:$G,Adjustments!$H:$H,"2M",Adjustments!$I:$I,'Schedule 2M Adjustments'!$Y$12,Adjustments!$J:$J,'Schedule 2M Adjustments'!$A25)</f>
        <v>0</v>
      </c>
      <c r="AA25" s="310">
        <f t="shared" si="7"/>
        <v>0</v>
      </c>
    </row>
    <row r="26" spans="1:27" x14ac:dyDescent="0.35">
      <c r="A26" s="24">
        <v>12</v>
      </c>
      <c r="B26" s="513" t="str">
        <f>IF('As-Filed Schedule 2M'!B26:D26=0,"",'As-Filed Schedule 2M'!B26:D26)</f>
        <v/>
      </c>
      <c r="C26" s="513"/>
      <c r="D26" s="513"/>
      <c r="F26" s="117">
        <f>'As-Filed Schedule 2M'!F26</f>
        <v>0</v>
      </c>
      <c r="G26" s="314">
        <f>SUMIFS(Adjustments!$G:$G,Adjustments!$H:$H,"2M",Adjustments!$I:$I,'Schedule 2M Adjustments'!$F$12,Adjustments!$J:$J,'Schedule 2M Adjustments'!$A26)</f>
        <v>0</v>
      </c>
      <c r="H26" s="310">
        <f t="shared" si="0"/>
        <v>0</v>
      </c>
      <c r="I26" s="68">
        <f>IFERROR(F26*'As-Filed Schedule 1'!$E$103,0)</f>
        <v>0</v>
      </c>
      <c r="J26" s="311">
        <f>IFERROR(H26*'Adjusted Schedule 1'!$E$104,0)</f>
        <v>0</v>
      </c>
      <c r="K26" s="68">
        <f t="shared" si="1"/>
        <v>0</v>
      </c>
      <c r="L26" s="311">
        <f t="shared" si="2"/>
        <v>0</v>
      </c>
      <c r="N26" s="117">
        <f>'As-Filed Schedule 2M'!J26</f>
        <v>0</v>
      </c>
      <c r="O26" s="314">
        <f>SUMIFS(Adjustments!$G:$G,Adjustments!$H:$H,"2M",Adjustments!$I:$I,'Schedule 2M Adjustments'!$N$12,Adjustments!$J:$J,'Schedule 2M Adjustments'!$A26)</f>
        <v>0</v>
      </c>
      <c r="P26" s="310">
        <f t="shared" si="3"/>
        <v>0</v>
      </c>
      <c r="Q26" s="68">
        <f>IFERROR(N26*'As-Filed Schedule 1'!$E$103,0)</f>
        <v>0</v>
      </c>
      <c r="R26" s="68">
        <f>IFERROR(P26*'Adjusted Schedule 1'!$E$104,0)</f>
        <v>0</v>
      </c>
      <c r="S26" s="68">
        <f t="shared" si="4"/>
        <v>0</v>
      </c>
      <c r="T26" s="311">
        <f t="shared" si="5"/>
        <v>0</v>
      </c>
      <c r="V26" s="120">
        <f>'As-Filed Schedule 2M'!N26</f>
        <v>0</v>
      </c>
      <c r="W26" s="314">
        <f>SUMIFS(Adjustments!$G:$G,Adjustments!$H:$H,"2M",Adjustments!$I:$I,'Schedule 2M Adjustments'!$V$12,Adjustments!$J:$J,'Schedule 2M Adjustments'!$A26)</f>
        <v>0</v>
      </c>
      <c r="X26" s="310">
        <f t="shared" si="6"/>
        <v>0</v>
      </c>
      <c r="Y26" s="120">
        <f>'As-Filed Schedule 2M'!O26</f>
        <v>0</v>
      </c>
      <c r="Z26" s="314">
        <f>SUMIFS(Adjustments!$G:$G,Adjustments!$H:$H,"2M",Adjustments!$I:$I,'Schedule 2M Adjustments'!$Y$12,Adjustments!$J:$J,'Schedule 2M Adjustments'!$A26)</f>
        <v>0</v>
      </c>
      <c r="AA26" s="310">
        <f t="shared" si="7"/>
        <v>0</v>
      </c>
    </row>
    <row r="27" spans="1:27" x14ac:dyDescent="0.35">
      <c r="A27" s="24">
        <v>13</v>
      </c>
      <c r="B27" s="513" t="str">
        <f>IF('As-Filed Schedule 2M'!B27:D27=0,"",'As-Filed Schedule 2M'!B27:D27)</f>
        <v/>
      </c>
      <c r="C27" s="513"/>
      <c r="D27" s="513"/>
      <c r="F27" s="117">
        <f>'As-Filed Schedule 2M'!F27</f>
        <v>0</v>
      </c>
      <c r="G27" s="314">
        <f>SUMIFS(Adjustments!$G:$G,Adjustments!$H:$H,"2M",Adjustments!$I:$I,'Schedule 2M Adjustments'!$F$12,Adjustments!$J:$J,'Schedule 2M Adjustments'!$A27)</f>
        <v>0</v>
      </c>
      <c r="H27" s="310">
        <f t="shared" si="0"/>
        <v>0</v>
      </c>
      <c r="I27" s="68">
        <f>IFERROR(F27*'As-Filed Schedule 1'!$E$103,0)</f>
        <v>0</v>
      </c>
      <c r="J27" s="311">
        <f>IFERROR(H27*'Adjusted Schedule 1'!$E$104,0)</f>
        <v>0</v>
      </c>
      <c r="K27" s="68">
        <f t="shared" si="1"/>
        <v>0</v>
      </c>
      <c r="L27" s="311">
        <f t="shared" si="2"/>
        <v>0</v>
      </c>
      <c r="N27" s="117">
        <f>'As-Filed Schedule 2M'!J27</f>
        <v>0</v>
      </c>
      <c r="O27" s="314">
        <f>SUMIFS(Adjustments!$G:$G,Adjustments!$H:$H,"2M",Adjustments!$I:$I,'Schedule 2M Adjustments'!$N$12,Adjustments!$J:$J,'Schedule 2M Adjustments'!$A27)</f>
        <v>0</v>
      </c>
      <c r="P27" s="310">
        <f t="shared" si="3"/>
        <v>0</v>
      </c>
      <c r="Q27" s="68">
        <f>IFERROR(N27*'As-Filed Schedule 1'!$E$103,0)</f>
        <v>0</v>
      </c>
      <c r="R27" s="68">
        <f>IFERROR(P27*'Adjusted Schedule 1'!$E$104,0)</f>
        <v>0</v>
      </c>
      <c r="S27" s="68">
        <f t="shared" si="4"/>
        <v>0</v>
      </c>
      <c r="T27" s="311">
        <f t="shared" si="5"/>
        <v>0</v>
      </c>
      <c r="V27" s="120">
        <f>'As-Filed Schedule 2M'!N27</f>
        <v>0</v>
      </c>
      <c r="W27" s="314">
        <f>SUMIFS(Adjustments!$G:$G,Adjustments!$H:$H,"2M",Adjustments!$I:$I,'Schedule 2M Adjustments'!$V$12,Adjustments!$J:$J,'Schedule 2M Adjustments'!$A27)</f>
        <v>0</v>
      </c>
      <c r="X27" s="310">
        <f t="shared" si="6"/>
        <v>0</v>
      </c>
      <c r="Y27" s="120">
        <f>'As-Filed Schedule 2M'!O27</f>
        <v>0</v>
      </c>
      <c r="Z27" s="314">
        <f>SUMIFS(Adjustments!$G:$G,Adjustments!$H:$H,"2M",Adjustments!$I:$I,'Schedule 2M Adjustments'!$Y$12,Adjustments!$J:$J,'Schedule 2M Adjustments'!$A27)</f>
        <v>0</v>
      </c>
      <c r="AA27" s="310">
        <f t="shared" si="7"/>
        <v>0</v>
      </c>
    </row>
    <row r="28" spans="1:27" x14ac:dyDescent="0.35">
      <c r="A28" s="24">
        <v>14</v>
      </c>
      <c r="B28" s="513" t="str">
        <f>IF('As-Filed Schedule 2M'!B28:D28=0,"",'As-Filed Schedule 2M'!B28:D28)</f>
        <v/>
      </c>
      <c r="C28" s="513"/>
      <c r="D28" s="513"/>
      <c r="F28" s="117">
        <f>'As-Filed Schedule 2M'!F28</f>
        <v>0</v>
      </c>
      <c r="G28" s="314">
        <f>SUMIFS(Adjustments!$G:$G,Adjustments!$H:$H,"2M",Adjustments!$I:$I,'Schedule 2M Adjustments'!$F$12,Adjustments!$J:$J,'Schedule 2M Adjustments'!$A28)</f>
        <v>0</v>
      </c>
      <c r="H28" s="310">
        <f t="shared" si="0"/>
        <v>0</v>
      </c>
      <c r="I28" s="68">
        <f>IFERROR(F28*'As-Filed Schedule 1'!$E$103,0)</f>
        <v>0</v>
      </c>
      <c r="J28" s="311">
        <f>IFERROR(H28*'Adjusted Schedule 1'!$E$104,0)</f>
        <v>0</v>
      </c>
      <c r="K28" s="68">
        <f t="shared" si="1"/>
        <v>0</v>
      </c>
      <c r="L28" s="311">
        <f t="shared" si="2"/>
        <v>0</v>
      </c>
      <c r="N28" s="117">
        <f>'As-Filed Schedule 2M'!J28</f>
        <v>0</v>
      </c>
      <c r="O28" s="314">
        <f>SUMIFS(Adjustments!$G:$G,Adjustments!$H:$H,"2M",Adjustments!$I:$I,'Schedule 2M Adjustments'!$N$12,Adjustments!$J:$J,'Schedule 2M Adjustments'!$A28)</f>
        <v>0</v>
      </c>
      <c r="P28" s="310">
        <f t="shared" si="3"/>
        <v>0</v>
      </c>
      <c r="Q28" s="68">
        <f>IFERROR(N28*'As-Filed Schedule 1'!$E$103,0)</f>
        <v>0</v>
      </c>
      <c r="R28" s="68">
        <f>IFERROR(P28*'Adjusted Schedule 1'!$E$104,0)</f>
        <v>0</v>
      </c>
      <c r="S28" s="68">
        <f t="shared" si="4"/>
        <v>0</v>
      </c>
      <c r="T28" s="311">
        <f t="shared" si="5"/>
        <v>0</v>
      </c>
      <c r="V28" s="120">
        <f>'As-Filed Schedule 2M'!N28</f>
        <v>0</v>
      </c>
      <c r="W28" s="314">
        <f>SUMIFS(Adjustments!$G:$G,Adjustments!$H:$H,"2M",Adjustments!$I:$I,'Schedule 2M Adjustments'!$V$12,Adjustments!$J:$J,'Schedule 2M Adjustments'!$A28)</f>
        <v>0</v>
      </c>
      <c r="X28" s="310">
        <f t="shared" si="6"/>
        <v>0</v>
      </c>
      <c r="Y28" s="120">
        <f>'As-Filed Schedule 2M'!O28</f>
        <v>0</v>
      </c>
      <c r="Z28" s="314">
        <f>SUMIFS(Adjustments!$G:$G,Adjustments!$H:$H,"2M",Adjustments!$I:$I,'Schedule 2M Adjustments'!$Y$12,Adjustments!$J:$J,'Schedule 2M Adjustments'!$A28)</f>
        <v>0</v>
      </c>
      <c r="AA28" s="310">
        <f t="shared" si="7"/>
        <v>0</v>
      </c>
    </row>
    <row r="29" spans="1:27" x14ac:dyDescent="0.35">
      <c r="A29" s="24">
        <v>15</v>
      </c>
      <c r="B29" s="513" t="str">
        <f>IF('As-Filed Schedule 2M'!B29:D29=0,"",'As-Filed Schedule 2M'!B29:D29)</f>
        <v/>
      </c>
      <c r="C29" s="513"/>
      <c r="D29" s="513"/>
      <c r="F29" s="117">
        <f>'As-Filed Schedule 2M'!F29</f>
        <v>0</v>
      </c>
      <c r="G29" s="314">
        <f>SUMIFS(Adjustments!$G:$G,Adjustments!$H:$H,"2M",Adjustments!$I:$I,'Schedule 2M Adjustments'!$F$12,Adjustments!$J:$J,'Schedule 2M Adjustments'!$A29)</f>
        <v>0</v>
      </c>
      <c r="H29" s="310">
        <f t="shared" si="0"/>
        <v>0</v>
      </c>
      <c r="I29" s="68">
        <f>IFERROR(F29*'As-Filed Schedule 1'!$E$103,0)</f>
        <v>0</v>
      </c>
      <c r="J29" s="311">
        <f>IFERROR(H29*'Adjusted Schedule 1'!$E$104,0)</f>
        <v>0</v>
      </c>
      <c r="K29" s="68">
        <f t="shared" si="1"/>
        <v>0</v>
      </c>
      <c r="L29" s="311">
        <f t="shared" si="2"/>
        <v>0</v>
      </c>
      <c r="N29" s="117">
        <f>'As-Filed Schedule 2M'!J29</f>
        <v>0</v>
      </c>
      <c r="O29" s="314">
        <f>SUMIFS(Adjustments!$G:$G,Adjustments!$H:$H,"2M",Adjustments!$I:$I,'Schedule 2M Adjustments'!$N$12,Adjustments!$J:$J,'Schedule 2M Adjustments'!$A29)</f>
        <v>0</v>
      </c>
      <c r="P29" s="310">
        <f t="shared" si="3"/>
        <v>0</v>
      </c>
      <c r="Q29" s="68">
        <f>IFERROR(N29*'As-Filed Schedule 1'!$E$103,0)</f>
        <v>0</v>
      </c>
      <c r="R29" s="68">
        <f>IFERROR(P29*'Adjusted Schedule 1'!$E$104,0)</f>
        <v>0</v>
      </c>
      <c r="S29" s="68">
        <f t="shared" si="4"/>
        <v>0</v>
      </c>
      <c r="T29" s="311">
        <f t="shared" si="5"/>
        <v>0</v>
      </c>
      <c r="V29" s="120">
        <f>'As-Filed Schedule 2M'!N29</f>
        <v>0</v>
      </c>
      <c r="W29" s="314">
        <f>SUMIFS(Adjustments!$G:$G,Adjustments!$H:$H,"2M",Adjustments!$I:$I,'Schedule 2M Adjustments'!$V$12,Adjustments!$J:$J,'Schedule 2M Adjustments'!$A29)</f>
        <v>0</v>
      </c>
      <c r="X29" s="310">
        <f t="shared" si="6"/>
        <v>0</v>
      </c>
      <c r="Y29" s="120">
        <f>'As-Filed Schedule 2M'!O29</f>
        <v>0</v>
      </c>
      <c r="Z29" s="314">
        <f>SUMIFS(Adjustments!$G:$G,Adjustments!$H:$H,"2M",Adjustments!$I:$I,'Schedule 2M Adjustments'!$Y$12,Adjustments!$J:$J,'Schedule 2M Adjustments'!$A29)</f>
        <v>0</v>
      </c>
      <c r="AA29" s="310">
        <f t="shared" si="7"/>
        <v>0</v>
      </c>
    </row>
    <row r="30" spans="1:27" x14ac:dyDescent="0.35">
      <c r="A30" s="24">
        <v>16</v>
      </c>
      <c r="B30" s="513" t="str">
        <f>IF('As-Filed Schedule 2M'!B30:D30=0,"",'As-Filed Schedule 2M'!B30:D30)</f>
        <v/>
      </c>
      <c r="C30" s="513"/>
      <c r="D30" s="513"/>
      <c r="F30" s="117">
        <f>'As-Filed Schedule 2M'!F30</f>
        <v>0</v>
      </c>
      <c r="G30" s="314">
        <f>SUMIFS(Adjustments!$G:$G,Adjustments!$H:$H,"2M",Adjustments!$I:$I,'Schedule 2M Adjustments'!$F$12,Adjustments!$J:$J,'Schedule 2M Adjustments'!$A30)</f>
        <v>0</v>
      </c>
      <c r="H30" s="310">
        <f t="shared" si="0"/>
        <v>0</v>
      </c>
      <c r="I30" s="68">
        <f>IFERROR(F30*'As-Filed Schedule 1'!$E$103,0)</f>
        <v>0</v>
      </c>
      <c r="J30" s="311">
        <f>IFERROR(H30*'Adjusted Schedule 1'!$E$104,0)</f>
        <v>0</v>
      </c>
      <c r="K30" s="68">
        <f t="shared" si="1"/>
        <v>0</v>
      </c>
      <c r="L30" s="311">
        <f t="shared" si="2"/>
        <v>0</v>
      </c>
      <c r="N30" s="117">
        <f>'As-Filed Schedule 2M'!J30</f>
        <v>0</v>
      </c>
      <c r="O30" s="314">
        <f>SUMIFS(Adjustments!$G:$G,Adjustments!$H:$H,"2M",Adjustments!$I:$I,'Schedule 2M Adjustments'!$N$12,Adjustments!$J:$J,'Schedule 2M Adjustments'!$A30)</f>
        <v>0</v>
      </c>
      <c r="P30" s="310">
        <f t="shared" si="3"/>
        <v>0</v>
      </c>
      <c r="Q30" s="68">
        <f>IFERROR(N30*'As-Filed Schedule 1'!$E$103,0)</f>
        <v>0</v>
      </c>
      <c r="R30" s="68">
        <f>IFERROR(P30*'Adjusted Schedule 1'!$E$104,0)</f>
        <v>0</v>
      </c>
      <c r="S30" s="68">
        <f t="shared" si="4"/>
        <v>0</v>
      </c>
      <c r="T30" s="311">
        <f t="shared" si="5"/>
        <v>0</v>
      </c>
      <c r="V30" s="120">
        <f>'As-Filed Schedule 2M'!N30</f>
        <v>0</v>
      </c>
      <c r="W30" s="314">
        <f>SUMIFS(Adjustments!$G:$G,Adjustments!$H:$H,"2M",Adjustments!$I:$I,'Schedule 2M Adjustments'!$V$12,Adjustments!$J:$J,'Schedule 2M Adjustments'!$A30)</f>
        <v>0</v>
      </c>
      <c r="X30" s="310">
        <f t="shared" si="6"/>
        <v>0</v>
      </c>
      <c r="Y30" s="120">
        <f>'As-Filed Schedule 2M'!O30</f>
        <v>0</v>
      </c>
      <c r="Z30" s="314">
        <f>SUMIFS(Adjustments!$G:$G,Adjustments!$H:$H,"2M",Adjustments!$I:$I,'Schedule 2M Adjustments'!$Y$12,Adjustments!$J:$J,'Schedule 2M Adjustments'!$A30)</f>
        <v>0</v>
      </c>
      <c r="AA30" s="310">
        <f t="shared" si="7"/>
        <v>0</v>
      </c>
    </row>
    <row r="31" spans="1:27" x14ac:dyDescent="0.35">
      <c r="A31" s="24">
        <v>17</v>
      </c>
      <c r="B31" s="513" t="str">
        <f>IF('As-Filed Schedule 2M'!B31:D31=0,"",'As-Filed Schedule 2M'!B31:D31)</f>
        <v/>
      </c>
      <c r="C31" s="513"/>
      <c r="D31" s="513"/>
      <c r="F31" s="117">
        <f>'As-Filed Schedule 2M'!F31</f>
        <v>0</v>
      </c>
      <c r="G31" s="314">
        <f>SUMIFS(Adjustments!$G:$G,Adjustments!$H:$H,"2M",Adjustments!$I:$I,'Schedule 2M Adjustments'!$F$12,Adjustments!$J:$J,'Schedule 2M Adjustments'!$A31)</f>
        <v>0</v>
      </c>
      <c r="H31" s="310">
        <f t="shared" si="0"/>
        <v>0</v>
      </c>
      <c r="I31" s="68">
        <f>IFERROR(F31*'As-Filed Schedule 1'!$E$103,0)</f>
        <v>0</v>
      </c>
      <c r="J31" s="311">
        <f>IFERROR(H31*'Adjusted Schedule 1'!$E$104,0)</f>
        <v>0</v>
      </c>
      <c r="K31" s="68">
        <f t="shared" si="1"/>
        <v>0</v>
      </c>
      <c r="L31" s="311">
        <f t="shared" si="2"/>
        <v>0</v>
      </c>
      <c r="N31" s="117">
        <f>'As-Filed Schedule 2M'!J31</f>
        <v>0</v>
      </c>
      <c r="O31" s="314">
        <f>SUMIFS(Adjustments!$G:$G,Adjustments!$H:$H,"2M",Adjustments!$I:$I,'Schedule 2M Adjustments'!$N$12,Adjustments!$J:$J,'Schedule 2M Adjustments'!$A31)</f>
        <v>0</v>
      </c>
      <c r="P31" s="310">
        <f t="shared" si="3"/>
        <v>0</v>
      </c>
      <c r="Q31" s="68">
        <f>IFERROR(N31*'As-Filed Schedule 1'!$E$103,0)</f>
        <v>0</v>
      </c>
      <c r="R31" s="68">
        <f>IFERROR(P31*'Adjusted Schedule 1'!$E$104,0)</f>
        <v>0</v>
      </c>
      <c r="S31" s="68">
        <f t="shared" si="4"/>
        <v>0</v>
      </c>
      <c r="T31" s="311">
        <f t="shared" si="5"/>
        <v>0</v>
      </c>
      <c r="V31" s="120">
        <f>'As-Filed Schedule 2M'!N31</f>
        <v>0</v>
      </c>
      <c r="W31" s="314">
        <f>SUMIFS(Adjustments!$G:$G,Adjustments!$H:$H,"2M",Adjustments!$I:$I,'Schedule 2M Adjustments'!$V$12,Adjustments!$J:$J,'Schedule 2M Adjustments'!$A31)</f>
        <v>0</v>
      </c>
      <c r="X31" s="310">
        <f t="shared" si="6"/>
        <v>0</v>
      </c>
      <c r="Y31" s="120">
        <f>'As-Filed Schedule 2M'!O31</f>
        <v>0</v>
      </c>
      <c r="Z31" s="314">
        <f>SUMIFS(Adjustments!$G:$G,Adjustments!$H:$H,"2M",Adjustments!$I:$I,'Schedule 2M Adjustments'!$Y$12,Adjustments!$J:$J,'Schedule 2M Adjustments'!$A31)</f>
        <v>0</v>
      </c>
      <c r="AA31" s="310">
        <f t="shared" si="7"/>
        <v>0</v>
      </c>
    </row>
    <row r="32" spans="1:27" x14ac:dyDescent="0.35">
      <c r="A32" s="24">
        <v>18</v>
      </c>
      <c r="B32" s="513" t="str">
        <f>IF('As-Filed Schedule 2M'!B32:D32=0,"",'As-Filed Schedule 2M'!B32:D32)</f>
        <v/>
      </c>
      <c r="C32" s="513"/>
      <c r="D32" s="513"/>
      <c r="F32" s="117">
        <f>'As-Filed Schedule 2M'!F32</f>
        <v>0</v>
      </c>
      <c r="G32" s="314">
        <f>SUMIFS(Adjustments!$G:$G,Adjustments!$H:$H,"2M",Adjustments!$I:$I,'Schedule 2M Adjustments'!$F$12,Adjustments!$J:$J,'Schedule 2M Adjustments'!$A32)</f>
        <v>0</v>
      </c>
      <c r="H32" s="310">
        <f t="shared" si="0"/>
        <v>0</v>
      </c>
      <c r="I32" s="68">
        <f>IFERROR(F32*'As-Filed Schedule 1'!$E$103,0)</f>
        <v>0</v>
      </c>
      <c r="J32" s="311">
        <f>IFERROR(H32*'Adjusted Schedule 1'!$E$104,0)</f>
        <v>0</v>
      </c>
      <c r="K32" s="68">
        <f t="shared" si="1"/>
        <v>0</v>
      </c>
      <c r="L32" s="311">
        <f t="shared" si="2"/>
        <v>0</v>
      </c>
      <c r="N32" s="117">
        <f>'As-Filed Schedule 2M'!J32</f>
        <v>0</v>
      </c>
      <c r="O32" s="314">
        <f>SUMIFS(Adjustments!$G:$G,Adjustments!$H:$H,"2M",Adjustments!$I:$I,'Schedule 2M Adjustments'!$N$12,Adjustments!$J:$J,'Schedule 2M Adjustments'!$A32)</f>
        <v>0</v>
      </c>
      <c r="P32" s="310">
        <f t="shared" si="3"/>
        <v>0</v>
      </c>
      <c r="Q32" s="68">
        <f>IFERROR(N32*'As-Filed Schedule 1'!$E$103,0)</f>
        <v>0</v>
      </c>
      <c r="R32" s="68">
        <f>IFERROR(P32*'Adjusted Schedule 1'!$E$104,0)</f>
        <v>0</v>
      </c>
      <c r="S32" s="68">
        <f t="shared" si="4"/>
        <v>0</v>
      </c>
      <c r="T32" s="311">
        <f t="shared" si="5"/>
        <v>0</v>
      </c>
      <c r="V32" s="120">
        <f>'As-Filed Schedule 2M'!N32</f>
        <v>0</v>
      </c>
      <c r="W32" s="314">
        <f>SUMIFS(Adjustments!$G:$G,Adjustments!$H:$H,"2M",Adjustments!$I:$I,'Schedule 2M Adjustments'!$V$12,Adjustments!$J:$J,'Schedule 2M Adjustments'!$A32)</f>
        <v>0</v>
      </c>
      <c r="X32" s="310">
        <f t="shared" si="6"/>
        <v>0</v>
      </c>
      <c r="Y32" s="120">
        <f>'As-Filed Schedule 2M'!O32</f>
        <v>0</v>
      </c>
      <c r="Z32" s="314">
        <f>SUMIFS(Adjustments!$G:$G,Adjustments!$H:$H,"2M",Adjustments!$I:$I,'Schedule 2M Adjustments'!$Y$12,Adjustments!$J:$J,'Schedule 2M Adjustments'!$A32)</f>
        <v>0</v>
      </c>
      <c r="AA32" s="310">
        <f t="shared" si="7"/>
        <v>0</v>
      </c>
    </row>
    <row r="33" spans="1:27" x14ac:dyDescent="0.35">
      <c r="A33" s="24">
        <v>19</v>
      </c>
      <c r="B33" s="513" t="str">
        <f>IF('As-Filed Schedule 2M'!B33:D33=0,"",'As-Filed Schedule 2M'!B33:D33)</f>
        <v/>
      </c>
      <c r="C33" s="513"/>
      <c r="D33" s="513"/>
      <c r="F33" s="117">
        <f>'As-Filed Schedule 2M'!F33</f>
        <v>0</v>
      </c>
      <c r="G33" s="314">
        <f>SUMIFS(Adjustments!$G:$G,Adjustments!$H:$H,"2M",Adjustments!$I:$I,'Schedule 2M Adjustments'!$F$12,Adjustments!$J:$J,'Schedule 2M Adjustments'!$A33)</f>
        <v>0</v>
      </c>
      <c r="H33" s="310">
        <f t="shared" si="0"/>
        <v>0</v>
      </c>
      <c r="I33" s="68">
        <f>IFERROR(F33*'As-Filed Schedule 1'!$E$103,0)</f>
        <v>0</v>
      </c>
      <c r="J33" s="311">
        <f>IFERROR(H33*'Adjusted Schedule 1'!$E$104,0)</f>
        <v>0</v>
      </c>
      <c r="K33" s="68">
        <f t="shared" si="1"/>
        <v>0</v>
      </c>
      <c r="L33" s="311">
        <f t="shared" si="2"/>
        <v>0</v>
      </c>
      <c r="N33" s="117">
        <f>'As-Filed Schedule 2M'!J33</f>
        <v>0</v>
      </c>
      <c r="O33" s="314">
        <f>SUMIFS(Adjustments!$G:$G,Adjustments!$H:$H,"2M",Adjustments!$I:$I,'Schedule 2M Adjustments'!$N$12,Adjustments!$J:$J,'Schedule 2M Adjustments'!$A33)</f>
        <v>0</v>
      </c>
      <c r="P33" s="310">
        <f t="shared" si="3"/>
        <v>0</v>
      </c>
      <c r="Q33" s="68">
        <f>IFERROR(N33*'As-Filed Schedule 1'!$E$103,0)</f>
        <v>0</v>
      </c>
      <c r="R33" s="68">
        <f>IFERROR(P33*'Adjusted Schedule 1'!$E$104,0)</f>
        <v>0</v>
      </c>
      <c r="S33" s="68">
        <f t="shared" si="4"/>
        <v>0</v>
      </c>
      <c r="T33" s="311">
        <f t="shared" si="5"/>
        <v>0</v>
      </c>
      <c r="V33" s="120">
        <f>'As-Filed Schedule 2M'!N33</f>
        <v>0</v>
      </c>
      <c r="W33" s="314">
        <f>SUMIFS(Adjustments!$G:$G,Adjustments!$H:$H,"2M",Adjustments!$I:$I,'Schedule 2M Adjustments'!$V$12,Adjustments!$J:$J,'Schedule 2M Adjustments'!$A33)</f>
        <v>0</v>
      </c>
      <c r="X33" s="310">
        <f t="shared" si="6"/>
        <v>0</v>
      </c>
      <c r="Y33" s="120">
        <f>'As-Filed Schedule 2M'!O33</f>
        <v>0</v>
      </c>
      <c r="Z33" s="314">
        <f>SUMIFS(Adjustments!$G:$G,Adjustments!$H:$H,"2M",Adjustments!$I:$I,'Schedule 2M Adjustments'!$Y$12,Adjustments!$J:$J,'Schedule 2M Adjustments'!$A33)</f>
        <v>0</v>
      </c>
      <c r="AA33" s="310">
        <f t="shared" si="7"/>
        <v>0</v>
      </c>
    </row>
    <row r="34" spans="1:27" x14ac:dyDescent="0.35">
      <c r="A34" s="24">
        <v>20</v>
      </c>
      <c r="B34" s="513" t="str">
        <f>IF('As-Filed Schedule 2M'!B34:D34=0,"",'As-Filed Schedule 2M'!B34:D34)</f>
        <v/>
      </c>
      <c r="C34" s="513"/>
      <c r="D34" s="513"/>
      <c r="F34" s="117">
        <f>'As-Filed Schedule 2M'!F34</f>
        <v>0</v>
      </c>
      <c r="G34" s="314">
        <f>SUMIFS(Adjustments!$G:$G,Adjustments!$H:$H,"2M",Adjustments!$I:$I,'Schedule 2M Adjustments'!$F$12,Adjustments!$J:$J,'Schedule 2M Adjustments'!$A34)</f>
        <v>0</v>
      </c>
      <c r="H34" s="310">
        <f t="shared" si="0"/>
        <v>0</v>
      </c>
      <c r="I34" s="68">
        <f>IFERROR(F34*'As-Filed Schedule 1'!$E$103,0)</f>
        <v>0</v>
      </c>
      <c r="J34" s="311">
        <f>IFERROR(H34*'Adjusted Schedule 1'!$E$104,0)</f>
        <v>0</v>
      </c>
      <c r="K34" s="68">
        <f t="shared" si="1"/>
        <v>0</v>
      </c>
      <c r="L34" s="311">
        <f t="shared" si="2"/>
        <v>0</v>
      </c>
      <c r="N34" s="117">
        <f>'As-Filed Schedule 2M'!J34</f>
        <v>0</v>
      </c>
      <c r="O34" s="314">
        <f>SUMIFS(Adjustments!$G:$G,Adjustments!$H:$H,"2M",Adjustments!$I:$I,'Schedule 2M Adjustments'!$N$12,Adjustments!$J:$J,'Schedule 2M Adjustments'!$A34)</f>
        <v>0</v>
      </c>
      <c r="P34" s="310">
        <f t="shared" si="3"/>
        <v>0</v>
      </c>
      <c r="Q34" s="68">
        <f>IFERROR(N34*'As-Filed Schedule 1'!$E$103,0)</f>
        <v>0</v>
      </c>
      <c r="R34" s="68">
        <f>IFERROR(P34*'Adjusted Schedule 1'!$E$104,0)</f>
        <v>0</v>
      </c>
      <c r="S34" s="68">
        <f t="shared" si="4"/>
        <v>0</v>
      </c>
      <c r="T34" s="311">
        <f t="shared" si="5"/>
        <v>0</v>
      </c>
      <c r="V34" s="120">
        <f>'As-Filed Schedule 2M'!N34</f>
        <v>0</v>
      </c>
      <c r="W34" s="314">
        <f>SUMIFS(Adjustments!$G:$G,Adjustments!$H:$H,"2M",Adjustments!$I:$I,'Schedule 2M Adjustments'!$V$12,Adjustments!$J:$J,'Schedule 2M Adjustments'!$A34)</f>
        <v>0</v>
      </c>
      <c r="X34" s="310">
        <f t="shared" si="6"/>
        <v>0</v>
      </c>
      <c r="Y34" s="120">
        <f>'As-Filed Schedule 2M'!O34</f>
        <v>0</v>
      </c>
      <c r="Z34" s="314">
        <f>SUMIFS(Adjustments!$G:$G,Adjustments!$H:$H,"2M",Adjustments!$I:$I,'Schedule 2M Adjustments'!$Y$12,Adjustments!$J:$J,'Schedule 2M Adjustments'!$A34)</f>
        <v>0</v>
      </c>
      <c r="AA34" s="310">
        <f t="shared" si="7"/>
        <v>0</v>
      </c>
    </row>
    <row r="35" spans="1:27" x14ac:dyDescent="0.35">
      <c r="A35" s="24">
        <v>21</v>
      </c>
      <c r="B35" s="513" t="str">
        <f>IF('As-Filed Schedule 2M'!B35:D35=0,"",'As-Filed Schedule 2M'!B35:D35)</f>
        <v/>
      </c>
      <c r="C35" s="513"/>
      <c r="D35" s="513"/>
      <c r="F35" s="117">
        <f>'As-Filed Schedule 2M'!F35</f>
        <v>0</v>
      </c>
      <c r="G35" s="314">
        <f>SUMIFS(Adjustments!$G:$G,Adjustments!$H:$H,"2M",Adjustments!$I:$I,'Schedule 2M Adjustments'!$F$12,Adjustments!$J:$J,'Schedule 2M Adjustments'!$A35)</f>
        <v>0</v>
      </c>
      <c r="H35" s="310">
        <f t="shared" si="0"/>
        <v>0</v>
      </c>
      <c r="I35" s="68">
        <f>IFERROR(F35*'As-Filed Schedule 1'!$E$103,0)</f>
        <v>0</v>
      </c>
      <c r="J35" s="311">
        <f>IFERROR(H35*'Adjusted Schedule 1'!$E$104,0)</f>
        <v>0</v>
      </c>
      <c r="K35" s="68">
        <f t="shared" si="1"/>
        <v>0</v>
      </c>
      <c r="L35" s="311">
        <f t="shared" si="2"/>
        <v>0</v>
      </c>
      <c r="N35" s="117">
        <f>'As-Filed Schedule 2M'!J35</f>
        <v>0</v>
      </c>
      <c r="O35" s="314">
        <f>SUMIFS(Adjustments!$G:$G,Adjustments!$H:$H,"2M",Adjustments!$I:$I,'Schedule 2M Adjustments'!$N$12,Adjustments!$J:$J,'Schedule 2M Adjustments'!$A35)</f>
        <v>0</v>
      </c>
      <c r="P35" s="310">
        <f t="shared" si="3"/>
        <v>0</v>
      </c>
      <c r="Q35" s="68">
        <f>IFERROR(N35*'As-Filed Schedule 1'!$E$103,0)</f>
        <v>0</v>
      </c>
      <c r="R35" s="68">
        <f>IFERROR(P35*'Adjusted Schedule 1'!$E$104,0)</f>
        <v>0</v>
      </c>
      <c r="S35" s="68">
        <f t="shared" si="4"/>
        <v>0</v>
      </c>
      <c r="T35" s="311">
        <f t="shared" si="5"/>
        <v>0</v>
      </c>
      <c r="V35" s="120">
        <f>'As-Filed Schedule 2M'!N35</f>
        <v>0</v>
      </c>
      <c r="W35" s="314">
        <f>SUMIFS(Adjustments!$G:$G,Adjustments!$H:$H,"2M",Adjustments!$I:$I,'Schedule 2M Adjustments'!$V$12,Adjustments!$J:$J,'Schedule 2M Adjustments'!$A35)</f>
        <v>0</v>
      </c>
      <c r="X35" s="310">
        <f t="shared" si="6"/>
        <v>0</v>
      </c>
      <c r="Y35" s="120">
        <f>'As-Filed Schedule 2M'!O35</f>
        <v>0</v>
      </c>
      <c r="Z35" s="314">
        <f>SUMIFS(Adjustments!$G:$G,Adjustments!$H:$H,"2M",Adjustments!$I:$I,'Schedule 2M Adjustments'!$Y$12,Adjustments!$J:$J,'Schedule 2M Adjustments'!$A35)</f>
        <v>0</v>
      </c>
      <c r="AA35" s="310">
        <f t="shared" si="7"/>
        <v>0</v>
      </c>
    </row>
    <row r="36" spans="1:27" x14ac:dyDescent="0.35">
      <c r="A36" s="24">
        <v>22</v>
      </c>
      <c r="B36" s="513" t="str">
        <f>IF('As-Filed Schedule 2M'!B36:D36=0,"",'As-Filed Schedule 2M'!B36:D36)</f>
        <v/>
      </c>
      <c r="C36" s="513"/>
      <c r="D36" s="513"/>
      <c r="F36" s="117">
        <f>'As-Filed Schedule 2M'!F36</f>
        <v>0</v>
      </c>
      <c r="G36" s="314">
        <f>SUMIFS(Adjustments!$G:$G,Adjustments!$H:$H,"2M",Adjustments!$I:$I,'Schedule 2M Adjustments'!$F$12,Adjustments!$J:$J,'Schedule 2M Adjustments'!$A36)</f>
        <v>0</v>
      </c>
      <c r="H36" s="310">
        <f t="shared" si="0"/>
        <v>0</v>
      </c>
      <c r="I36" s="68">
        <f>IFERROR(F36*'As-Filed Schedule 1'!$E$103,0)</f>
        <v>0</v>
      </c>
      <c r="J36" s="311">
        <f>IFERROR(H36*'Adjusted Schedule 1'!$E$104,0)</f>
        <v>0</v>
      </c>
      <c r="K36" s="68">
        <f t="shared" si="1"/>
        <v>0</v>
      </c>
      <c r="L36" s="311">
        <f t="shared" si="2"/>
        <v>0</v>
      </c>
      <c r="N36" s="117">
        <f>'As-Filed Schedule 2M'!J36</f>
        <v>0</v>
      </c>
      <c r="O36" s="314">
        <f>SUMIFS(Adjustments!$G:$G,Adjustments!$H:$H,"2M",Adjustments!$I:$I,'Schedule 2M Adjustments'!$N$12,Adjustments!$J:$J,'Schedule 2M Adjustments'!$A36)</f>
        <v>0</v>
      </c>
      <c r="P36" s="310">
        <f t="shared" si="3"/>
        <v>0</v>
      </c>
      <c r="Q36" s="68">
        <f>IFERROR(N36*'As-Filed Schedule 1'!$E$103,0)</f>
        <v>0</v>
      </c>
      <c r="R36" s="68">
        <f>IFERROR(P36*'Adjusted Schedule 1'!$E$104,0)</f>
        <v>0</v>
      </c>
      <c r="S36" s="68">
        <f t="shared" si="4"/>
        <v>0</v>
      </c>
      <c r="T36" s="311">
        <f t="shared" si="5"/>
        <v>0</v>
      </c>
      <c r="V36" s="120">
        <f>'As-Filed Schedule 2M'!N36</f>
        <v>0</v>
      </c>
      <c r="W36" s="314">
        <f>SUMIFS(Adjustments!$G:$G,Adjustments!$H:$H,"2M",Adjustments!$I:$I,'Schedule 2M Adjustments'!$V$12,Adjustments!$J:$J,'Schedule 2M Adjustments'!$A36)</f>
        <v>0</v>
      </c>
      <c r="X36" s="310">
        <f t="shared" si="6"/>
        <v>0</v>
      </c>
      <c r="Y36" s="120">
        <f>'As-Filed Schedule 2M'!O36</f>
        <v>0</v>
      </c>
      <c r="Z36" s="314">
        <f>SUMIFS(Adjustments!$G:$G,Adjustments!$H:$H,"2M",Adjustments!$I:$I,'Schedule 2M Adjustments'!$Y$12,Adjustments!$J:$J,'Schedule 2M Adjustments'!$A36)</f>
        <v>0</v>
      </c>
      <c r="AA36" s="310">
        <f t="shared" si="7"/>
        <v>0</v>
      </c>
    </row>
    <row r="37" spans="1:27" x14ac:dyDescent="0.35">
      <c r="A37" s="24">
        <v>23</v>
      </c>
      <c r="B37" s="513" t="str">
        <f>IF('As-Filed Schedule 2M'!B37:D37=0,"",'As-Filed Schedule 2M'!B37:D37)</f>
        <v/>
      </c>
      <c r="C37" s="513"/>
      <c r="D37" s="513"/>
      <c r="F37" s="117">
        <f>'As-Filed Schedule 2M'!F37</f>
        <v>0</v>
      </c>
      <c r="G37" s="314">
        <f>SUMIFS(Adjustments!$G:$G,Adjustments!$H:$H,"2M",Adjustments!$I:$I,'Schedule 2M Adjustments'!$F$12,Adjustments!$J:$J,'Schedule 2M Adjustments'!$A37)</f>
        <v>0</v>
      </c>
      <c r="H37" s="310">
        <f t="shared" si="0"/>
        <v>0</v>
      </c>
      <c r="I37" s="68">
        <f>IFERROR(F37*'As-Filed Schedule 1'!$E$103,0)</f>
        <v>0</v>
      </c>
      <c r="J37" s="311">
        <f>IFERROR(H37*'Adjusted Schedule 1'!$E$104,0)</f>
        <v>0</v>
      </c>
      <c r="K37" s="68">
        <f t="shared" si="1"/>
        <v>0</v>
      </c>
      <c r="L37" s="311">
        <f t="shared" si="2"/>
        <v>0</v>
      </c>
      <c r="N37" s="117">
        <f>'As-Filed Schedule 2M'!J37</f>
        <v>0</v>
      </c>
      <c r="O37" s="314">
        <f>SUMIFS(Adjustments!$G:$G,Adjustments!$H:$H,"2M",Adjustments!$I:$I,'Schedule 2M Adjustments'!$N$12,Adjustments!$J:$J,'Schedule 2M Adjustments'!$A37)</f>
        <v>0</v>
      </c>
      <c r="P37" s="310">
        <f t="shared" si="3"/>
        <v>0</v>
      </c>
      <c r="Q37" s="68">
        <f>IFERROR(N37*'As-Filed Schedule 1'!$E$103,0)</f>
        <v>0</v>
      </c>
      <c r="R37" s="68">
        <f>IFERROR(P37*'Adjusted Schedule 1'!$E$104,0)</f>
        <v>0</v>
      </c>
      <c r="S37" s="68">
        <f t="shared" si="4"/>
        <v>0</v>
      </c>
      <c r="T37" s="311">
        <f t="shared" si="5"/>
        <v>0</v>
      </c>
      <c r="V37" s="120">
        <f>'As-Filed Schedule 2M'!N37</f>
        <v>0</v>
      </c>
      <c r="W37" s="314">
        <f>SUMIFS(Adjustments!$G:$G,Adjustments!$H:$H,"2M",Adjustments!$I:$I,'Schedule 2M Adjustments'!$V$12,Adjustments!$J:$J,'Schedule 2M Adjustments'!$A37)</f>
        <v>0</v>
      </c>
      <c r="X37" s="310">
        <f t="shared" si="6"/>
        <v>0</v>
      </c>
      <c r="Y37" s="120">
        <f>'As-Filed Schedule 2M'!O37</f>
        <v>0</v>
      </c>
      <c r="Z37" s="314">
        <f>SUMIFS(Adjustments!$G:$G,Adjustments!$H:$H,"2M",Adjustments!$I:$I,'Schedule 2M Adjustments'!$Y$12,Adjustments!$J:$J,'Schedule 2M Adjustments'!$A37)</f>
        <v>0</v>
      </c>
      <c r="AA37" s="310">
        <f t="shared" si="7"/>
        <v>0</v>
      </c>
    </row>
    <row r="38" spans="1:27" x14ac:dyDescent="0.35">
      <c r="A38" s="24">
        <v>24</v>
      </c>
      <c r="B38" s="513" t="str">
        <f>IF('As-Filed Schedule 2M'!B38:D38=0,"",'As-Filed Schedule 2M'!B38:D38)</f>
        <v/>
      </c>
      <c r="C38" s="513"/>
      <c r="D38" s="513"/>
      <c r="F38" s="117">
        <f>'As-Filed Schedule 2M'!F38</f>
        <v>0</v>
      </c>
      <c r="G38" s="314">
        <f>SUMIFS(Adjustments!$G:$G,Adjustments!$H:$H,"2M",Adjustments!$I:$I,'Schedule 2M Adjustments'!$F$12,Adjustments!$J:$J,'Schedule 2M Adjustments'!$A38)</f>
        <v>0</v>
      </c>
      <c r="H38" s="310">
        <f t="shared" si="0"/>
        <v>0</v>
      </c>
      <c r="I38" s="68">
        <f>IFERROR(F38*'As-Filed Schedule 1'!$E$103,0)</f>
        <v>0</v>
      </c>
      <c r="J38" s="311">
        <f>IFERROR(H38*'Adjusted Schedule 1'!$E$104,0)</f>
        <v>0</v>
      </c>
      <c r="K38" s="68">
        <f t="shared" si="1"/>
        <v>0</v>
      </c>
      <c r="L38" s="311">
        <f t="shared" si="2"/>
        <v>0</v>
      </c>
      <c r="N38" s="117">
        <f>'As-Filed Schedule 2M'!J38</f>
        <v>0</v>
      </c>
      <c r="O38" s="314">
        <f>SUMIFS(Adjustments!$G:$G,Adjustments!$H:$H,"2M",Adjustments!$I:$I,'Schedule 2M Adjustments'!$N$12,Adjustments!$J:$J,'Schedule 2M Adjustments'!$A38)</f>
        <v>0</v>
      </c>
      <c r="P38" s="310">
        <f t="shared" si="3"/>
        <v>0</v>
      </c>
      <c r="Q38" s="68">
        <f>IFERROR(N38*'As-Filed Schedule 1'!$E$103,0)</f>
        <v>0</v>
      </c>
      <c r="R38" s="68">
        <f>IFERROR(P38*'Adjusted Schedule 1'!$E$104,0)</f>
        <v>0</v>
      </c>
      <c r="S38" s="68">
        <f t="shared" si="4"/>
        <v>0</v>
      </c>
      <c r="T38" s="311">
        <f t="shared" si="5"/>
        <v>0</v>
      </c>
      <c r="V38" s="120">
        <f>'As-Filed Schedule 2M'!N38</f>
        <v>0</v>
      </c>
      <c r="W38" s="314">
        <f>SUMIFS(Adjustments!$G:$G,Adjustments!$H:$H,"2M",Adjustments!$I:$I,'Schedule 2M Adjustments'!$V$12,Adjustments!$J:$J,'Schedule 2M Adjustments'!$A38)</f>
        <v>0</v>
      </c>
      <c r="X38" s="310">
        <f t="shared" si="6"/>
        <v>0</v>
      </c>
      <c r="Y38" s="120">
        <f>'As-Filed Schedule 2M'!O38</f>
        <v>0</v>
      </c>
      <c r="Z38" s="314">
        <f>SUMIFS(Adjustments!$G:$G,Adjustments!$H:$H,"2M",Adjustments!$I:$I,'Schedule 2M Adjustments'!$Y$12,Adjustments!$J:$J,'Schedule 2M Adjustments'!$A38)</f>
        <v>0</v>
      </c>
      <c r="AA38" s="310">
        <f t="shared" si="7"/>
        <v>0</v>
      </c>
    </row>
    <row r="39" spans="1:27" x14ac:dyDescent="0.35">
      <c r="A39" s="24">
        <v>25</v>
      </c>
      <c r="B39" s="513" t="str">
        <f>IF('As-Filed Schedule 2M'!B39:D39=0,"",'As-Filed Schedule 2M'!B39:D39)</f>
        <v/>
      </c>
      <c r="C39" s="513"/>
      <c r="D39" s="513"/>
      <c r="F39" s="117">
        <f>'As-Filed Schedule 2M'!F39</f>
        <v>0</v>
      </c>
      <c r="G39" s="314">
        <f>SUMIFS(Adjustments!$G:$G,Adjustments!$H:$H,"2M",Adjustments!$I:$I,'Schedule 2M Adjustments'!$F$12,Adjustments!$J:$J,'Schedule 2M Adjustments'!$A39)</f>
        <v>0</v>
      </c>
      <c r="H39" s="310">
        <f t="shared" si="0"/>
        <v>0</v>
      </c>
      <c r="I39" s="68">
        <f>IFERROR(F39*'As-Filed Schedule 1'!$E$103,0)</f>
        <v>0</v>
      </c>
      <c r="J39" s="311">
        <f>IFERROR(H39*'Adjusted Schedule 1'!$E$104,0)</f>
        <v>0</v>
      </c>
      <c r="K39" s="68">
        <f t="shared" si="1"/>
        <v>0</v>
      </c>
      <c r="L39" s="311">
        <f t="shared" si="2"/>
        <v>0</v>
      </c>
      <c r="N39" s="117">
        <f>'As-Filed Schedule 2M'!J39</f>
        <v>0</v>
      </c>
      <c r="O39" s="314">
        <f>SUMIFS(Adjustments!$G:$G,Adjustments!$H:$H,"2M",Adjustments!$I:$I,'Schedule 2M Adjustments'!$N$12,Adjustments!$J:$J,'Schedule 2M Adjustments'!$A39)</f>
        <v>0</v>
      </c>
      <c r="P39" s="310">
        <f t="shared" si="3"/>
        <v>0</v>
      </c>
      <c r="Q39" s="68">
        <f>IFERROR(N39*'As-Filed Schedule 1'!$E$103,0)</f>
        <v>0</v>
      </c>
      <c r="R39" s="68">
        <f>IFERROR(P39*'Adjusted Schedule 1'!$E$104,0)</f>
        <v>0</v>
      </c>
      <c r="S39" s="68">
        <f t="shared" si="4"/>
        <v>0</v>
      </c>
      <c r="T39" s="311">
        <f t="shared" si="5"/>
        <v>0</v>
      </c>
      <c r="V39" s="120">
        <f>'As-Filed Schedule 2M'!N39</f>
        <v>0</v>
      </c>
      <c r="W39" s="314">
        <f>SUMIFS(Adjustments!$G:$G,Adjustments!$H:$H,"2M",Adjustments!$I:$I,'Schedule 2M Adjustments'!$V$12,Adjustments!$J:$J,'Schedule 2M Adjustments'!$A39)</f>
        <v>0</v>
      </c>
      <c r="X39" s="310">
        <f t="shared" si="6"/>
        <v>0</v>
      </c>
      <c r="Y39" s="120">
        <f>'As-Filed Schedule 2M'!O39</f>
        <v>0</v>
      </c>
      <c r="Z39" s="314">
        <f>SUMIFS(Adjustments!$G:$G,Adjustments!$H:$H,"2M",Adjustments!$I:$I,'Schedule 2M Adjustments'!$Y$12,Adjustments!$J:$J,'Schedule 2M Adjustments'!$A39)</f>
        <v>0</v>
      </c>
      <c r="AA39" s="310">
        <f t="shared" si="7"/>
        <v>0</v>
      </c>
    </row>
    <row r="40" spans="1:27" x14ac:dyDescent="0.35">
      <c r="A40" s="24">
        <v>26</v>
      </c>
      <c r="B40" s="513" t="str">
        <f>IF('As-Filed Schedule 2M'!B40:D40=0,"",'As-Filed Schedule 2M'!B40:D40)</f>
        <v/>
      </c>
      <c r="C40" s="513"/>
      <c r="D40" s="513"/>
      <c r="F40" s="117">
        <f>'As-Filed Schedule 2M'!F40</f>
        <v>0</v>
      </c>
      <c r="G40" s="314">
        <f>SUMIFS(Adjustments!$G:$G,Adjustments!$H:$H,"2M",Adjustments!$I:$I,'Schedule 2M Adjustments'!$F$12,Adjustments!$J:$J,'Schedule 2M Adjustments'!$A40)</f>
        <v>0</v>
      </c>
      <c r="H40" s="310">
        <f t="shared" si="0"/>
        <v>0</v>
      </c>
      <c r="I40" s="68">
        <f>IFERROR(F40*'As-Filed Schedule 1'!$E$103,0)</f>
        <v>0</v>
      </c>
      <c r="J40" s="311">
        <f>IFERROR(H40*'Adjusted Schedule 1'!$E$104,0)</f>
        <v>0</v>
      </c>
      <c r="K40" s="68">
        <f t="shared" si="1"/>
        <v>0</v>
      </c>
      <c r="L40" s="311">
        <f t="shared" si="2"/>
        <v>0</v>
      </c>
      <c r="N40" s="117">
        <f>'As-Filed Schedule 2M'!J40</f>
        <v>0</v>
      </c>
      <c r="O40" s="314">
        <f>SUMIFS(Adjustments!$G:$G,Adjustments!$H:$H,"2M",Adjustments!$I:$I,'Schedule 2M Adjustments'!$N$12,Adjustments!$J:$J,'Schedule 2M Adjustments'!$A40)</f>
        <v>0</v>
      </c>
      <c r="P40" s="310">
        <f t="shared" si="3"/>
        <v>0</v>
      </c>
      <c r="Q40" s="68">
        <f>IFERROR(N40*'As-Filed Schedule 1'!$E$103,0)</f>
        <v>0</v>
      </c>
      <c r="R40" s="68">
        <f>IFERROR(P40*'Adjusted Schedule 1'!$E$104,0)</f>
        <v>0</v>
      </c>
      <c r="S40" s="68">
        <f t="shared" si="4"/>
        <v>0</v>
      </c>
      <c r="T40" s="311">
        <f t="shared" si="5"/>
        <v>0</v>
      </c>
      <c r="V40" s="120">
        <f>'As-Filed Schedule 2M'!N40</f>
        <v>0</v>
      </c>
      <c r="W40" s="314">
        <f>SUMIFS(Adjustments!$G:$G,Adjustments!$H:$H,"2M",Adjustments!$I:$I,'Schedule 2M Adjustments'!$V$12,Adjustments!$J:$J,'Schedule 2M Adjustments'!$A40)</f>
        <v>0</v>
      </c>
      <c r="X40" s="310">
        <f t="shared" si="6"/>
        <v>0</v>
      </c>
      <c r="Y40" s="120">
        <f>'As-Filed Schedule 2M'!O40</f>
        <v>0</v>
      </c>
      <c r="Z40" s="314">
        <f>SUMIFS(Adjustments!$G:$G,Adjustments!$H:$H,"2M",Adjustments!$I:$I,'Schedule 2M Adjustments'!$Y$12,Adjustments!$J:$J,'Schedule 2M Adjustments'!$A40)</f>
        <v>0</v>
      </c>
      <c r="AA40" s="310">
        <f t="shared" si="7"/>
        <v>0</v>
      </c>
    </row>
    <row r="41" spans="1:27" x14ac:dyDescent="0.35">
      <c r="A41" s="24">
        <v>27</v>
      </c>
      <c r="B41" s="513" t="str">
        <f>IF('As-Filed Schedule 2M'!B41:D41=0,"",'As-Filed Schedule 2M'!B41:D41)</f>
        <v/>
      </c>
      <c r="C41" s="513"/>
      <c r="D41" s="513"/>
      <c r="F41" s="117">
        <f>'As-Filed Schedule 2M'!F41</f>
        <v>0</v>
      </c>
      <c r="G41" s="314">
        <f>SUMIFS(Adjustments!$G:$G,Adjustments!$H:$H,"2M",Adjustments!$I:$I,'Schedule 2M Adjustments'!$F$12,Adjustments!$J:$J,'Schedule 2M Adjustments'!$A41)</f>
        <v>0</v>
      </c>
      <c r="H41" s="310">
        <f t="shared" si="0"/>
        <v>0</v>
      </c>
      <c r="I41" s="68">
        <f>IFERROR(F41*'As-Filed Schedule 1'!$E$103,0)</f>
        <v>0</v>
      </c>
      <c r="J41" s="311">
        <f>IFERROR(H41*'Adjusted Schedule 1'!$E$104,0)</f>
        <v>0</v>
      </c>
      <c r="K41" s="68">
        <f t="shared" si="1"/>
        <v>0</v>
      </c>
      <c r="L41" s="311">
        <f t="shared" si="2"/>
        <v>0</v>
      </c>
      <c r="N41" s="117">
        <f>'As-Filed Schedule 2M'!J41</f>
        <v>0</v>
      </c>
      <c r="O41" s="314">
        <f>SUMIFS(Adjustments!$G:$G,Adjustments!$H:$H,"2M",Adjustments!$I:$I,'Schedule 2M Adjustments'!$N$12,Adjustments!$J:$J,'Schedule 2M Adjustments'!$A41)</f>
        <v>0</v>
      </c>
      <c r="P41" s="310">
        <f t="shared" si="3"/>
        <v>0</v>
      </c>
      <c r="Q41" s="68">
        <f>IFERROR(N41*'As-Filed Schedule 1'!$E$103,0)</f>
        <v>0</v>
      </c>
      <c r="R41" s="68">
        <f>IFERROR(P41*'Adjusted Schedule 1'!$E$104,0)</f>
        <v>0</v>
      </c>
      <c r="S41" s="68">
        <f t="shared" si="4"/>
        <v>0</v>
      </c>
      <c r="T41" s="311">
        <f t="shared" si="5"/>
        <v>0</v>
      </c>
      <c r="V41" s="120">
        <f>'As-Filed Schedule 2M'!N41</f>
        <v>0</v>
      </c>
      <c r="W41" s="314">
        <f>SUMIFS(Adjustments!$G:$G,Adjustments!$H:$H,"2M",Adjustments!$I:$I,'Schedule 2M Adjustments'!$V$12,Adjustments!$J:$J,'Schedule 2M Adjustments'!$A41)</f>
        <v>0</v>
      </c>
      <c r="X41" s="310">
        <f t="shared" si="6"/>
        <v>0</v>
      </c>
      <c r="Y41" s="120">
        <f>'As-Filed Schedule 2M'!O41</f>
        <v>0</v>
      </c>
      <c r="Z41" s="314">
        <f>SUMIFS(Adjustments!$G:$G,Adjustments!$H:$H,"2M",Adjustments!$I:$I,'Schedule 2M Adjustments'!$Y$12,Adjustments!$J:$J,'Schedule 2M Adjustments'!$A41)</f>
        <v>0</v>
      </c>
      <c r="AA41" s="310">
        <f t="shared" si="7"/>
        <v>0</v>
      </c>
    </row>
    <row r="42" spans="1:27" x14ac:dyDescent="0.35">
      <c r="A42" s="24">
        <v>28</v>
      </c>
      <c r="B42" s="513" t="str">
        <f>IF('As-Filed Schedule 2M'!B42:D42=0,"",'As-Filed Schedule 2M'!B42:D42)</f>
        <v/>
      </c>
      <c r="C42" s="513"/>
      <c r="D42" s="513"/>
      <c r="F42" s="117">
        <f>'As-Filed Schedule 2M'!F42</f>
        <v>0</v>
      </c>
      <c r="G42" s="314">
        <f>SUMIFS(Adjustments!$G:$G,Adjustments!$H:$H,"2M",Adjustments!$I:$I,'Schedule 2M Adjustments'!$F$12,Adjustments!$J:$J,'Schedule 2M Adjustments'!$A42)</f>
        <v>0</v>
      </c>
      <c r="H42" s="310">
        <f t="shared" si="0"/>
        <v>0</v>
      </c>
      <c r="I42" s="68">
        <f>IFERROR(F42*'As-Filed Schedule 1'!$E$103,0)</f>
        <v>0</v>
      </c>
      <c r="J42" s="311">
        <f>IFERROR(H42*'Adjusted Schedule 1'!$E$104,0)</f>
        <v>0</v>
      </c>
      <c r="K42" s="68">
        <f t="shared" si="1"/>
        <v>0</v>
      </c>
      <c r="L42" s="311">
        <f t="shared" si="2"/>
        <v>0</v>
      </c>
      <c r="N42" s="117">
        <f>'As-Filed Schedule 2M'!J42</f>
        <v>0</v>
      </c>
      <c r="O42" s="314">
        <f>SUMIFS(Adjustments!$G:$G,Adjustments!$H:$H,"2M",Adjustments!$I:$I,'Schedule 2M Adjustments'!$N$12,Adjustments!$J:$J,'Schedule 2M Adjustments'!$A42)</f>
        <v>0</v>
      </c>
      <c r="P42" s="310">
        <f t="shared" si="3"/>
        <v>0</v>
      </c>
      <c r="Q42" s="68">
        <f>IFERROR(N42*'As-Filed Schedule 1'!$E$103,0)</f>
        <v>0</v>
      </c>
      <c r="R42" s="68">
        <f>IFERROR(P42*'Adjusted Schedule 1'!$E$104,0)</f>
        <v>0</v>
      </c>
      <c r="S42" s="68">
        <f t="shared" si="4"/>
        <v>0</v>
      </c>
      <c r="T42" s="311">
        <f t="shared" si="5"/>
        <v>0</v>
      </c>
      <c r="V42" s="120">
        <f>'As-Filed Schedule 2M'!N42</f>
        <v>0</v>
      </c>
      <c r="W42" s="314">
        <f>SUMIFS(Adjustments!$G:$G,Adjustments!$H:$H,"2M",Adjustments!$I:$I,'Schedule 2M Adjustments'!$V$12,Adjustments!$J:$J,'Schedule 2M Adjustments'!$A42)</f>
        <v>0</v>
      </c>
      <c r="X42" s="310">
        <f t="shared" si="6"/>
        <v>0</v>
      </c>
      <c r="Y42" s="120">
        <f>'As-Filed Schedule 2M'!O42</f>
        <v>0</v>
      </c>
      <c r="Z42" s="314">
        <f>SUMIFS(Adjustments!$G:$G,Adjustments!$H:$H,"2M",Adjustments!$I:$I,'Schedule 2M Adjustments'!$Y$12,Adjustments!$J:$J,'Schedule 2M Adjustments'!$A42)</f>
        <v>0</v>
      </c>
      <c r="AA42" s="310">
        <f t="shared" si="7"/>
        <v>0</v>
      </c>
    </row>
    <row r="43" spans="1:27" x14ac:dyDescent="0.35">
      <c r="A43" s="24">
        <v>29</v>
      </c>
      <c r="B43" s="513" t="str">
        <f>IF('As-Filed Schedule 2M'!B43:D43=0,"",'As-Filed Schedule 2M'!B43:D43)</f>
        <v/>
      </c>
      <c r="C43" s="513"/>
      <c r="D43" s="513"/>
      <c r="F43" s="117">
        <f>'As-Filed Schedule 2M'!F43</f>
        <v>0</v>
      </c>
      <c r="G43" s="314">
        <f>SUMIFS(Adjustments!$G:$G,Adjustments!$H:$H,"2M",Adjustments!$I:$I,'Schedule 2M Adjustments'!$F$12,Adjustments!$J:$J,'Schedule 2M Adjustments'!$A43)</f>
        <v>0</v>
      </c>
      <c r="H43" s="310">
        <f t="shared" si="0"/>
        <v>0</v>
      </c>
      <c r="I43" s="68">
        <f>IFERROR(F43*'As-Filed Schedule 1'!$E$103,0)</f>
        <v>0</v>
      </c>
      <c r="J43" s="311">
        <f>IFERROR(H43*'Adjusted Schedule 1'!$E$104,0)</f>
        <v>0</v>
      </c>
      <c r="K43" s="68">
        <f t="shared" si="1"/>
        <v>0</v>
      </c>
      <c r="L43" s="311">
        <f t="shared" si="2"/>
        <v>0</v>
      </c>
      <c r="N43" s="117">
        <f>'As-Filed Schedule 2M'!J43</f>
        <v>0</v>
      </c>
      <c r="O43" s="314">
        <f>SUMIFS(Adjustments!$G:$G,Adjustments!$H:$H,"2M",Adjustments!$I:$I,'Schedule 2M Adjustments'!$N$12,Adjustments!$J:$J,'Schedule 2M Adjustments'!$A43)</f>
        <v>0</v>
      </c>
      <c r="P43" s="310">
        <f t="shared" si="3"/>
        <v>0</v>
      </c>
      <c r="Q43" s="68">
        <f>IFERROR(N43*'As-Filed Schedule 1'!$E$103,0)</f>
        <v>0</v>
      </c>
      <c r="R43" s="68">
        <f>IFERROR(P43*'Adjusted Schedule 1'!$E$104,0)</f>
        <v>0</v>
      </c>
      <c r="S43" s="68">
        <f t="shared" si="4"/>
        <v>0</v>
      </c>
      <c r="T43" s="311">
        <f t="shared" si="5"/>
        <v>0</v>
      </c>
      <c r="V43" s="120">
        <f>'As-Filed Schedule 2M'!N43</f>
        <v>0</v>
      </c>
      <c r="W43" s="314">
        <f>SUMIFS(Adjustments!$G:$G,Adjustments!$H:$H,"2M",Adjustments!$I:$I,'Schedule 2M Adjustments'!$V$12,Adjustments!$J:$J,'Schedule 2M Adjustments'!$A43)</f>
        <v>0</v>
      </c>
      <c r="X43" s="310">
        <f t="shared" si="6"/>
        <v>0</v>
      </c>
      <c r="Y43" s="120">
        <f>'As-Filed Schedule 2M'!O43</f>
        <v>0</v>
      </c>
      <c r="Z43" s="314">
        <f>SUMIFS(Adjustments!$G:$G,Adjustments!$H:$H,"2M",Adjustments!$I:$I,'Schedule 2M Adjustments'!$Y$12,Adjustments!$J:$J,'Schedule 2M Adjustments'!$A43)</f>
        <v>0</v>
      </c>
      <c r="AA43" s="310">
        <f t="shared" si="7"/>
        <v>0</v>
      </c>
    </row>
    <row r="44" spans="1:27" x14ac:dyDescent="0.35">
      <c r="A44" s="24">
        <v>30</v>
      </c>
      <c r="B44" s="513" t="str">
        <f>IF('As-Filed Schedule 2M'!B44:D44=0,"",'As-Filed Schedule 2M'!B44:D44)</f>
        <v/>
      </c>
      <c r="C44" s="513"/>
      <c r="D44" s="513"/>
      <c r="F44" s="117">
        <f>'As-Filed Schedule 2M'!F44</f>
        <v>0</v>
      </c>
      <c r="G44" s="314">
        <f>SUMIFS(Adjustments!$G:$G,Adjustments!$H:$H,"2M",Adjustments!$I:$I,'Schedule 2M Adjustments'!$F$12,Adjustments!$J:$J,'Schedule 2M Adjustments'!$A44)</f>
        <v>0</v>
      </c>
      <c r="H44" s="310">
        <f t="shared" si="0"/>
        <v>0</v>
      </c>
      <c r="I44" s="68">
        <f>IFERROR(F44*'As-Filed Schedule 1'!$E$103,0)</f>
        <v>0</v>
      </c>
      <c r="J44" s="311">
        <f>IFERROR(H44*'Adjusted Schedule 1'!$E$104,0)</f>
        <v>0</v>
      </c>
      <c r="K44" s="68">
        <f t="shared" si="1"/>
        <v>0</v>
      </c>
      <c r="L44" s="311">
        <f t="shared" si="2"/>
        <v>0</v>
      </c>
      <c r="N44" s="117">
        <f>'As-Filed Schedule 2M'!J44</f>
        <v>0</v>
      </c>
      <c r="O44" s="314">
        <f>SUMIFS(Adjustments!$G:$G,Adjustments!$H:$H,"2M",Adjustments!$I:$I,'Schedule 2M Adjustments'!$N$12,Adjustments!$J:$J,'Schedule 2M Adjustments'!$A44)</f>
        <v>0</v>
      </c>
      <c r="P44" s="310">
        <f t="shared" si="3"/>
        <v>0</v>
      </c>
      <c r="Q44" s="68">
        <f>IFERROR(N44*'As-Filed Schedule 1'!$E$103,0)</f>
        <v>0</v>
      </c>
      <c r="R44" s="68">
        <f>IFERROR(P44*'Adjusted Schedule 1'!$E$104,0)</f>
        <v>0</v>
      </c>
      <c r="S44" s="68">
        <f t="shared" si="4"/>
        <v>0</v>
      </c>
      <c r="T44" s="311">
        <f t="shared" si="5"/>
        <v>0</v>
      </c>
      <c r="V44" s="120">
        <f>'As-Filed Schedule 2M'!N44</f>
        <v>0</v>
      </c>
      <c r="W44" s="314">
        <f>SUMIFS(Adjustments!$G:$G,Adjustments!$H:$H,"2M",Adjustments!$I:$I,'Schedule 2M Adjustments'!$V$12,Adjustments!$J:$J,'Schedule 2M Adjustments'!$A44)</f>
        <v>0</v>
      </c>
      <c r="X44" s="310">
        <f t="shared" si="6"/>
        <v>0</v>
      </c>
      <c r="Y44" s="120">
        <f>'As-Filed Schedule 2M'!O44</f>
        <v>0</v>
      </c>
      <c r="Z44" s="314">
        <f>SUMIFS(Adjustments!$G:$G,Adjustments!$H:$H,"2M",Adjustments!$I:$I,'Schedule 2M Adjustments'!$Y$12,Adjustments!$J:$J,'Schedule 2M Adjustments'!$A44)</f>
        <v>0</v>
      </c>
      <c r="AA44" s="310">
        <f t="shared" si="7"/>
        <v>0</v>
      </c>
    </row>
    <row r="45" spans="1:27" x14ac:dyDescent="0.35">
      <c r="A45" s="24">
        <v>31</v>
      </c>
      <c r="B45" s="513" t="str">
        <f>IF('As-Filed Schedule 2M'!B45:D45=0,"",'As-Filed Schedule 2M'!B45:D45)</f>
        <v/>
      </c>
      <c r="C45" s="513"/>
      <c r="D45" s="513"/>
      <c r="F45" s="117">
        <f>'As-Filed Schedule 2M'!F45</f>
        <v>0</v>
      </c>
      <c r="G45" s="314">
        <f>SUMIFS(Adjustments!$G:$G,Adjustments!$H:$H,"2M",Adjustments!$I:$I,'Schedule 2M Adjustments'!$F$12,Adjustments!$J:$J,'Schedule 2M Adjustments'!$A45)</f>
        <v>0</v>
      </c>
      <c r="H45" s="310">
        <f t="shared" si="0"/>
        <v>0</v>
      </c>
      <c r="I45" s="68">
        <f>IFERROR(F45*'As-Filed Schedule 1'!$E$103,0)</f>
        <v>0</v>
      </c>
      <c r="J45" s="311">
        <f>IFERROR(H45*'Adjusted Schedule 1'!$E$104,0)</f>
        <v>0</v>
      </c>
      <c r="K45" s="68">
        <f t="shared" si="1"/>
        <v>0</v>
      </c>
      <c r="L45" s="311">
        <f t="shared" si="2"/>
        <v>0</v>
      </c>
      <c r="N45" s="117">
        <f>'As-Filed Schedule 2M'!J45</f>
        <v>0</v>
      </c>
      <c r="O45" s="314">
        <f>SUMIFS(Adjustments!$G:$G,Adjustments!$H:$H,"2M",Adjustments!$I:$I,'Schedule 2M Adjustments'!$N$12,Adjustments!$J:$J,'Schedule 2M Adjustments'!$A45)</f>
        <v>0</v>
      </c>
      <c r="P45" s="310">
        <f t="shared" si="3"/>
        <v>0</v>
      </c>
      <c r="Q45" s="68">
        <f>IFERROR(N45*'As-Filed Schedule 1'!$E$103,0)</f>
        <v>0</v>
      </c>
      <c r="R45" s="68">
        <f>IFERROR(P45*'Adjusted Schedule 1'!$E$104,0)</f>
        <v>0</v>
      </c>
      <c r="S45" s="68">
        <f t="shared" si="4"/>
        <v>0</v>
      </c>
      <c r="T45" s="311">
        <f t="shared" si="5"/>
        <v>0</v>
      </c>
      <c r="V45" s="120">
        <f>'As-Filed Schedule 2M'!N45</f>
        <v>0</v>
      </c>
      <c r="W45" s="314">
        <f>SUMIFS(Adjustments!$G:$G,Adjustments!$H:$H,"2M",Adjustments!$I:$I,'Schedule 2M Adjustments'!$V$12,Adjustments!$J:$J,'Schedule 2M Adjustments'!$A45)</f>
        <v>0</v>
      </c>
      <c r="X45" s="310">
        <f t="shared" si="6"/>
        <v>0</v>
      </c>
      <c r="Y45" s="120">
        <f>'As-Filed Schedule 2M'!O45</f>
        <v>0</v>
      </c>
      <c r="Z45" s="314">
        <f>SUMIFS(Adjustments!$G:$G,Adjustments!$H:$H,"2M",Adjustments!$I:$I,'Schedule 2M Adjustments'!$Y$12,Adjustments!$J:$J,'Schedule 2M Adjustments'!$A45)</f>
        <v>0</v>
      </c>
      <c r="AA45" s="310">
        <f t="shared" si="7"/>
        <v>0</v>
      </c>
    </row>
    <row r="46" spans="1:27" x14ac:dyDescent="0.35">
      <c r="A46" s="24">
        <v>32</v>
      </c>
      <c r="B46" s="513" t="str">
        <f>IF('As-Filed Schedule 2M'!B46:D46=0,"",'As-Filed Schedule 2M'!B46:D46)</f>
        <v/>
      </c>
      <c r="C46" s="513"/>
      <c r="D46" s="513"/>
      <c r="F46" s="117">
        <f>'As-Filed Schedule 2M'!F46</f>
        <v>0</v>
      </c>
      <c r="G46" s="314">
        <f>SUMIFS(Adjustments!$G:$G,Adjustments!$H:$H,"2M",Adjustments!$I:$I,'Schedule 2M Adjustments'!$F$12,Adjustments!$J:$J,'Schedule 2M Adjustments'!$A46)</f>
        <v>0</v>
      </c>
      <c r="H46" s="310">
        <f t="shared" si="0"/>
        <v>0</v>
      </c>
      <c r="I46" s="68">
        <f>IFERROR(F46*'As-Filed Schedule 1'!$E$103,0)</f>
        <v>0</v>
      </c>
      <c r="J46" s="311">
        <f>IFERROR(H46*'Adjusted Schedule 1'!$E$104,0)</f>
        <v>0</v>
      </c>
      <c r="K46" s="68">
        <f t="shared" si="1"/>
        <v>0</v>
      </c>
      <c r="L46" s="311">
        <f t="shared" si="2"/>
        <v>0</v>
      </c>
      <c r="N46" s="117">
        <f>'As-Filed Schedule 2M'!J46</f>
        <v>0</v>
      </c>
      <c r="O46" s="314">
        <f>SUMIFS(Adjustments!$G:$G,Adjustments!$H:$H,"2M",Adjustments!$I:$I,'Schedule 2M Adjustments'!$N$12,Adjustments!$J:$J,'Schedule 2M Adjustments'!$A46)</f>
        <v>0</v>
      </c>
      <c r="P46" s="310">
        <f t="shared" si="3"/>
        <v>0</v>
      </c>
      <c r="Q46" s="68">
        <f>IFERROR(N46*'As-Filed Schedule 1'!$E$103,0)</f>
        <v>0</v>
      </c>
      <c r="R46" s="68">
        <f>IFERROR(P46*'Adjusted Schedule 1'!$E$104,0)</f>
        <v>0</v>
      </c>
      <c r="S46" s="68">
        <f t="shared" si="4"/>
        <v>0</v>
      </c>
      <c r="T46" s="311">
        <f t="shared" si="5"/>
        <v>0</v>
      </c>
      <c r="V46" s="120">
        <f>'As-Filed Schedule 2M'!N46</f>
        <v>0</v>
      </c>
      <c r="W46" s="314">
        <f>SUMIFS(Adjustments!$G:$G,Adjustments!$H:$H,"2M",Adjustments!$I:$I,'Schedule 2M Adjustments'!$V$12,Adjustments!$J:$J,'Schedule 2M Adjustments'!$A46)</f>
        <v>0</v>
      </c>
      <c r="X46" s="310">
        <f t="shared" si="6"/>
        <v>0</v>
      </c>
      <c r="Y46" s="120">
        <f>'As-Filed Schedule 2M'!O46</f>
        <v>0</v>
      </c>
      <c r="Z46" s="314">
        <f>SUMIFS(Adjustments!$G:$G,Adjustments!$H:$H,"2M",Adjustments!$I:$I,'Schedule 2M Adjustments'!$Y$12,Adjustments!$J:$J,'Schedule 2M Adjustments'!$A46)</f>
        <v>0</v>
      </c>
      <c r="AA46" s="310">
        <f t="shared" si="7"/>
        <v>0</v>
      </c>
    </row>
    <row r="47" spans="1:27" x14ac:dyDescent="0.35">
      <c r="A47" s="24">
        <v>33</v>
      </c>
      <c r="B47" s="513" t="str">
        <f>IF('As-Filed Schedule 2M'!B47:D47=0,"",'As-Filed Schedule 2M'!B47:D47)</f>
        <v/>
      </c>
      <c r="C47" s="513"/>
      <c r="D47" s="513"/>
      <c r="F47" s="117">
        <f>'As-Filed Schedule 2M'!F47</f>
        <v>0</v>
      </c>
      <c r="G47" s="314">
        <f>SUMIFS(Adjustments!$G:$G,Adjustments!$H:$H,"2M",Adjustments!$I:$I,'Schedule 2M Adjustments'!$F$12,Adjustments!$J:$J,'Schedule 2M Adjustments'!$A47)</f>
        <v>0</v>
      </c>
      <c r="H47" s="310">
        <f t="shared" si="0"/>
        <v>0</v>
      </c>
      <c r="I47" s="68">
        <f>IFERROR(F47*'As-Filed Schedule 1'!$E$103,0)</f>
        <v>0</v>
      </c>
      <c r="J47" s="311">
        <f>IFERROR(H47*'Adjusted Schedule 1'!$E$104,0)</f>
        <v>0</v>
      </c>
      <c r="K47" s="68">
        <f t="shared" si="1"/>
        <v>0</v>
      </c>
      <c r="L47" s="311">
        <f t="shared" si="2"/>
        <v>0</v>
      </c>
      <c r="N47" s="117">
        <f>'As-Filed Schedule 2M'!J47</f>
        <v>0</v>
      </c>
      <c r="O47" s="314">
        <f>SUMIFS(Adjustments!$G:$G,Adjustments!$H:$H,"2M",Adjustments!$I:$I,'Schedule 2M Adjustments'!$N$12,Adjustments!$J:$J,'Schedule 2M Adjustments'!$A47)</f>
        <v>0</v>
      </c>
      <c r="P47" s="310">
        <f t="shared" si="3"/>
        <v>0</v>
      </c>
      <c r="Q47" s="68">
        <f>IFERROR(N47*'As-Filed Schedule 1'!$E$103,0)</f>
        <v>0</v>
      </c>
      <c r="R47" s="68">
        <f>IFERROR(P47*'Adjusted Schedule 1'!$E$104,0)</f>
        <v>0</v>
      </c>
      <c r="S47" s="68">
        <f t="shared" si="4"/>
        <v>0</v>
      </c>
      <c r="T47" s="311">
        <f t="shared" si="5"/>
        <v>0</v>
      </c>
      <c r="V47" s="120">
        <f>'As-Filed Schedule 2M'!N47</f>
        <v>0</v>
      </c>
      <c r="W47" s="314">
        <f>SUMIFS(Adjustments!$G:$G,Adjustments!$H:$H,"2M",Adjustments!$I:$I,'Schedule 2M Adjustments'!$V$12,Adjustments!$J:$J,'Schedule 2M Adjustments'!$A47)</f>
        <v>0</v>
      </c>
      <c r="X47" s="310">
        <f t="shared" si="6"/>
        <v>0</v>
      </c>
      <c r="Y47" s="120">
        <f>'As-Filed Schedule 2M'!O47</f>
        <v>0</v>
      </c>
      <c r="Z47" s="314">
        <f>SUMIFS(Adjustments!$G:$G,Adjustments!$H:$H,"2M",Adjustments!$I:$I,'Schedule 2M Adjustments'!$Y$12,Adjustments!$J:$J,'Schedule 2M Adjustments'!$A47)</f>
        <v>0</v>
      </c>
      <c r="AA47" s="310">
        <f t="shared" si="7"/>
        <v>0</v>
      </c>
    </row>
    <row r="48" spans="1:27" x14ac:dyDescent="0.35">
      <c r="A48" s="24">
        <v>34</v>
      </c>
      <c r="B48" s="513" t="str">
        <f>IF('As-Filed Schedule 2M'!B48:D48=0,"",'As-Filed Schedule 2M'!B48:D48)</f>
        <v/>
      </c>
      <c r="C48" s="513"/>
      <c r="D48" s="513"/>
      <c r="F48" s="117">
        <f>'As-Filed Schedule 2M'!F48</f>
        <v>0</v>
      </c>
      <c r="G48" s="314">
        <f>SUMIFS(Adjustments!$G:$G,Adjustments!$H:$H,"2M",Adjustments!$I:$I,'Schedule 2M Adjustments'!$F$12,Adjustments!$J:$J,'Schedule 2M Adjustments'!$A48)</f>
        <v>0</v>
      </c>
      <c r="H48" s="310">
        <f t="shared" si="0"/>
        <v>0</v>
      </c>
      <c r="I48" s="68">
        <f>IFERROR(F48*'As-Filed Schedule 1'!$E$103,0)</f>
        <v>0</v>
      </c>
      <c r="J48" s="311">
        <f>IFERROR(H48*'Adjusted Schedule 1'!$E$104,0)</f>
        <v>0</v>
      </c>
      <c r="K48" s="68">
        <f t="shared" si="1"/>
        <v>0</v>
      </c>
      <c r="L48" s="311">
        <f t="shared" si="2"/>
        <v>0</v>
      </c>
      <c r="N48" s="117">
        <f>'As-Filed Schedule 2M'!J48</f>
        <v>0</v>
      </c>
      <c r="O48" s="314">
        <f>SUMIFS(Adjustments!$G:$G,Adjustments!$H:$H,"2M",Adjustments!$I:$I,'Schedule 2M Adjustments'!$N$12,Adjustments!$J:$J,'Schedule 2M Adjustments'!$A48)</f>
        <v>0</v>
      </c>
      <c r="P48" s="310">
        <f t="shared" si="3"/>
        <v>0</v>
      </c>
      <c r="Q48" s="68">
        <f>IFERROR(N48*'As-Filed Schedule 1'!$E$103,0)</f>
        <v>0</v>
      </c>
      <c r="R48" s="68">
        <f>IFERROR(P48*'Adjusted Schedule 1'!$E$104,0)</f>
        <v>0</v>
      </c>
      <c r="S48" s="68">
        <f t="shared" si="4"/>
        <v>0</v>
      </c>
      <c r="T48" s="311">
        <f t="shared" si="5"/>
        <v>0</v>
      </c>
      <c r="V48" s="120">
        <f>'As-Filed Schedule 2M'!N48</f>
        <v>0</v>
      </c>
      <c r="W48" s="314">
        <f>SUMIFS(Adjustments!$G:$G,Adjustments!$H:$H,"2M",Adjustments!$I:$I,'Schedule 2M Adjustments'!$V$12,Adjustments!$J:$J,'Schedule 2M Adjustments'!$A48)</f>
        <v>0</v>
      </c>
      <c r="X48" s="310">
        <f t="shared" si="6"/>
        <v>0</v>
      </c>
      <c r="Y48" s="120">
        <f>'As-Filed Schedule 2M'!O48</f>
        <v>0</v>
      </c>
      <c r="Z48" s="314">
        <f>SUMIFS(Adjustments!$G:$G,Adjustments!$H:$H,"2M",Adjustments!$I:$I,'Schedule 2M Adjustments'!$Y$12,Adjustments!$J:$J,'Schedule 2M Adjustments'!$A48)</f>
        <v>0</v>
      </c>
      <c r="AA48" s="310">
        <f t="shared" si="7"/>
        <v>0</v>
      </c>
    </row>
    <row r="49" spans="1:27" x14ac:dyDescent="0.35">
      <c r="A49" s="24">
        <v>35</v>
      </c>
      <c r="B49" s="513" t="str">
        <f>IF('As-Filed Schedule 2M'!B49:D49=0,"",'As-Filed Schedule 2M'!B49:D49)</f>
        <v/>
      </c>
      <c r="C49" s="513"/>
      <c r="D49" s="513"/>
      <c r="F49" s="117">
        <f>'As-Filed Schedule 2M'!F49</f>
        <v>0</v>
      </c>
      <c r="G49" s="314">
        <f>SUMIFS(Adjustments!$G:$G,Adjustments!$H:$H,"2M",Adjustments!$I:$I,'Schedule 2M Adjustments'!$F$12,Adjustments!$J:$J,'Schedule 2M Adjustments'!$A49)</f>
        <v>0</v>
      </c>
      <c r="H49" s="310">
        <f t="shared" si="0"/>
        <v>0</v>
      </c>
      <c r="I49" s="68">
        <f>IFERROR(F49*'As-Filed Schedule 1'!$E$103,0)</f>
        <v>0</v>
      </c>
      <c r="J49" s="311">
        <f>IFERROR(H49*'Adjusted Schedule 1'!$E$104,0)</f>
        <v>0</v>
      </c>
      <c r="K49" s="68">
        <f t="shared" si="1"/>
        <v>0</v>
      </c>
      <c r="L49" s="311">
        <f t="shared" si="2"/>
        <v>0</v>
      </c>
      <c r="N49" s="117">
        <f>'As-Filed Schedule 2M'!J49</f>
        <v>0</v>
      </c>
      <c r="O49" s="314">
        <f>SUMIFS(Adjustments!$G:$G,Adjustments!$H:$H,"2M",Adjustments!$I:$I,'Schedule 2M Adjustments'!$N$12,Adjustments!$J:$J,'Schedule 2M Adjustments'!$A49)</f>
        <v>0</v>
      </c>
      <c r="P49" s="310">
        <f t="shared" si="3"/>
        <v>0</v>
      </c>
      <c r="Q49" s="68">
        <f>IFERROR(N49*'As-Filed Schedule 1'!$E$103,0)</f>
        <v>0</v>
      </c>
      <c r="R49" s="68">
        <f>IFERROR(P49*'Adjusted Schedule 1'!$E$104,0)</f>
        <v>0</v>
      </c>
      <c r="S49" s="68">
        <f t="shared" si="4"/>
        <v>0</v>
      </c>
      <c r="T49" s="311">
        <f t="shared" si="5"/>
        <v>0</v>
      </c>
      <c r="V49" s="120">
        <f>'As-Filed Schedule 2M'!N49</f>
        <v>0</v>
      </c>
      <c r="W49" s="314">
        <f>SUMIFS(Adjustments!$G:$G,Adjustments!$H:$H,"2M",Adjustments!$I:$I,'Schedule 2M Adjustments'!$V$12,Adjustments!$J:$J,'Schedule 2M Adjustments'!$A49)</f>
        <v>0</v>
      </c>
      <c r="X49" s="310">
        <f t="shared" si="6"/>
        <v>0</v>
      </c>
      <c r="Y49" s="120">
        <f>'As-Filed Schedule 2M'!O49</f>
        <v>0</v>
      </c>
      <c r="Z49" s="314">
        <f>SUMIFS(Adjustments!$G:$G,Adjustments!$H:$H,"2M",Adjustments!$I:$I,'Schedule 2M Adjustments'!$Y$12,Adjustments!$J:$J,'Schedule 2M Adjustments'!$A49)</f>
        <v>0</v>
      </c>
      <c r="AA49" s="310">
        <f t="shared" si="7"/>
        <v>0</v>
      </c>
    </row>
    <row r="50" spans="1:27" x14ac:dyDescent="0.35">
      <c r="A50" s="24">
        <v>36</v>
      </c>
      <c r="B50" s="513" t="str">
        <f>IF('As-Filed Schedule 2M'!B50:D50=0,"",'As-Filed Schedule 2M'!B50:D50)</f>
        <v/>
      </c>
      <c r="C50" s="513"/>
      <c r="D50" s="513"/>
      <c r="F50" s="117">
        <f>'As-Filed Schedule 2M'!F50</f>
        <v>0</v>
      </c>
      <c r="G50" s="314">
        <f>SUMIFS(Adjustments!$G:$G,Adjustments!$H:$H,"2M",Adjustments!$I:$I,'Schedule 2M Adjustments'!$F$12,Adjustments!$J:$J,'Schedule 2M Adjustments'!$A50)</f>
        <v>0</v>
      </c>
      <c r="H50" s="310">
        <f t="shared" si="0"/>
        <v>0</v>
      </c>
      <c r="I50" s="68">
        <f>IFERROR(F50*'As-Filed Schedule 1'!$E$103,0)</f>
        <v>0</v>
      </c>
      <c r="J50" s="311">
        <f>IFERROR(H50*'Adjusted Schedule 1'!$E$104,0)</f>
        <v>0</v>
      </c>
      <c r="K50" s="68">
        <f t="shared" si="1"/>
        <v>0</v>
      </c>
      <c r="L50" s="311">
        <f t="shared" si="2"/>
        <v>0</v>
      </c>
      <c r="N50" s="117">
        <f>'As-Filed Schedule 2M'!J50</f>
        <v>0</v>
      </c>
      <c r="O50" s="314">
        <f>SUMIFS(Adjustments!$G:$G,Adjustments!$H:$H,"2M",Adjustments!$I:$I,'Schedule 2M Adjustments'!$N$12,Adjustments!$J:$J,'Schedule 2M Adjustments'!$A50)</f>
        <v>0</v>
      </c>
      <c r="P50" s="310">
        <f t="shared" si="3"/>
        <v>0</v>
      </c>
      <c r="Q50" s="68">
        <f>IFERROR(N50*'As-Filed Schedule 1'!$E$103,0)</f>
        <v>0</v>
      </c>
      <c r="R50" s="68">
        <f>IFERROR(P50*'Adjusted Schedule 1'!$E$104,0)</f>
        <v>0</v>
      </c>
      <c r="S50" s="68">
        <f t="shared" si="4"/>
        <v>0</v>
      </c>
      <c r="T50" s="311">
        <f t="shared" si="5"/>
        <v>0</v>
      </c>
      <c r="V50" s="120">
        <f>'As-Filed Schedule 2M'!N50</f>
        <v>0</v>
      </c>
      <c r="W50" s="314">
        <f>SUMIFS(Adjustments!$G:$G,Adjustments!$H:$H,"2M",Adjustments!$I:$I,'Schedule 2M Adjustments'!$V$12,Adjustments!$J:$J,'Schedule 2M Adjustments'!$A50)</f>
        <v>0</v>
      </c>
      <c r="X50" s="310">
        <f t="shared" si="6"/>
        <v>0</v>
      </c>
      <c r="Y50" s="120">
        <f>'As-Filed Schedule 2M'!O50</f>
        <v>0</v>
      </c>
      <c r="Z50" s="314">
        <f>SUMIFS(Adjustments!$G:$G,Adjustments!$H:$H,"2M",Adjustments!$I:$I,'Schedule 2M Adjustments'!$Y$12,Adjustments!$J:$J,'Schedule 2M Adjustments'!$A50)</f>
        <v>0</v>
      </c>
      <c r="AA50" s="310">
        <f t="shared" si="7"/>
        <v>0</v>
      </c>
    </row>
    <row r="51" spans="1:27" x14ac:dyDescent="0.35">
      <c r="A51" s="24">
        <v>37</v>
      </c>
      <c r="B51" s="513" t="str">
        <f>IF('As-Filed Schedule 2M'!B51:D51=0,"",'As-Filed Schedule 2M'!B51:D51)</f>
        <v/>
      </c>
      <c r="C51" s="513"/>
      <c r="D51" s="513"/>
      <c r="F51" s="117">
        <f>'As-Filed Schedule 2M'!F51</f>
        <v>0</v>
      </c>
      <c r="G51" s="314">
        <f>SUMIFS(Adjustments!$G:$G,Adjustments!$H:$H,"2M",Adjustments!$I:$I,'Schedule 2M Adjustments'!$F$12,Adjustments!$J:$J,'Schedule 2M Adjustments'!$A51)</f>
        <v>0</v>
      </c>
      <c r="H51" s="310">
        <f t="shared" si="0"/>
        <v>0</v>
      </c>
      <c r="I51" s="68">
        <f>IFERROR(F51*'As-Filed Schedule 1'!$E$103,0)</f>
        <v>0</v>
      </c>
      <c r="J51" s="311">
        <f>IFERROR(H51*'Adjusted Schedule 1'!$E$104,0)</f>
        <v>0</v>
      </c>
      <c r="K51" s="68">
        <f t="shared" si="1"/>
        <v>0</v>
      </c>
      <c r="L51" s="311">
        <f t="shared" si="2"/>
        <v>0</v>
      </c>
      <c r="N51" s="117">
        <f>'As-Filed Schedule 2M'!J51</f>
        <v>0</v>
      </c>
      <c r="O51" s="314">
        <f>SUMIFS(Adjustments!$G:$G,Adjustments!$H:$H,"2M",Adjustments!$I:$I,'Schedule 2M Adjustments'!$N$12,Adjustments!$J:$J,'Schedule 2M Adjustments'!$A51)</f>
        <v>0</v>
      </c>
      <c r="P51" s="310">
        <f t="shared" si="3"/>
        <v>0</v>
      </c>
      <c r="Q51" s="68">
        <f>IFERROR(N51*'As-Filed Schedule 1'!$E$103,0)</f>
        <v>0</v>
      </c>
      <c r="R51" s="68">
        <f>IFERROR(P51*'Adjusted Schedule 1'!$E$104,0)</f>
        <v>0</v>
      </c>
      <c r="S51" s="68">
        <f t="shared" si="4"/>
        <v>0</v>
      </c>
      <c r="T51" s="311">
        <f t="shared" si="5"/>
        <v>0</v>
      </c>
      <c r="V51" s="120">
        <f>'As-Filed Schedule 2M'!N51</f>
        <v>0</v>
      </c>
      <c r="W51" s="314">
        <f>SUMIFS(Adjustments!$G:$G,Adjustments!$H:$H,"2M",Adjustments!$I:$I,'Schedule 2M Adjustments'!$V$12,Adjustments!$J:$J,'Schedule 2M Adjustments'!$A51)</f>
        <v>0</v>
      </c>
      <c r="X51" s="310">
        <f t="shared" si="6"/>
        <v>0</v>
      </c>
      <c r="Y51" s="120">
        <f>'As-Filed Schedule 2M'!O51</f>
        <v>0</v>
      </c>
      <c r="Z51" s="314">
        <f>SUMIFS(Adjustments!$G:$G,Adjustments!$H:$H,"2M",Adjustments!$I:$I,'Schedule 2M Adjustments'!$Y$12,Adjustments!$J:$J,'Schedule 2M Adjustments'!$A51)</f>
        <v>0</v>
      </c>
      <c r="AA51" s="310">
        <f t="shared" si="7"/>
        <v>0</v>
      </c>
    </row>
    <row r="52" spans="1:27" x14ac:dyDescent="0.35">
      <c r="A52" s="24">
        <v>38</v>
      </c>
      <c r="B52" s="513" t="str">
        <f>IF('As-Filed Schedule 2M'!B52:D52=0,"",'As-Filed Schedule 2M'!B52:D52)</f>
        <v/>
      </c>
      <c r="C52" s="513"/>
      <c r="D52" s="513"/>
      <c r="F52" s="117">
        <f>'As-Filed Schedule 2M'!F52</f>
        <v>0</v>
      </c>
      <c r="G52" s="314">
        <f>SUMIFS(Adjustments!$G:$G,Adjustments!$H:$H,"2M",Adjustments!$I:$I,'Schedule 2M Adjustments'!$F$12,Adjustments!$J:$J,'Schedule 2M Adjustments'!$A52)</f>
        <v>0</v>
      </c>
      <c r="H52" s="310">
        <f t="shared" si="0"/>
        <v>0</v>
      </c>
      <c r="I52" s="68">
        <f>IFERROR(F52*'As-Filed Schedule 1'!$E$103,0)</f>
        <v>0</v>
      </c>
      <c r="J52" s="311">
        <f>IFERROR(H52*'Adjusted Schedule 1'!$E$104,0)</f>
        <v>0</v>
      </c>
      <c r="K52" s="68">
        <f t="shared" si="1"/>
        <v>0</v>
      </c>
      <c r="L52" s="311">
        <f t="shared" si="2"/>
        <v>0</v>
      </c>
      <c r="N52" s="117">
        <f>'As-Filed Schedule 2M'!J52</f>
        <v>0</v>
      </c>
      <c r="O52" s="314">
        <f>SUMIFS(Adjustments!$G:$G,Adjustments!$H:$H,"2M",Adjustments!$I:$I,'Schedule 2M Adjustments'!$N$12,Adjustments!$J:$J,'Schedule 2M Adjustments'!$A52)</f>
        <v>0</v>
      </c>
      <c r="P52" s="310">
        <f t="shared" si="3"/>
        <v>0</v>
      </c>
      <c r="Q52" s="68">
        <f>IFERROR(N52*'As-Filed Schedule 1'!$E$103,0)</f>
        <v>0</v>
      </c>
      <c r="R52" s="68">
        <f>IFERROR(P52*'Adjusted Schedule 1'!$E$104,0)</f>
        <v>0</v>
      </c>
      <c r="S52" s="68">
        <f t="shared" si="4"/>
        <v>0</v>
      </c>
      <c r="T52" s="311">
        <f t="shared" si="5"/>
        <v>0</v>
      </c>
      <c r="V52" s="120">
        <f>'As-Filed Schedule 2M'!N52</f>
        <v>0</v>
      </c>
      <c r="W52" s="314">
        <f>SUMIFS(Adjustments!$G:$G,Adjustments!$H:$H,"2M",Adjustments!$I:$I,'Schedule 2M Adjustments'!$V$12,Adjustments!$J:$J,'Schedule 2M Adjustments'!$A52)</f>
        <v>0</v>
      </c>
      <c r="X52" s="310">
        <f t="shared" si="6"/>
        <v>0</v>
      </c>
      <c r="Y52" s="120">
        <f>'As-Filed Schedule 2M'!O52</f>
        <v>0</v>
      </c>
      <c r="Z52" s="314">
        <f>SUMIFS(Adjustments!$G:$G,Adjustments!$H:$H,"2M",Adjustments!$I:$I,'Schedule 2M Adjustments'!$Y$12,Adjustments!$J:$J,'Schedule 2M Adjustments'!$A52)</f>
        <v>0</v>
      </c>
      <c r="AA52" s="310">
        <f t="shared" si="7"/>
        <v>0</v>
      </c>
    </row>
    <row r="53" spans="1:27" x14ac:dyDescent="0.35">
      <c r="A53" s="24">
        <v>39</v>
      </c>
      <c r="B53" s="513" t="str">
        <f>IF('As-Filed Schedule 2M'!B53:D53=0,"",'As-Filed Schedule 2M'!B53:D53)</f>
        <v/>
      </c>
      <c r="C53" s="513"/>
      <c r="D53" s="513"/>
      <c r="F53" s="117">
        <f>'As-Filed Schedule 2M'!F53</f>
        <v>0</v>
      </c>
      <c r="G53" s="314">
        <f>SUMIFS(Adjustments!$G:$G,Adjustments!$H:$H,"2M",Adjustments!$I:$I,'Schedule 2M Adjustments'!$F$12,Adjustments!$J:$J,'Schedule 2M Adjustments'!$A53)</f>
        <v>0</v>
      </c>
      <c r="H53" s="310">
        <f t="shared" si="0"/>
        <v>0</v>
      </c>
      <c r="I53" s="68">
        <f>IFERROR(F53*'As-Filed Schedule 1'!$E$103,0)</f>
        <v>0</v>
      </c>
      <c r="J53" s="311">
        <f>IFERROR(H53*'Adjusted Schedule 1'!$E$104,0)</f>
        <v>0</v>
      </c>
      <c r="K53" s="68">
        <f t="shared" si="1"/>
        <v>0</v>
      </c>
      <c r="L53" s="311">
        <f t="shared" si="2"/>
        <v>0</v>
      </c>
      <c r="N53" s="117">
        <f>'As-Filed Schedule 2M'!J53</f>
        <v>0</v>
      </c>
      <c r="O53" s="314">
        <f>SUMIFS(Adjustments!$G:$G,Adjustments!$H:$H,"2M",Adjustments!$I:$I,'Schedule 2M Adjustments'!$N$12,Adjustments!$J:$J,'Schedule 2M Adjustments'!$A53)</f>
        <v>0</v>
      </c>
      <c r="P53" s="310">
        <f t="shared" si="3"/>
        <v>0</v>
      </c>
      <c r="Q53" s="68">
        <f>IFERROR(N53*'As-Filed Schedule 1'!$E$103,0)</f>
        <v>0</v>
      </c>
      <c r="R53" s="68">
        <f>IFERROR(P53*'Adjusted Schedule 1'!$E$104,0)</f>
        <v>0</v>
      </c>
      <c r="S53" s="68">
        <f t="shared" si="4"/>
        <v>0</v>
      </c>
      <c r="T53" s="311">
        <f t="shared" si="5"/>
        <v>0</v>
      </c>
      <c r="V53" s="120">
        <f>'As-Filed Schedule 2M'!N53</f>
        <v>0</v>
      </c>
      <c r="W53" s="314">
        <f>SUMIFS(Adjustments!$G:$G,Adjustments!$H:$H,"2M",Adjustments!$I:$I,'Schedule 2M Adjustments'!$V$12,Adjustments!$J:$J,'Schedule 2M Adjustments'!$A53)</f>
        <v>0</v>
      </c>
      <c r="X53" s="310">
        <f t="shared" si="6"/>
        <v>0</v>
      </c>
      <c r="Y53" s="120">
        <f>'As-Filed Schedule 2M'!O53</f>
        <v>0</v>
      </c>
      <c r="Z53" s="314">
        <f>SUMIFS(Adjustments!$G:$G,Adjustments!$H:$H,"2M",Adjustments!$I:$I,'Schedule 2M Adjustments'!$Y$12,Adjustments!$J:$J,'Schedule 2M Adjustments'!$A53)</f>
        <v>0</v>
      </c>
      <c r="AA53" s="310">
        <f t="shared" si="7"/>
        <v>0</v>
      </c>
    </row>
    <row r="54" spans="1:27" x14ac:dyDescent="0.35">
      <c r="A54" s="24">
        <v>40</v>
      </c>
      <c r="B54" s="513" t="str">
        <f>IF('As-Filed Schedule 2M'!B54:D54=0,"",'As-Filed Schedule 2M'!B54:D54)</f>
        <v/>
      </c>
      <c r="C54" s="513"/>
      <c r="D54" s="513"/>
      <c r="F54" s="117">
        <f>'As-Filed Schedule 2M'!F54</f>
        <v>0</v>
      </c>
      <c r="G54" s="314">
        <f>SUMIFS(Adjustments!$G:$G,Adjustments!$H:$H,"2M",Adjustments!$I:$I,'Schedule 2M Adjustments'!$F$12,Adjustments!$J:$J,'Schedule 2M Adjustments'!$A54)</f>
        <v>0</v>
      </c>
      <c r="H54" s="310">
        <f t="shared" si="0"/>
        <v>0</v>
      </c>
      <c r="I54" s="68">
        <f>IFERROR(F54*'As-Filed Schedule 1'!$E$103,0)</f>
        <v>0</v>
      </c>
      <c r="J54" s="311">
        <f>IFERROR(H54*'Adjusted Schedule 1'!$E$104,0)</f>
        <v>0</v>
      </c>
      <c r="K54" s="68">
        <f t="shared" si="1"/>
        <v>0</v>
      </c>
      <c r="L54" s="311">
        <f t="shared" si="2"/>
        <v>0</v>
      </c>
      <c r="N54" s="117">
        <f>'As-Filed Schedule 2M'!J54</f>
        <v>0</v>
      </c>
      <c r="O54" s="314">
        <f>SUMIFS(Adjustments!$G:$G,Adjustments!$H:$H,"2M",Adjustments!$I:$I,'Schedule 2M Adjustments'!$N$12,Adjustments!$J:$J,'Schedule 2M Adjustments'!$A54)</f>
        <v>0</v>
      </c>
      <c r="P54" s="310">
        <f t="shared" si="3"/>
        <v>0</v>
      </c>
      <c r="Q54" s="68">
        <f>IFERROR(N54*'As-Filed Schedule 1'!$E$103,0)</f>
        <v>0</v>
      </c>
      <c r="R54" s="68">
        <f>IFERROR(P54*'Adjusted Schedule 1'!$E$104,0)</f>
        <v>0</v>
      </c>
      <c r="S54" s="68">
        <f t="shared" si="4"/>
        <v>0</v>
      </c>
      <c r="T54" s="311">
        <f t="shared" si="5"/>
        <v>0</v>
      </c>
      <c r="V54" s="120">
        <f>'As-Filed Schedule 2M'!N54</f>
        <v>0</v>
      </c>
      <c r="W54" s="314">
        <f>SUMIFS(Adjustments!$G:$G,Adjustments!$H:$H,"2M",Adjustments!$I:$I,'Schedule 2M Adjustments'!$V$12,Adjustments!$J:$J,'Schedule 2M Adjustments'!$A54)</f>
        <v>0</v>
      </c>
      <c r="X54" s="310">
        <f t="shared" si="6"/>
        <v>0</v>
      </c>
      <c r="Y54" s="120">
        <f>'As-Filed Schedule 2M'!O54</f>
        <v>0</v>
      </c>
      <c r="Z54" s="314">
        <f>SUMIFS(Adjustments!$G:$G,Adjustments!$H:$H,"2M",Adjustments!$I:$I,'Schedule 2M Adjustments'!$Y$12,Adjustments!$J:$J,'Schedule 2M Adjustments'!$A54)</f>
        <v>0</v>
      </c>
      <c r="AA54" s="310">
        <f t="shared" si="7"/>
        <v>0</v>
      </c>
    </row>
    <row r="55" spans="1:27" x14ac:dyDescent="0.35">
      <c r="A55" s="24">
        <v>41</v>
      </c>
      <c r="B55" s="513" t="str">
        <f>IF('As-Filed Schedule 2M'!B55:D55=0,"",'As-Filed Schedule 2M'!B55:D55)</f>
        <v/>
      </c>
      <c r="C55" s="513"/>
      <c r="D55" s="513"/>
      <c r="F55" s="117">
        <f>'As-Filed Schedule 2M'!F55</f>
        <v>0</v>
      </c>
      <c r="G55" s="314">
        <f>SUMIFS(Adjustments!$G:$G,Adjustments!$H:$H,"2M",Adjustments!$I:$I,'Schedule 2M Adjustments'!$F$12,Adjustments!$J:$J,'Schedule 2M Adjustments'!$A55)</f>
        <v>0</v>
      </c>
      <c r="H55" s="310">
        <f t="shared" si="0"/>
        <v>0</v>
      </c>
      <c r="I55" s="68">
        <f>IFERROR(F55*'As-Filed Schedule 1'!$E$103,0)</f>
        <v>0</v>
      </c>
      <c r="J55" s="311">
        <f>IFERROR(H55*'Adjusted Schedule 1'!$E$104,0)</f>
        <v>0</v>
      </c>
      <c r="K55" s="68">
        <f t="shared" si="1"/>
        <v>0</v>
      </c>
      <c r="L55" s="311">
        <f t="shared" si="2"/>
        <v>0</v>
      </c>
      <c r="N55" s="117">
        <f>'As-Filed Schedule 2M'!J55</f>
        <v>0</v>
      </c>
      <c r="O55" s="314">
        <f>SUMIFS(Adjustments!$G:$G,Adjustments!$H:$H,"2M",Adjustments!$I:$I,'Schedule 2M Adjustments'!$N$12,Adjustments!$J:$J,'Schedule 2M Adjustments'!$A55)</f>
        <v>0</v>
      </c>
      <c r="P55" s="310">
        <f t="shared" si="3"/>
        <v>0</v>
      </c>
      <c r="Q55" s="68">
        <f>IFERROR(N55*'As-Filed Schedule 1'!$E$103,0)</f>
        <v>0</v>
      </c>
      <c r="R55" s="68">
        <f>IFERROR(P55*'Adjusted Schedule 1'!$E$104,0)</f>
        <v>0</v>
      </c>
      <c r="S55" s="68">
        <f t="shared" si="4"/>
        <v>0</v>
      </c>
      <c r="T55" s="311">
        <f t="shared" si="5"/>
        <v>0</v>
      </c>
      <c r="V55" s="120">
        <f>'As-Filed Schedule 2M'!N55</f>
        <v>0</v>
      </c>
      <c r="W55" s="314">
        <f>SUMIFS(Adjustments!$G:$G,Adjustments!$H:$H,"2M",Adjustments!$I:$I,'Schedule 2M Adjustments'!$V$12,Adjustments!$J:$J,'Schedule 2M Adjustments'!$A55)</f>
        <v>0</v>
      </c>
      <c r="X55" s="310">
        <f t="shared" si="6"/>
        <v>0</v>
      </c>
      <c r="Y55" s="120">
        <f>'As-Filed Schedule 2M'!O55</f>
        <v>0</v>
      </c>
      <c r="Z55" s="314">
        <f>SUMIFS(Adjustments!$G:$G,Adjustments!$H:$H,"2M",Adjustments!$I:$I,'Schedule 2M Adjustments'!$Y$12,Adjustments!$J:$J,'Schedule 2M Adjustments'!$A55)</f>
        <v>0</v>
      </c>
      <c r="AA55" s="310">
        <f t="shared" si="7"/>
        <v>0</v>
      </c>
    </row>
    <row r="56" spans="1:27" x14ac:dyDescent="0.35">
      <c r="A56" s="24">
        <v>42</v>
      </c>
      <c r="B56" s="513" t="str">
        <f>IF('As-Filed Schedule 2M'!B56:D56=0,"",'As-Filed Schedule 2M'!B56:D56)</f>
        <v/>
      </c>
      <c r="C56" s="513"/>
      <c r="D56" s="513"/>
      <c r="F56" s="117">
        <f>'As-Filed Schedule 2M'!F56</f>
        <v>0</v>
      </c>
      <c r="G56" s="314">
        <f>SUMIFS(Adjustments!$G:$G,Adjustments!$H:$H,"2M",Adjustments!$I:$I,'Schedule 2M Adjustments'!$F$12,Adjustments!$J:$J,'Schedule 2M Adjustments'!$A56)</f>
        <v>0</v>
      </c>
      <c r="H56" s="310">
        <f t="shared" si="0"/>
        <v>0</v>
      </c>
      <c r="I56" s="68">
        <f>IFERROR(F56*'As-Filed Schedule 1'!$E$103,0)</f>
        <v>0</v>
      </c>
      <c r="J56" s="311">
        <f>IFERROR(H56*'Adjusted Schedule 1'!$E$104,0)</f>
        <v>0</v>
      </c>
      <c r="K56" s="68">
        <f t="shared" si="1"/>
        <v>0</v>
      </c>
      <c r="L56" s="311">
        <f t="shared" si="2"/>
        <v>0</v>
      </c>
      <c r="N56" s="117">
        <f>'As-Filed Schedule 2M'!J56</f>
        <v>0</v>
      </c>
      <c r="O56" s="314">
        <f>SUMIFS(Adjustments!$G:$G,Adjustments!$H:$H,"2M",Adjustments!$I:$I,'Schedule 2M Adjustments'!$N$12,Adjustments!$J:$J,'Schedule 2M Adjustments'!$A56)</f>
        <v>0</v>
      </c>
      <c r="P56" s="310">
        <f t="shared" si="3"/>
        <v>0</v>
      </c>
      <c r="Q56" s="68">
        <f>IFERROR(N56*'As-Filed Schedule 1'!$E$103,0)</f>
        <v>0</v>
      </c>
      <c r="R56" s="68">
        <f>IFERROR(P56*'Adjusted Schedule 1'!$E$104,0)</f>
        <v>0</v>
      </c>
      <c r="S56" s="68">
        <f t="shared" si="4"/>
        <v>0</v>
      </c>
      <c r="T56" s="311">
        <f t="shared" si="5"/>
        <v>0</v>
      </c>
      <c r="V56" s="120">
        <f>'As-Filed Schedule 2M'!N56</f>
        <v>0</v>
      </c>
      <c r="W56" s="314">
        <f>SUMIFS(Adjustments!$G:$G,Adjustments!$H:$H,"2M",Adjustments!$I:$I,'Schedule 2M Adjustments'!$V$12,Adjustments!$J:$J,'Schedule 2M Adjustments'!$A56)</f>
        <v>0</v>
      </c>
      <c r="X56" s="310">
        <f t="shared" si="6"/>
        <v>0</v>
      </c>
      <c r="Y56" s="120">
        <f>'As-Filed Schedule 2M'!O56</f>
        <v>0</v>
      </c>
      <c r="Z56" s="314">
        <f>SUMIFS(Adjustments!$G:$G,Adjustments!$H:$H,"2M",Adjustments!$I:$I,'Schedule 2M Adjustments'!$Y$12,Adjustments!$J:$J,'Schedule 2M Adjustments'!$A56)</f>
        <v>0</v>
      </c>
      <c r="AA56" s="310">
        <f t="shared" si="7"/>
        <v>0</v>
      </c>
    </row>
    <row r="57" spans="1:27" x14ac:dyDescent="0.35">
      <c r="A57" s="24">
        <v>43</v>
      </c>
      <c r="B57" s="513" t="str">
        <f>IF('As-Filed Schedule 2M'!B57:D57=0,"",'As-Filed Schedule 2M'!B57:D57)</f>
        <v/>
      </c>
      <c r="C57" s="513"/>
      <c r="D57" s="513"/>
      <c r="F57" s="117">
        <f>'As-Filed Schedule 2M'!F57</f>
        <v>0</v>
      </c>
      <c r="G57" s="314">
        <f>SUMIFS(Adjustments!$G:$G,Adjustments!$H:$H,"2M",Adjustments!$I:$I,'Schedule 2M Adjustments'!$F$12,Adjustments!$J:$J,'Schedule 2M Adjustments'!$A57)</f>
        <v>0</v>
      </c>
      <c r="H57" s="310">
        <f t="shared" si="0"/>
        <v>0</v>
      </c>
      <c r="I57" s="68">
        <f>IFERROR(F57*'As-Filed Schedule 1'!$E$103,0)</f>
        <v>0</v>
      </c>
      <c r="J57" s="311">
        <f>IFERROR(H57*'Adjusted Schedule 1'!$E$104,0)</f>
        <v>0</v>
      </c>
      <c r="K57" s="68">
        <f t="shared" si="1"/>
        <v>0</v>
      </c>
      <c r="L57" s="311">
        <f t="shared" si="2"/>
        <v>0</v>
      </c>
      <c r="N57" s="117">
        <f>'As-Filed Schedule 2M'!J57</f>
        <v>0</v>
      </c>
      <c r="O57" s="314">
        <f>SUMIFS(Adjustments!$G:$G,Adjustments!$H:$H,"2M",Adjustments!$I:$I,'Schedule 2M Adjustments'!$N$12,Adjustments!$J:$J,'Schedule 2M Adjustments'!$A57)</f>
        <v>0</v>
      </c>
      <c r="P57" s="310">
        <f t="shared" si="3"/>
        <v>0</v>
      </c>
      <c r="Q57" s="68">
        <f>IFERROR(N57*'As-Filed Schedule 1'!$E$103,0)</f>
        <v>0</v>
      </c>
      <c r="R57" s="68">
        <f>IFERROR(P57*'Adjusted Schedule 1'!$E$104,0)</f>
        <v>0</v>
      </c>
      <c r="S57" s="68">
        <f t="shared" si="4"/>
        <v>0</v>
      </c>
      <c r="T57" s="311">
        <f t="shared" si="5"/>
        <v>0</v>
      </c>
      <c r="V57" s="120">
        <f>'As-Filed Schedule 2M'!N57</f>
        <v>0</v>
      </c>
      <c r="W57" s="314">
        <f>SUMIFS(Adjustments!$G:$G,Adjustments!$H:$H,"2M",Adjustments!$I:$I,'Schedule 2M Adjustments'!$V$12,Adjustments!$J:$J,'Schedule 2M Adjustments'!$A57)</f>
        <v>0</v>
      </c>
      <c r="X57" s="310">
        <f t="shared" si="6"/>
        <v>0</v>
      </c>
      <c r="Y57" s="120">
        <f>'As-Filed Schedule 2M'!O57</f>
        <v>0</v>
      </c>
      <c r="Z57" s="314">
        <f>SUMIFS(Adjustments!$G:$G,Adjustments!$H:$H,"2M",Adjustments!$I:$I,'Schedule 2M Adjustments'!$Y$12,Adjustments!$J:$J,'Schedule 2M Adjustments'!$A57)</f>
        <v>0</v>
      </c>
      <c r="AA57" s="310">
        <f t="shared" si="7"/>
        <v>0</v>
      </c>
    </row>
    <row r="58" spans="1:27" x14ac:dyDescent="0.35">
      <c r="A58" s="24">
        <v>44</v>
      </c>
      <c r="B58" s="513" t="str">
        <f>IF('As-Filed Schedule 2M'!B58:D58=0,"",'As-Filed Schedule 2M'!B58:D58)</f>
        <v/>
      </c>
      <c r="C58" s="513"/>
      <c r="D58" s="513"/>
      <c r="F58" s="117">
        <f>'As-Filed Schedule 2M'!F58</f>
        <v>0</v>
      </c>
      <c r="G58" s="314">
        <f>SUMIFS(Adjustments!$G:$G,Adjustments!$H:$H,"2M",Adjustments!$I:$I,'Schedule 2M Adjustments'!$F$12,Adjustments!$J:$J,'Schedule 2M Adjustments'!$A58)</f>
        <v>0</v>
      </c>
      <c r="H58" s="310">
        <f t="shared" si="0"/>
        <v>0</v>
      </c>
      <c r="I58" s="68">
        <f>IFERROR(F58*'As-Filed Schedule 1'!$E$103,0)</f>
        <v>0</v>
      </c>
      <c r="J58" s="311">
        <f>IFERROR(H58*'Adjusted Schedule 1'!$E$104,0)</f>
        <v>0</v>
      </c>
      <c r="K58" s="68">
        <f t="shared" si="1"/>
        <v>0</v>
      </c>
      <c r="L58" s="311">
        <f t="shared" si="2"/>
        <v>0</v>
      </c>
      <c r="N58" s="117">
        <f>'As-Filed Schedule 2M'!J58</f>
        <v>0</v>
      </c>
      <c r="O58" s="314">
        <f>SUMIFS(Adjustments!$G:$G,Adjustments!$H:$H,"2M",Adjustments!$I:$I,'Schedule 2M Adjustments'!$N$12,Adjustments!$J:$J,'Schedule 2M Adjustments'!$A58)</f>
        <v>0</v>
      </c>
      <c r="P58" s="310">
        <f t="shared" si="3"/>
        <v>0</v>
      </c>
      <c r="Q58" s="68">
        <f>IFERROR(N58*'As-Filed Schedule 1'!$E$103,0)</f>
        <v>0</v>
      </c>
      <c r="R58" s="68">
        <f>IFERROR(P58*'Adjusted Schedule 1'!$E$104,0)</f>
        <v>0</v>
      </c>
      <c r="S58" s="68">
        <f t="shared" si="4"/>
        <v>0</v>
      </c>
      <c r="T58" s="311">
        <f t="shared" si="5"/>
        <v>0</v>
      </c>
      <c r="V58" s="120">
        <f>'As-Filed Schedule 2M'!N58</f>
        <v>0</v>
      </c>
      <c r="W58" s="314">
        <f>SUMIFS(Adjustments!$G:$G,Adjustments!$H:$H,"2M",Adjustments!$I:$I,'Schedule 2M Adjustments'!$V$12,Adjustments!$J:$J,'Schedule 2M Adjustments'!$A58)</f>
        <v>0</v>
      </c>
      <c r="X58" s="310">
        <f t="shared" si="6"/>
        <v>0</v>
      </c>
      <c r="Y58" s="120">
        <f>'As-Filed Schedule 2M'!O58</f>
        <v>0</v>
      </c>
      <c r="Z58" s="314">
        <f>SUMIFS(Adjustments!$G:$G,Adjustments!$H:$H,"2M",Adjustments!$I:$I,'Schedule 2M Adjustments'!$Y$12,Adjustments!$J:$J,'Schedule 2M Adjustments'!$A58)</f>
        <v>0</v>
      </c>
      <c r="AA58" s="310">
        <f t="shared" si="7"/>
        <v>0</v>
      </c>
    </row>
    <row r="59" spans="1:27" x14ac:dyDescent="0.35">
      <c r="A59" s="24">
        <v>45</v>
      </c>
      <c r="B59" s="513" t="str">
        <f>IF('As-Filed Schedule 2M'!B59:D59=0,"",'As-Filed Schedule 2M'!B59:D59)</f>
        <v/>
      </c>
      <c r="C59" s="513"/>
      <c r="D59" s="513"/>
      <c r="F59" s="117">
        <f>'As-Filed Schedule 2M'!F59</f>
        <v>0</v>
      </c>
      <c r="G59" s="314">
        <f>SUMIFS(Adjustments!$G:$G,Adjustments!$H:$H,"2M",Adjustments!$I:$I,'Schedule 2M Adjustments'!$F$12,Adjustments!$J:$J,'Schedule 2M Adjustments'!$A59)</f>
        <v>0</v>
      </c>
      <c r="H59" s="310">
        <f t="shared" si="0"/>
        <v>0</v>
      </c>
      <c r="I59" s="68">
        <f>IFERROR(F59*'As-Filed Schedule 1'!$E$103,0)</f>
        <v>0</v>
      </c>
      <c r="J59" s="311">
        <f>IFERROR(H59*'Adjusted Schedule 1'!$E$104,0)</f>
        <v>0</v>
      </c>
      <c r="K59" s="68">
        <f t="shared" si="1"/>
        <v>0</v>
      </c>
      <c r="L59" s="311">
        <f t="shared" si="2"/>
        <v>0</v>
      </c>
      <c r="N59" s="117">
        <f>'As-Filed Schedule 2M'!J59</f>
        <v>0</v>
      </c>
      <c r="O59" s="314">
        <f>SUMIFS(Adjustments!$G:$G,Adjustments!$H:$H,"2M",Adjustments!$I:$I,'Schedule 2M Adjustments'!$N$12,Adjustments!$J:$J,'Schedule 2M Adjustments'!$A59)</f>
        <v>0</v>
      </c>
      <c r="P59" s="310">
        <f t="shared" si="3"/>
        <v>0</v>
      </c>
      <c r="Q59" s="68">
        <f>IFERROR(N59*'As-Filed Schedule 1'!$E$103,0)</f>
        <v>0</v>
      </c>
      <c r="R59" s="68">
        <f>IFERROR(P59*'Adjusted Schedule 1'!$E$104,0)</f>
        <v>0</v>
      </c>
      <c r="S59" s="68">
        <f t="shared" si="4"/>
        <v>0</v>
      </c>
      <c r="T59" s="311">
        <f t="shared" si="5"/>
        <v>0</v>
      </c>
      <c r="V59" s="120">
        <f>'As-Filed Schedule 2M'!N59</f>
        <v>0</v>
      </c>
      <c r="W59" s="314">
        <f>SUMIFS(Adjustments!$G:$G,Adjustments!$H:$H,"2M",Adjustments!$I:$I,'Schedule 2M Adjustments'!$V$12,Adjustments!$J:$J,'Schedule 2M Adjustments'!$A59)</f>
        <v>0</v>
      </c>
      <c r="X59" s="310">
        <f t="shared" si="6"/>
        <v>0</v>
      </c>
      <c r="Y59" s="120">
        <f>'As-Filed Schedule 2M'!O59</f>
        <v>0</v>
      </c>
      <c r="Z59" s="314">
        <f>SUMIFS(Adjustments!$G:$G,Adjustments!$H:$H,"2M",Adjustments!$I:$I,'Schedule 2M Adjustments'!$Y$12,Adjustments!$J:$J,'Schedule 2M Adjustments'!$A59)</f>
        <v>0</v>
      </c>
      <c r="AA59" s="310">
        <f t="shared" si="7"/>
        <v>0</v>
      </c>
    </row>
    <row r="60" spans="1:27" x14ac:dyDescent="0.35">
      <c r="A60" s="24">
        <v>46</v>
      </c>
      <c r="B60" s="513" t="str">
        <f>IF('As-Filed Schedule 2M'!B60:D60=0,"",'As-Filed Schedule 2M'!B60:D60)</f>
        <v/>
      </c>
      <c r="C60" s="513"/>
      <c r="D60" s="513"/>
      <c r="F60" s="117">
        <f>'As-Filed Schedule 2M'!F60</f>
        <v>0</v>
      </c>
      <c r="G60" s="314">
        <f>SUMIFS(Adjustments!$G:$G,Adjustments!$H:$H,"2M",Adjustments!$I:$I,'Schedule 2M Adjustments'!$F$12,Adjustments!$J:$J,'Schedule 2M Adjustments'!$A60)</f>
        <v>0</v>
      </c>
      <c r="H60" s="310">
        <f t="shared" si="0"/>
        <v>0</v>
      </c>
      <c r="I60" s="68">
        <f>IFERROR(F60*'As-Filed Schedule 1'!$E$103,0)</f>
        <v>0</v>
      </c>
      <c r="J60" s="311">
        <f>IFERROR(H60*'Adjusted Schedule 1'!$E$104,0)</f>
        <v>0</v>
      </c>
      <c r="K60" s="68">
        <f t="shared" si="1"/>
        <v>0</v>
      </c>
      <c r="L60" s="311">
        <f t="shared" si="2"/>
        <v>0</v>
      </c>
      <c r="N60" s="117">
        <f>'As-Filed Schedule 2M'!J60</f>
        <v>0</v>
      </c>
      <c r="O60" s="314">
        <f>SUMIFS(Adjustments!$G:$G,Adjustments!$H:$H,"2M",Adjustments!$I:$I,'Schedule 2M Adjustments'!$N$12,Adjustments!$J:$J,'Schedule 2M Adjustments'!$A60)</f>
        <v>0</v>
      </c>
      <c r="P60" s="310">
        <f t="shared" si="3"/>
        <v>0</v>
      </c>
      <c r="Q60" s="68">
        <f>IFERROR(N60*'As-Filed Schedule 1'!$E$103,0)</f>
        <v>0</v>
      </c>
      <c r="R60" s="68">
        <f>IFERROR(P60*'Adjusted Schedule 1'!$E$104,0)</f>
        <v>0</v>
      </c>
      <c r="S60" s="68">
        <f t="shared" si="4"/>
        <v>0</v>
      </c>
      <c r="T60" s="311">
        <f t="shared" si="5"/>
        <v>0</v>
      </c>
      <c r="V60" s="120">
        <f>'As-Filed Schedule 2M'!N60</f>
        <v>0</v>
      </c>
      <c r="W60" s="314">
        <f>SUMIFS(Adjustments!$G:$G,Adjustments!$H:$H,"2M",Adjustments!$I:$I,'Schedule 2M Adjustments'!$V$12,Adjustments!$J:$J,'Schedule 2M Adjustments'!$A60)</f>
        <v>0</v>
      </c>
      <c r="X60" s="310">
        <f t="shared" si="6"/>
        <v>0</v>
      </c>
      <c r="Y60" s="120">
        <f>'As-Filed Schedule 2M'!O60</f>
        <v>0</v>
      </c>
      <c r="Z60" s="314">
        <f>SUMIFS(Adjustments!$G:$G,Adjustments!$H:$H,"2M",Adjustments!$I:$I,'Schedule 2M Adjustments'!$Y$12,Adjustments!$J:$J,'Schedule 2M Adjustments'!$A60)</f>
        <v>0</v>
      </c>
      <c r="AA60" s="310">
        <f t="shared" si="7"/>
        <v>0</v>
      </c>
    </row>
    <row r="61" spans="1:27" x14ac:dyDescent="0.35">
      <c r="A61" s="24">
        <v>47</v>
      </c>
      <c r="B61" s="513" t="str">
        <f>IF('As-Filed Schedule 2M'!B61:D61=0,"",'As-Filed Schedule 2M'!B61:D61)</f>
        <v/>
      </c>
      <c r="C61" s="513"/>
      <c r="D61" s="513"/>
      <c r="F61" s="117">
        <f>'As-Filed Schedule 2M'!F61</f>
        <v>0</v>
      </c>
      <c r="G61" s="314">
        <f>SUMIFS(Adjustments!$G:$G,Adjustments!$H:$H,"2M",Adjustments!$I:$I,'Schedule 2M Adjustments'!$F$12,Adjustments!$J:$J,'Schedule 2M Adjustments'!$A61)</f>
        <v>0</v>
      </c>
      <c r="H61" s="310">
        <f t="shared" si="0"/>
        <v>0</v>
      </c>
      <c r="I61" s="68">
        <f>IFERROR(F61*'As-Filed Schedule 1'!$E$103,0)</f>
        <v>0</v>
      </c>
      <c r="J61" s="311">
        <f>IFERROR(H61*'Adjusted Schedule 1'!$E$104,0)</f>
        <v>0</v>
      </c>
      <c r="K61" s="68">
        <f t="shared" si="1"/>
        <v>0</v>
      </c>
      <c r="L61" s="311">
        <f t="shared" si="2"/>
        <v>0</v>
      </c>
      <c r="N61" s="117">
        <f>'As-Filed Schedule 2M'!J61</f>
        <v>0</v>
      </c>
      <c r="O61" s="314">
        <f>SUMIFS(Adjustments!$G:$G,Adjustments!$H:$H,"2M",Adjustments!$I:$I,'Schedule 2M Adjustments'!$N$12,Adjustments!$J:$J,'Schedule 2M Adjustments'!$A61)</f>
        <v>0</v>
      </c>
      <c r="P61" s="310">
        <f t="shared" si="3"/>
        <v>0</v>
      </c>
      <c r="Q61" s="68">
        <f>IFERROR(N61*'As-Filed Schedule 1'!$E$103,0)</f>
        <v>0</v>
      </c>
      <c r="R61" s="68">
        <f>IFERROR(P61*'Adjusted Schedule 1'!$E$104,0)</f>
        <v>0</v>
      </c>
      <c r="S61" s="68">
        <f t="shared" si="4"/>
        <v>0</v>
      </c>
      <c r="T61" s="311">
        <f t="shared" si="5"/>
        <v>0</v>
      </c>
      <c r="V61" s="120">
        <f>'As-Filed Schedule 2M'!N61</f>
        <v>0</v>
      </c>
      <c r="W61" s="314">
        <f>SUMIFS(Adjustments!$G:$G,Adjustments!$H:$H,"2M",Adjustments!$I:$I,'Schedule 2M Adjustments'!$V$12,Adjustments!$J:$J,'Schedule 2M Adjustments'!$A61)</f>
        <v>0</v>
      </c>
      <c r="X61" s="310">
        <f t="shared" si="6"/>
        <v>0</v>
      </c>
      <c r="Y61" s="120">
        <f>'As-Filed Schedule 2M'!O61</f>
        <v>0</v>
      </c>
      <c r="Z61" s="314">
        <f>SUMIFS(Adjustments!$G:$G,Adjustments!$H:$H,"2M",Adjustments!$I:$I,'Schedule 2M Adjustments'!$Y$12,Adjustments!$J:$J,'Schedule 2M Adjustments'!$A61)</f>
        <v>0</v>
      </c>
      <c r="AA61" s="310">
        <f t="shared" si="7"/>
        <v>0</v>
      </c>
    </row>
    <row r="62" spans="1:27" x14ac:dyDescent="0.35">
      <c r="A62" s="24">
        <v>48</v>
      </c>
      <c r="B62" s="513" t="str">
        <f>IF('As-Filed Schedule 2M'!B62:D62=0,"",'As-Filed Schedule 2M'!B62:D62)</f>
        <v/>
      </c>
      <c r="C62" s="513"/>
      <c r="D62" s="513"/>
      <c r="F62" s="117">
        <f>'As-Filed Schedule 2M'!F62</f>
        <v>0</v>
      </c>
      <c r="G62" s="314">
        <f>SUMIFS(Adjustments!$G:$G,Adjustments!$H:$H,"2M",Adjustments!$I:$I,'Schedule 2M Adjustments'!$F$12,Adjustments!$J:$J,'Schedule 2M Adjustments'!$A62)</f>
        <v>0</v>
      </c>
      <c r="H62" s="310">
        <f t="shared" si="0"/>
        <v>0</v>
      </c>
      <c r="I62" s="68">
        <f>IFERROR(F62*'As-Filed Schedule 1'!$E$103,0)</f>
        <v>0</v>
      </c>
      <c r="J62" s="311">
        <f>IFERROR(H62*'Adjusted Schedule 1'!$E$104,0)</f>
        <v>0</v>
      </c>
      <c r="K62" s="68">
        <f t="shared" si="1"/>
        <v>0</v>
      </c>
      <c r="L62" s="311">
        <f t="shared" si="2"/>
        <v>0</v>
      </c>
      <c r="N62" s="117">
        <f>'As-Filed Schedule 2M'!J62</f>
        <v>0</v>
      </c>
      <c r="O62" s="314">
        <f>SUMIFS(Adjustments!$G:$G,Adjustments!$H:$H,"2M",Adjustments!$I:$I,'Schedule 2M Adjustments'!$N$12,Adjustments!$J:$J,'Schedule 2M Adjustments'!$A62)</f>
        <v>0</v>
      </c>
      <c r="P62" s="310">
        <f t="shared" si="3"/>
        <v>0</v>
      </c>
      <c r="Q62" s="68">
        <f>IFERROR(N62*'As-Filed Schedule 1'!$E$103,0)</f>
        <v>0</v>
      </c>
      <c r="R62" s="68">
        <f>IFERROR(P62*'Adjusted Schedule 1'!$E$104,0)</f>
        <v>0</v>
      </c>
      <c r="S62" s="68">
        <f t="shared" si="4"/>
        <v>0</v>
      </c>
      <c r="T62" s="311">
        <f t="shared" si="5"/>
        <v>0</v>
      </c>
      <c r="V62" s="120">
        <f>'As-Filed Schedule 2M'!N62</f>
        <v>0</v>
      </c>
      <c r="W62" s="314">
        <f>SUMIFS(Adjustments!$G:$G,Adjustments!$H:$H,"2M",Adjustments!$I:$I,'Schedule 2M Adjustments'!$V$12,Adjustments!$J:$J,'Schedule 2M Adjustments'!$A62)</f>
        <v>0</v>
      </c>
      <c r="X62" s="310">
        <f t="shared" si="6"/>
        <v>0</v>
      </c>
      <c r="Y62" s="120">
        <f>'As-Filed Schedule 2M'!O62</f>
        <v>0</v>
      </c>
      <c r="Z62" s="314">
        <f>SUMIFS(Adjustments!$G:$G,Adjustments!$H:$H,"2M",Adjustments!$I:$I,'Schedule 2M Adjustments'!$Y$12,Adjustments!$J:$J,'Schedule 2M Adjustments'!$A62)</f>
        <v>0</v>
      </c>
      <c r="AA62" s="310">
        <f t="shared" si="7"/>
        <v>0</v>
      </c>
    </row>
    <row r="63" spans="1:27" x14ac:dyDescent="0.35">
      <c r="A63" s="24">
        <v>49</v>
      </c>
      <c r="B63" s="513" t="str">
        <f>IF('As-Filed Schedule 2M'!B63:D63=0,"",'As-Filed Schedule 2M'!B63:D63)</f>
        <v/>
      </c>
      <c r="C63" s="513"/>
      <c r="D63" s="513"/>
      <c r="F63" s="117">
        <f>'As-Filed Schedule 2M'!F63</f>
        <v>0</v>
      </c>
      <c r="G63" s="314">
        <f>SUMIFS(Adjustments!$G:$G,Adjustments!$H:$H,"2M",Adjustments!$I:$I,'Schedule 2M Adjustments'!$F$12,Adjustments!$J:$J,'Schedule 2M Adjustments'!$A63)</f>
        <v>0</v>
      </c>
      <c r="H63" s="310">
        <f t="shared" si="0"/>
        <v>0</v>
      </c>
      <c r="I63" s="68">
        <f>IFERROR(F63*'As-Filed Schedule 1'!$E$103,0)</f>
        <v>0</v>
      </c>
      <c r="J63" s="311">
        <f>IFERROR(H63*'Adjusted Schedule 1'!$E$104,0)</f>
        <v>0</v>
      </c>
      <c r="K63" s="68">
        <f t="shared" si="1"/>
        <v>0</v>
      </c>
      <c r="L63" s="311">
        <f t="shared" si="2"/>
        <v>0</v>
      </c>
      <c r="N63" s="117">
        <f>'As-Filed Schedule 2M'!J63</f>
        <v>0</v>
      </c>
      <c r="O63" s="314">
        <f>SUMIFS(Adjustments!$G:$G,Adjustments!$H:$H,"2M",Adjustments!$I:$I,'Schedule 2M Adjustments'!$N$12,Adjustments!$J:$J,'Schedule 2M Adjustments'!$A63)</f>
        <v>0</v>
      </c>
      <c r="P63" s="310">
        <f t="shared" si="3"/>
        <v>0</v>
      </c>
      <c r="Q63" s="68">
        <f>IFERROR(N63*'As-Filed Schedule 1'!$E$103,0)</f>
        <v>0</v>
      </c>
      <c r="R63" s="68">
        <f>IFERROR(P63*'Adjusted Schedule 1'!$E$104,0)</f>
        <v>0</v>
      </c>
      <c r="S63" s="68">
        <f t="shared" si="4"/>
        <v>0</v>
      </c>
      <c r="T63" s="311">
        <f t="shared" si="5"/>
        <v>0</v>
      </c>
      <c r="V63" s="120">
        <f>'As-Filed Schedule 2M'!N63</f>
        <v>0</v>
      </c>
      <c r="W63" s="314">
        <f>SUMIFS(Adjustments!$G:$G,Adjustments!$H:$H,"2M",Adjustments!$I:$I,'Schedule 2M Adjustments'!$V$12,Adjustments!$J:$J,'Schedule 2M Adjustments'!$A63)</f>
        <v>0</v>
      </c>
      <c r="X63" s="310">
        <f t="shared" si="6"/>
        <v>0</v>
      </c>
      <c r="Y63" s="120">
        <f>'As-Filed Schedule 2M'!O63</f>
        <v>0</v>
      </c>
      <c r="Z63" s="314">
        <f>SUMIFS(Adjustments!$G:$G,Adjustments!$H:$H,"2M",Adjustments!$I:$I,'Schedule 2M Adjustments'!$Y$12,Adjustments!$J:$J,'Schedule 2M Adjustments'!$A63)</f>
        <v>0</v>
      </c>
      <c r="AA63" s="310">
        <f t="shared" si="7"/>
        <v>0</v>
      </c>
    </row>
    <row r="64" spans="1:27" x14ac:dyDescent="0.35">
      <c r="A64" s="24">
        <v>50</v>
      </c>
      <c r="B64" s="513" t="str">
        <f>IF('As-Filed Schedule 2M'!B64:D64=0,"",'As-Filed Schedule 2M'!B64:D64)</f>
        <v/>
      </c>
      <c r="C64" s="513"/>
      <c r="D64" s="513"/>
      <c r="F64" s="117">
        <f>'As-Filed Schedule 2M'!F64</f>
        <v>0</v>
      </c>
      <c r="G64" s="314">
        <f>SUMIFS(Adjustments!$G:$G,Adjustments!$H:$H,"2M",Adjustments!$I:$I,'Schedule 2M Adjustments'!$F$12,Adjustments!$J:$J,'Schedule 2M Adjustments'!$A64)</f>
        <v>0</v>
      </c>
      <c r="H64" s="310">
        <f t="shared" si="0"/>
        <v>0</v>
      </c>
      <c r="I64" s="68">
        <f>IFERROR(F64*'As-Filed Schedule 1'!$E$103,0)</f>
        <v>0</v>
      </c>
      <c r="J64" s="311">
        <f>IFERROR(H64*'Adjusted Schedule 1'!$E$104,0)</f>
        <v>0</v>
      </c>
      <c r="K64" s="68">
        <f t="shared" si="1"/>
        <v>0</v>
      </c>
      <c r="L64" s="311">
        <f t="shared" si="2"/>
        <v>0</v>
      </c>
      <c r="N64" s="117">
        <f>'As-Filed Schedule 2M'!J64</f>
        <v>0</v>
      </c>
      <c r="O64" s="314">
        <f>SUMIFS(Adjustments!$G:$G,Adjustments!$H:$H,"2M",Adjustments!$I:$I,'Schedule 2M Adjustments'!$N$12,Adjustments!$J:$J,'Schedule 2M Adjustments'!$A64)</f>
        <v>0</v>
      </c>
      <c r="P64" s="310">
        <f t="shared" si="3"/>
        <v>0</v>
      </c>
      <c r="Q64" s="68">
        <f>IFERROR(N64*'As-Filed Schedule 1'!$E$103,0)</f>
        <v>0</v>
      </c>
      <c r="R64" s="68">
        <f>IFERROR(P64*'Adjusted Schedule 1'!$E$104,0)</f>
        <v>0</v>
      </c>
      <c r="S64" s="68">
        <f t="shared" si="4"/>
        <v>0</v>
      </c>
      <c r="T64" s="311">
        <f t="shared" si="5"/>
        <v>0</v>
      </c>
      <c r="V64" s="120">
        <f>'As-Filed Schedule 2M'!N64</f>
        <v>0</v>
      </c>
      <c r="W64" s="314">
        <f>SUMIFS(Adjustments!$G:$G,Adjustments!$H:$H,"2M",Adjustments!$I:$I,'Schedule 2M Adjustments'!$V$12,Adjustments!$J:$J,'Schedule 2M Adjustments'!$A64)</f>
        <v>0</v>
      </c>
      <c r="X64" s="310">
        <f t="shared" si="6"/>
        <v>0</v>
      </c>
      <c r="Y64" s="120">
        <f>'As-Filed Schedule 2M'!O64</f>
        <v>0</v>
      </c>
      <c r="Z64" s="314">
        <f>SUMIFS(Adjustments!$G:$G,Adjustments!$H:$H,"2M",Adjustments!$I:$I,'Schedule 2M Adjustments'!$Y$12,Adjustments!$J:$J,'Schedule 2M Adjustments'!$A64)</f>
        <v>0</v>
      </c>
      <c r="AA64" s="310">
        <f t="shared" si="7"/>
        <v>0</v>
      </c>
    </row>
    <row r="65" spans="1:27" x14ac:dyDescent="0.35">
      <c r="A65" s="24">
        <v>51</v>
      </c>
      <c r="B65" s="513" t="str">
        <f>IF('As-Filed Schedule 2M'!B65:D65=0,"",'As-Filed Schedule 2M'!B65:D65)</f>
        <v/>
      </c>
      <c r="C65" s="513"/>
      <c r="D65" s="513"/>
      <c r="F65" s="117">
        <f>'As-Filed Schedule 2M'!F65</f>
        <v>0</v>
      </c>
      <c r="G65" s="314">
        <f>SUMIFS(Adjustments!$G:$G,Adjustments!$H:$H,"2M",Adjustments!$I:$I,'Schedule 2M Adjustments'!$F$12,Adjustments!$J:$J,'Schedule 2M Adjustments'!$A65)</f>
        <v>0</v>
      </c>
      <c r="H65" s="310">
        <f t="shared" si="0"/>
        <v>0</v>
      </c>
      <c r="I65" s="68">
        <f>IFERROR(F65*'As-Filed Schedule 1'!$E$103,0)</f>
        <v>0</v>
      </c>
      <c r="J65" s="311">
        <f>IFERROR(H65*'Adjusted Schedule 1'!$E$104,0)</f>
        <v>0</v>
      </c>
      <c r="K65" s="68">
        <f t="shared" si="1"/>
        <v>0</v>
      </c>
      <c r="L65" s="311">
        <f t="shared" si="2"/>
        <v>0</v>
      </c>
      <c r="N65" s="117">
        <f>'As-Filed Schedule 2M'!J65</f>
        <v>0</v>
      </c>
      <c r="O65" s="314">
        <f>SUMIFS(Adjustments!$G:$G,Adjustments!$H:$H,"2M",Adjustments!$I:$I,'Schedule 2M Adjustments'!$N$12,Adjustments!$J:$J,'Schedule 2M Adjustments'!$A65)</f>
        <v>0</v>
      </c>
      <c r="P65" s="310">
        <f t="shared" si="3"/>
        <v>0</v>
      </c>
      <c r="Q65" s="68">
        <f>IFERROR(N65*'As-Filed Schedule 1'!$E$103,0)</f>
        <v>0</v>
      </c>
      <c r="R65" s="68">
        <f>IFERROR(P65*'Adjusted Schedule 1'!$E$104,0)</f>
        <v>0</v>
      </c>
      <c r="S65" s="68">
        <f t="shared" si="4"/>
        <v>0</v>
      </c>
      <c r="T65" s="311">
        <f t="shared" si="5"/>
        <v>0</v>
      </c>
      <c r="V65" s="120">
        <f>'As-Filed Schedule 2M'!N65</f>
        <v>0</v>
      </c>
      <c r="W65" s="314">
        <f>SUMIFS(Adjustments!$G:$G,Adjustments!$H:$H,"2M",Adjustments!$I:$I,'Schedule 2M Adjustments'!$V$12,Adjustments!$J:$J,'Schedule 2M Adjustments'!$A65)</f>
        <v>0</v>
      </c>
      <c r="X65" s="310">
        <f t="shared" si="6"/>
        <v>0</v>
      </c>
      <c r="Y65" s="120">
        <f>'As-Filed Schedule 2M'!O65</f>
        <v>0</v>
      </c>
      <c r="Z65" s="314">
        <f>SUMIFS(Adjustments!$G:$G,Adjustments!$H:$H,"2M",Adjustments!$I:$I,'Schedule 2M Adjustments'!$Y$12,Adjustments!$J:$J,'Schedule 2M Adjustments'!$A65)</f>
        <v>0</v>
      </c>
      <c r="AA65" s="310">
        <f t="shared" si="7"/>
        <v>0</v>
      </c>
    </row>
    <row r="66" spans="1:27" x14ac:dyDescent="0.35">
      <c r="A66" s="24">
        <v>52</v>
      </c>
      <c r="B66" s="513" t="str">
        <f>IF('As-Filed Schedule 2M'!B66:D66=0,"",'As-Filed Schedule 2M'!B66:D66)</f>
        <v/>
      </c>
      <c r="C66" s="513"/>
      <c r="D66" s="513"/>
      <c r="F66" s="117">
        <f>'As-Filed Schedule 2M'!F66</f>
        <v>0</v>
      </c>
      <c r="G66" s="314">
        <f>SUMIFS(Adjustments!$G:$G,Adjustments!$H:$H,"2M",Adjustments!$I:$I,'Schedule 2M Adjustments'!$F$12,Adjustments!$J:$J,'Schedule 2M Adjustments'!$A66)</f>
        <v>0</v>
      </c>
      <c r="H66" s="310">
        <f t="shared" si="0"/>
        <v>0</v>
      </c>
      <c r="I66" s="68">
        <f>IFERROR(F66*'As-Filed Schedule 1'!$E$103,0)</f>
        <v>0</v>
      </c>
      <c r="J66" s="311">
        <f>IFERROR(H66*'Adjusted Schedule 1'!$E$104,0)</f>
        <v>0</v>
      </c>
      <c r="K66" s="68">
        <f t="shared" si="1"/>
        <v>0</v>
      </c>
      <c r="L66" s="311">
        <f t="shared" si="2"/>
        <v>0</v>
      </c>
      <c r="N66" s="117">
        <f>'As-Filed Schedule 2M'!J66</f>
        <v>0</v>
      </c>
      <c r="O66" s="314">
        <f>SUMIFS(Adjustments!$G:$G,Adjustments!$H:$H,"2M",Adjustments!$I:$I,'Schedule 2M Adjustments'!$N$12,Adjustments!$J:$J,'Schedule 2M Adjustments'!$A66)</f>
        <v>0</v>
      </c>
      <c r="P66" s="310">
        <f t="shared" si="3"/>
        <v>0</v>
      </c>
      <c r="Q66" s="68">
        <f>IFERROR(N66*'As-Filed Schedule 1'!$E$103,0)</f>
        <v>0</v>
      </c>
      <c r="R66" s="68">
        <f>IFERROR(P66*'Adjusted Schedule 1'!$E$104,0)</f>
        <v>0</v>
      </c>
      <c r="S66" s="68">
        <f t="shared" si="4"/>
        <v>0</v>
      </c>
      <c r="T66" s="311">
        <f t="shared" si="5"/>
        <v>0</v>
      </c>
      <c r="V66" s="120">
        <f>'As-Filed Schedule 2M'!N66</f>
        <v>0</v>
      </c>
      <c r="W66" s="314">
        <f>SUMIFS(Adjustments!$G:$G,Adjustments!$H:$H,"2M",Adjustments!$I:$I,'Schedule 2M Adjustments'!$V$12,Adjustments!$J:$J,'Schedule 2M Adjustments'!$A66)</f>
        <v>0</v>
      </c>
      <c r="X66" s="310">
        <f t="shared" si="6"/>
        <v>0</v>
      </c>
      <c r="Y66" s="120">
        <f>'As-Filed Schedule 2M'!O66</f>
        <v>0</v>
      </c>
      <c r="Z66" s="314">
        <f>SUMIFS(Adjustments!$G:$G,Adjustments!$H:$H,"2M",Adjustments!$I:$I,'Schedule 2M Adjustments'!$Y$12,Adjustments!$J:$J,'Schedule 2M Adjustments'!$A66)</f>
        <v>0</v>
      </c>
      <c r="AA66" s="310">
        <f t="shared" si="7"/>
        <v>0</v>
      </c>
    </row>
    <row r="67" spans="1:27" x14ac:dyDescent="0.35">
      <c r="A67" s="24">
        <v>53</v>
      </c>
      <c r="B67" s="513" t="str">
        <f>IF('As-Filed Schedule 2M'!B67:D67=0,"",'As-Filed Schedule 2M'!B67:D67)</f>
        <v/>
      </c>
      <c r="C67" s="513"/>
      <c r="D67" s="513"/>
      <c r="F67" s="117">
        <f>'As-Filed Schedule 2M'!F67</f>
        <v>0</v>
      </c>
      <c r="G67" s="314">
        <f>SUMIFS(Adjustments!$G:$G,Adjustments!$H:$H,"2M",Adjustments!$I:$I,'Schedule 2M Adjustments'!$F$12,Adjustments!$J:$J,'Schedule 2M Adjustments'!$A67)</f>
        <v>0</v>
      </c>
      <c r="H67" s="310">
        <f t="shared" si="0"/>
        <v>0</v>
      </c>
      <c r="I67" s="68">
        <f>IFERROR(F67*'As-Filed Schedule 1'!$E$103,0)</f>
        <v>0</v>
      </c>
      <c r="J67" s="311">
        <f>IFERROR(H67*'Adjusted Schedule 1'!$E$104,0)</f>
        <v>0</v>
      </c>
      <c r="K67" s="68">
        <f t="shared" si="1"/>
        <v>0</v>
      </c>
      <c r="L67" s="311">
        <f t="shared" si="2"/>
        <v>0</v>
      </c>
      <c r="N67" s="117">
        <f>'As-Filed Schedule 2M'!J67</f>
        <v>0</v>
      </c>
      <c r="O67" s="314">
        <f>SUMIFS(Adjustments!$G:$G,Adjustments!$H:$H,"2M",Adjustments!$I:$I,'Schedule 2M Adjustments'!$N$12,Adjustments!$J:$J,'Schedule 2M Adjustments'!$A67)</f>
        <v>0</v>
      </c>
      <c r="P67" s="310">
        <f t="shared" si="3"/>
        <v>0</v>
      </c>
      <c r="Q67" s="68">
        <f>IFERROR(N67*'As-Filed Schedule 1'!$E$103,0)</f>
        <v>0</v>
      </c>
      <c r="R67" s="68">
        <f>IFERROR(P67*'Adjusted Schedule 1'!$E$104,0)</f>
        <v>0</v>
      </c>
      <c r="S67" s="68">
        <f t="shared" si="4"/>
        <v>0</v>
      </c>
      <c r="T67" s="311">
        <f t="shared" si="5"/>
        <v>0</v>
      </c>
      <c r="V67" s="120">
        <f>'As-Filed Schedule 2M'!N67</f>
        <v>0</v>
      </c>
      <c r="W67" s="314">
        <f>SUMIFS(Adjustments!$G:$G,Adjustments!$H:$H,"2M",Adjustments!$I:$I,'Schedule 2M Adjustments'!$V$12,Adjustments!$J:$J,'Schedule 2M Adjustments'!$A67)</f>
        <v>0</v>
      </c>
      <c r="X67" s="310">
        <f t="shared" si="6"/>
        <v>0</v>
      </c>
      <c r="Y67" s="120">
        <f>'As-Filed Schedule 2M'!O67</f>
        <v>0</v>
      </c>
      <c r="Z67" s="314">
        <f>SUMIFS(Adjustments!$G:$G,Adjustments!$H:$H,"2M",Adjustments!$I:$I,'Schedule 2M Adjustments'!$Y$12,Adjustments!$J:$J,'Schedule 2M Adjustments'!$A67)</f>
        <v>0</v>
      </c>
      <c r="AA67" s="310">
        <f t="shared" si="7"/>
        <v>0</v>
      </c>
    </row>
    <row r="68" spans="1:27" x14ac:dyDescent="0.35">
      <c r="A68" s="24">
        <v>54</v>
      </c>
      <c r="B68" s="513" t="str">
        <f>IF('As-Filed Schedule 2M'!B68:D68=0,"",'As-Filed Schedule 2M'!B68:D68)</f>
        <v/>
      </c>
      <c r="C68" s="513"/>
      <c r="D68" s="513"/>
      <c r="F68" s="117">
        <f>'As-Filed Schedule 2M'!F68</f>
        <v>0</v>
      </c>
      <c r="G68" s="314">
        <f>SUMIFS(Adjustments!$G:$G,Adjustments!$H:$H,"2M",Adjustments!$I:$I,'Schedule 2M Adjustments'!$F$12,Adjustments!$J:$J,'Schedule 2M Adjustments'!$A68)</f>
        <v>0</v>
      </c>
      <c r="H68" s="310">
        <f t="shared" si="0"/>
        <v>0</v>
      </c>
      <c r="I68" s="68">
        <f>IFERROR(F68*'As-Filed Schedule 1'!$E$103,0)</f>
        <v>0</v>
      </c>
      <c r="J68" s="311">
        <f>IFERROR(H68*'Adjusted Schedule 1'!$E$104,0)</f>
        <v>0</v>
      </c>
      <c r="K68" s="68">
        <f t="shared" si="1"/>
        <v>0</v>
      </c>
      <c r="L68" s="311">
        <f t="shared" si="2"/>
        <v>0</v>
      </c>
      <c r="N68" s="117">
        <f>'As-Filed Schedule 2M'!J68</f>
        <v>0</v>
      </c>
      <c r="O68" s="314">
        <f>SUMIFS(Adjustments!$G:$G,Adjustments!$H:$H,"2M",Adjustments!$I:$I,'Schedule 2M Adjustments'!$N$12,Adjustments!$J:$J,'Schedule 2M Adjustments'!$A68)</f>
        <v>0</v>
      </c>
      <c r="P68" s="310">
        <f t="shared" si="3"/>
        <v>0</v>
      </c>
      <c r="Q68" s="68">
        <f>IFERROR(N68*'As-Filed Schedule 1'!$E$103,0)</f>
        <v>0</v>
      </c>
      <c r="R68" s="68">
        <f>IFERROR(P68*'Adjusted Schedule 1'!$E$104,0)</f>
        <v>0</v>
      </c>
      <c r="S68" s="68">
        <f t="shared" si="4"/>
        <v>0</v>
      </c>
      <c r="T68" s="311">
        <f t="shared" si="5"/>
        <v>0</v>
      </c>
      <c r="V68" s="120">
        <f>'As-Filed Schedule 2M'!N68</f>
        <v>0</v>
      </c>
      <c r="W68" s="314">
        <f>SUMIFS(Adjustments!$G:$G,Adjustments!$H:$H,"2M",Adjustments!$I:$I,'Schedule 2M Adjustments'!$V$12,Adjustments!$J:$J,'Schedule 2M Adjustments'!$A68)</f>
        <v>0</v>
      </c>
      <c r="X68" s="310">
        <f t="shared" si="6"/>
        <v>0</v>
      </c>
      <c r="Y68" s="120">
        <f>'As-Filed Schedule 2M'!O68</f>
        <v>0</v>
      </c>
      <c r="Z68" s="314">
        <f>SUMIFS(Adjustments!$G:$G,Adjustments!$H:$H,"2M",Adjustments!$I:$I,'Schedule 2M Adjustments'!$Y$12,Adjustments!$J:$J,'Schedule 2M Adjustments'!$A68)</f>
        <v>0</v>
      </c>
      <c r="AA68" s="310">
        <f t="shared" si="7"/>
        <v>0</v>
      </c>
    </row>
    <row r="69" spans="1:27" x14ac:dyDescent="0.35">
      <c r="A69" s="24">
        <v>55</v>
      </c>
      <c r="B69" s="513" t="str">
        <f>IF('As-Filed Schedule 2M'!B69:D69=0,"",'As-Filed Schedule 2M'!B69:D69)</f>
        <v/>
      </c>
      <c r="C69" s="513"/>
      <c r="D69" s="513"/>
      <c r="F69" s="117">
        <f>'As-Filed Schedule 2M'!F69</f>
        <v>0</v>
      </c>
      <c r="G69" s="314">
        <f>SUMIFS(Adjustments!$G:$G,Adjustments!$H:$H,"2M",Adjustments!$I:$I,'Schedule 2M Adjustments'!$F$12,Adjustments!$J:$J,'Schedule 2M Adjustments'!$A69)</f>
        <v>0</v>
      </c>
      <c r="H69" s="310">
        <f t="shared" si="0"/>
        <v>0</v>
      </c>
      <c r="I69" s="68">
        <f>IFERROR(F69*'As-Filed Schedule 1'!$E$103,0)</f>
        <v>0</v>
      </c>
      <c r="J69" s="311">
        <f>IFERROR(H69*'Adjusted Schedule 1'!$E$104,0)</f>
        <v>0</v>
      </c>
      <c r="K69" s="68">
        <f t="shared" si="1"/>
        <v>0</v>
      </c>
      <c r="L69" s="311">
        <f t="shared" si="2"/>
        <v>0</v>
      </c>
      <c r="N69" s="117">
        <f>'As-Filed Schedule 2M'!J69</f>
        <v>0</v>
      </c>
      <c r="O69" s="314">
        <f>SUMIFS(Adjustments!$G:$G,Adjustments!$H:$H,"2M",Adjustments!$I:$I,'Schedule 2M Adjustments'!$N$12,Adjustments!$J:$J,'Schedule 2M Adjustments'!$A69)</f>
        <v>0</v>
      </c>
      <c r="P69" s="310">
        <f t="shared" si="3"/>
        <v>0</v>
      </c>
      <c r="Q69" s="68">
        <f>IFERROR(N69*'As-Filed Schedule 1'!$E$103,0)</f>
        <v>0</v>
      </c>
      <c r="R69" s="68">
        <f>IFERROR(P69*'Adjusted Schedule 1'!$E$104,0)</f>
        <v>0</v>
      </c>
      <c r="S69" s="68">
        <f t="shared" si="4"/>
        <v>0</v>
      </c>
      <c r="T69" s="311">
        <f t="shared" si="5"/>
        <v>0</v>
      </c>
      <c r="V69" s="120">
        <f>'As-Filed Schedule 2M'!N69</f>
        <v>0</v>
      </c>
      <c r="W69" s="314">
        <f>SUMIFS(Adjustments!$G:$G,Adjustments!$H:$H,"2M",Adjustments!$I:$I,'Schedule 2M Adjustments'!$V$12,Adjustments!$J:$J,'Schedule 2M Adjustments'!$A69)</f>
        <v>0</v>
      </c>
      <c r="X69" s="310">
        <f t="shared" si="6"/>
        <v>0</v>
      </c>
      <c r="Y69" s="120">
        <f>'As-Filed Schedule 2M'!O69</f>
        <v>0</v>
      </c>
      <c r="Z69" s="314">
        <f>SUMIFS(Adjustments!$G:$G,Adjustments!$H:$H,"2M",Adjustments!$I:$I,'Schedule 2M Adjustments'!$Y$12,Adjustments!$J:$J,'Schedule 2M Adjustments'!$A69)</f>
        <v>0</v>
      </c>
      <c r="AA69" s="310">
        <f t="shared" si="7"/>
        <v>0</v>
      </c>
    </row>
    <row r="70" spans="1:27" x14ac:dyDescent="0.35">
      <c r="A70" s="24">
        <v>56</v>
      </c>
      <c r="B70" s="513" t="str">
        <f>IF('As-Filed Schedule 2M'!B70:D70=0,"",'As-Filed Schedule 2M'!B70:D70)</f>
        <v/>
      </c>
      <c r="C70" s="513"/>
      <c r="D70" s="513"/>
      <c r="F70" s="117">
        <f>'As-Filed Schedule 2M'!F70</f>
        <v>0</v>
      </c>
      <c r="G70" s="314">
        <f>SUMIFS(Adjustments!$G:$G,Adjustments!$H:$H,"2M",Adjustments!$I:$I,'Schedule 2M Adjustments'!$F$12,Adjustments!$J:$J,'Schedule 2M Adjustments'!$A70)</f>
        <v>0</v>
      </c>
      <c r="H70" s="310">
        <f t="shared" si="0"/>
        <v>0</v>
      </c>
      <c r="I70" s="68">
        <f>IFERROR(F70*'As-Filed Schedule 1'!$E$103,0)</f>
        <v>0</v>
      </c>
      <c r="J70" s="311">
        <f>IFERROR(H70*'Adjusted Schedule 1'!$E$104,0)</f>
        <v>0</v>
      </c>
      <c r="K70" s="68">
        <f t="shared" si="1"/>
        <v>0</v>
      </c>
      <c r="L70" s="311">
        <f t="shared" si="2"/>
        <v>0</v>
      </c>
      <c r="N70" s="117">
        <f>'As-Filed Schedule 2M'!J70</f>
        <v>0</v>
      </c>
      <c r="O70" s="314">
        <f>SUMIFS(Adjustments!$G:$G,Adjustments!$H:$H,"2M",Adjustments!$I:$I,'Schedule 2M Adjustments'!$N$12,Adjustments!$J:$J,'Schedule 2M Adjustments'!$A70)</f>
        <v>0</v>
      </c>
      <c r="P70" s="310">
        <f t="shared" si="3"/>
        <v>0</v>
      </c>
      <c r="Q70" s="68">
        <f>IFERROR(N70*'As-Filed Schedule 1'!$E$103,0)</f>
        <v>0</v>
      </c>
      <c r="R70" s="68">
        <f>IFERROR(P70*'Adjusted Schedule 1'!$E$104,0)</f>
        <v>0</v>
      </c>
      <c r="S70" s="68">
        <f t="shared" si="4"/>
        <v>0</v>
      </c>
      <c r="T70" s="311">
        <f t="shared" si="5"/>
        <v>0</v>
      </c>
      <c r="V70" s="120">
        <f>'As-Filed Schedule 2M'!N70</f>
        <v>0</v>
      </c>
      <c r="W70" s="314">
        <f>SUMIFS(Adjustments!$G:$G,Adjustments!$H:$H,"2M",Adjustments!$I:$I,'Schedule 2M Adjustments'!$V$12,Adjustments!$J:$J,'Schedule 2M Adjustments'!$A70)</f>
        <v>0</v>
      </c>
      <c r="X70" s="310">
        <f t="shared" si="6"/>
        <v>0</v>
      </c>
      <c r="Y70" s="120">
        <f>'As-Filed Schedule 2M'!O70</f>
        <v>0</v>
      </c>
      <c r="Z70" s="314">
        <f>SUMIFS(Adjustments!$G:$G,Adjustments!$H:$H,"2M",Adjustments!$I:$I,'Schedule 2M Adjustments'!$Y$12,Adjustments!$J:$J,'Schedule 2M Adjustments'!$A70)</f>
        <v>0</v>
      </c>
      <c r="AA70" s="310">
        <f t="shared" si="7"/>
        <v>0</v>
      </c>
    </row>
    <row r="71" spans="1:27" x14ac:dyDescent="0.35">
      <c r="A71" s="24">
        <v>57</v>
      </c>
      <c r="B71" s="513" t="str">
        <f>IF('As-Filed Schedule 2M'!B71:D71=0,"",'As-Filed Schedule 2M'!B71:D71)</f>
        <v/>
      </c>
      <c r="C71" s="513"/>
      <c r="D71" s="513"/>
      <c r="F71" s="117">
        <f>'As-Filed Schedule 2M'!F71</f>
        <v>0</v>
      </c>
      <c r="G71" s="314">
        <f>SUMIFS(Adjustments!$G:$G,Adjustments!$H:$H,"2M",Adjustments!$I:$I,'Schedule 2M Adjustments'!$F$12,Adjustments!$J:$J,'Schedule 2M Adjustments'!$A71)</f>
        <v>0</v>
      </c>
      <c r="H71" s="310">
        <f t="shared" si="0"/>
        <v>0</v>
      </c>
      <c r="I71" s="68">
        <f>IFERROR(F71*'As-Filed Schedule 1'!$E$103,0)</f>
        <v>0</v>
      </c>
      <c r="J71" s="311">
        <f>IFERROR(H71*'Adjusted Schedule 1'!$E$104,0)</f>
        <v>0</v>
      </c>
      <c r="K71" s="68">
        <f t="shared" si="1"/>
        <v>0</v>
      </c>
      <c r="L71" s="311">
        <f t="shared" si="2"/>
        <v>0</v>
      </c>
      <c r="N71" s="117">
        <f>'As-Filed Schedule 2M'!J71</f>
        <v>0</v>
      </c>
      <c r="O71" s="314">
        <f>SUMIFS(Adjustments!$G:$G,Adjustments!$H:$H,"2M",Adjustments!$I:$I,'Schedule 2M Adjustments'!$N$12,Adjustments!$J:$J,'Schedule 2M Adjustments'!$A71)</f>
        <v>0</v>
      </c>
      <c r="P71" s="310">
        <f t="shared" si="3"/>
        <v>0</v>
      </c>
      <c r="Q71" s="68">
        <f>IFERROR(N71*'As-Filed Schedule 1'!$E$103,0)</f>
        <v>0</v>
      </c>
      <c r="R71" s="68">
        <f>IFERROR(P71*'Adjusted Schedule 1'!$E$104,0)</f>
        <v>0</v>
      </c>
      <c r="S71" s="68">
        <f t="shared" si="4"/>
        <v>0</v>
      </c>
      <c r="T71" s="311">
        <f t="shared" si="5"/>
        <v>0</v>
      </c>
      <c r="V71" s="120">
        <f>'As-Filed Schedule 2M'!N71</f>
        <v>0</v>
      </c>
      <c r="W71" s="314">
        <f>SUMIFS(Adjustments!$G:$G,Adjustments!$H:$H,"2M",Adjustments!$I:$I,'Schedule 2M Adjustments'!$V$12,Adjustments!$J:$J,'Schedule 2M Adjustments'!$A71)</f>
        <v>0</v>
      </c>
      <c r="X71" s="310">
        <f t="shared" si="6"/>
        <v>0</v>
      </c>
      <c r="Y71" s="120">
        <f>'As-Filed Schedule 2M'!O71</f>
        <v>0</v>
      </c>
      <c r="Z71" s="314">
        <f>SUMIFS(Adjustments!$G:$G,Adjustments!$H:$H,"2M",Adjustments!$I:$I,'Schedule 2M Adjustments'!$Y$12,Adjustments!$J:$J,'Schedule 2M Adjustments'!$A71)</f>
        <v>0</v>
      </c>
      <c r="AA71" s="310">
        <f t="shared" si="7"/>
        <v>0</v>
      </c>
    </row>
    <row r="72" spans="1:27" x14ac:dyDescent="0.35">
      <c r="A72" s="24">
        <v>58</v>
      </c>
      <c r="B72" s="513" t="str">
        <f>IF('As-Filed Schedule 2M'!B72:D72=0,"",'As-Filed Schedule 2M'!B72:D72)</f>
        <v/>
      </c>
      <c r="C72" s="513"/>
      <c r="D72" s="513"/>
      <c r="F72" s="117">
        <f>'As-Filed Schedule 2M'!F72</f>
        <v>0</v>
      </c>
      <c r="G72" s="314">
        <f>SUMIFS(Adjustments!$G:$G,Adjustments!$H:$H,"2M",Adjustments!$I:$I,'Schedule 2M Adjustments'!$F$12,Adjustments!$J:$J,'Schedule 2M Adjustments'!$A72)</f>
        <v>0</v>
      </c>
      <c r="H72" s="310">
        <f t="shared" si="0"/>
        <v>0</v>
      </c>
      <c r="I72" s="68">
        <f>IFERROR(F72*'As-Filed Schedule 1'!$E$103,0)</f>
        <v>0</v>
      </c>
      <c r="J72" s="311">
        <f>IFERROR(H72*'Adjusted Schedule 1'!$E$104,0)</f>
        <v>0</v>
      </c>
      <c r="K72" s="68">
        <f t="shared" si="1"/>
        <v>0</v>
      </c>
      <c r="L72" s="311">
        <f t="shared" si="2"/>
        <v>0</v>
      </c>
      <c r="N72" s="117">
        <f>'As-Filed Schedule 2M'!J72</f>
        <v>0</v>
      </c>
      <c r="O72" s="314">
        <f>SUMIFS(Adjustments!$G:$G,Adjustments!$H:$H,"2M",Adjustments!$I:$I,'Schedule 2M Adjustments'!$N$12,Adjustments!$J:$J,'Schedule 2M Adjustments'!$A72)</f>
        <v>0</v>
      </c>
      <c r="P72" s="310">
        <f t="shared" si="3"/>
        <v>0</v>
      </c>
      <c r="Q72" s="68">
        <f>IFERROR(N72*'As-Filed Schedule 1'!$E$103,0)</f>
        <v>0</v>
      </c>
      <c r="R72" s="68">
        <f>IFERROR(P72*'Adjusted Schedule 1'!$E$104,0)</f>
        <v>0</v>
      </c>
      <c r="S72" s="68">
        <f t="shared" si="4"/>
        <v>0</v>
      </c>
      <c r="T72" s="311">
        <f t="shared" si="5"/>
        <v>0</v>
      </c>
      <c r="V72" s="120">
        <f>'As-Filed Schedule 2M'!N72</f>
        <v>0</v>
      </c>
      <c r="W72" s="314">
        <f>SUMIFS(Adjustments!$G:$G,Adjustments!$H:$H,"2M",Adjustments!$I:$I,'Schedule 2M Adjustments'!$V$12,Adjustments!$J:$J,'Schedule 2M Adjustments'!$A72)</f>
        <v>0</v>
      </c>
      <c r="X72" s="310">
        <f t="shared" si="6"/>
        <v>0</v>
      </c>
      <c r="Y72" s="120">
        <f>'As-Filed Schedule 2M'!O72</f>
        <v>0</v>
      </c>
      <c r="Z72" s="314">
        <f>SUMIFS(Adjustments!$G:$G,Adjustments!$H:$H,"2M",Adjustments!$I:$I,'Schedule 2M Adjustments'!$Y$12,Adjustments!$J:$J,'Schedule 2M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33"/>
  <dimension ref="A1:AG261"/>
  <sheetViews>
    <sheetView workbookViewId="0"/>
  </sheetViews>
  <sheetFormatPr defaultColWidth="9.1796875"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8.453125" style="261" customWidth="1"/>
    <col min="13" max="13" width="18.453125" style="48" customWidth="1"/>
    <col min="14" max="14" width="12.453125" customWidth="1"/>
    <col min="15" max="15" width="12.453125" style="48" customWidth="1"/>
    <col min="16" max="16" width="18.453125" customWidth="1"/>
    <col min="17" max="17" width="18.453125" style="261" customWidth="1"/>
    <col min="18" max="18" width="18.453125" style="48" customWidth="1"/>
    <col min="19" max="19" width="18.453125" customWidth="1"/>
    <col min="20" max="20" width="18.453125" style="48" customWidth="1"/>
    <col min="21" max="21" width="18.453125" customWidth="1"/>
    <col min="22" max="22" width="18.453125" style="261" customWidth="1"/>
    <col min="23" max="23" width="18.453125" style="48" customWidth="1"/>
    <col min="24" max="24" width="18.453125" customWidth="1"/>
    <col min="25" max="25" width="18.453125" style="48" customWidth="1"/>
    <col min="26" max="26" width="18.453125" customWidth="1"/>
    <col min="27" max="27" width="18.453125" style="48" customWidth="1"/>
    <col min="28" max="28" width="14.453125" customWidth="1"/>
    <col min="29" max="29" width="14.453125" style="48" customWidth="1"/>
    <col min="31" max="33" width="25.81640625" customWidth="1"/>
  </cols>
  <sheetData>
    <row r="1" spans="1:33" ht="26" x14ac:dyDescent="0.6">
      <c r="A1" s="3" t="s">
        <v>774</v>
      </c>
      <c r="C1" s="11"/>
      <c r="D1" s="4"/>
      <c r="E1" s="13"/>
      <c r="F1" s="13"/>
      <c r="G1" s="137"/>
      <c r="H1" s="137"/>
      <c r="I1" s="13"/>
      <c r="J1" s="13"/>
    </row>
    <row r="2" spans="1:33" ht="21" x14ac:dyDescent="0.5">
      <c r="A2" s="2" t="s">
        <v>772</v>
      </c>
      <c r="C2" s="11"/>
      <c r="D2" s="4"/>
      <c r="E2" s="13"/>
      <c r="F2" s="13"/>
      <c r="G2" s="137"/>
      <c r="H2" s="137"/>
      <c r="I2" s="13"/>
      <c r="J2" s="13"/>
    </row>
    <row r="3" spans="1:33" ht="25" customHeight="1" x14ac:dyDescent="0.5">
      <c r="A3" s="5" t="s">
        <v>930</v>
      </c>
      <c r="B3" s="5"/>
      <c r="C3" s="12"/>
      <c r="D3" s="7"/>
      <c r="E3" s="14"/>
      <c r="F3" s="13"/>
      <c r="G3" s="137"/>
      <c r="H3" s="137"/>
      <c r="I3" s="13"/>
      <c r="J3" s="14"/>
    </row>
    <row r="4" spans="1:33" x14ac:dyDescent="0.35">
      <c r="C4" s="11"/>
      <c r="D4" s="4"/>
      <c r="E4" s="13" t="s">
        <v>760</v>
      </c>
      <c r="F4" s="13"/>
      <c r="G4" s="137"/>
      <c r="H4" s="137"/>
      <c r="I4" s="13"/>
      <c r="J4" s="50"/>
      <c r="AE4" s="130"/>
      <c r="AF4" s="130"/>
      <c r="AG4" s="130"/>
    </row>
    <row r="5" spans="1:33" x14ac:dyDescent="0.35">
      <c r="A5" s="1" t="s">
        <v>773</v>
      </c>
      <c r="C5" s="421" t="str">
        <f>Results!$C$6</f>
        <v>Health Solutions</v>
      </c>
      <c r="D5" s="241"/>
      <c r="E5" s="13"/>
      <c r="F5" s="13"/>
      <c r="G5" s="137"/>
      <c r="H5" s="137"/>
      <c r="I5" s="13"/>
      <c r="J5" s="50"/>
      <c r="AE5" s="40"/>
      <c r="AF5" s="40"/>
      <c r="AG5" s="40"/>
    </row>
    <row r="6" spans="1:33" x14ac:dyDescent="0.35">
      <c r="A6" s="1" t="s">
        <v>0</v>
      </c>
      <c r="C6" s="35">
        <f>Results!$C$7</f>
        <v>45473</v>
      </c>
      <c r="D6" s="35"/>
      <c r="E6" s="50"/>
      <c r="F6" s="13"/>
      <c r="G6" s="137"/>
      <c r="H6" s="137"/>
      <c r="I6" s="13"/>
      <c r="J6" s="50"/>
      <c r="AE6" s="40"/>
      <c r="AF6" s="40"/>
    </row>
    <row r="7" spans="1:33" x14ac:dyDescent="0.35">
      <c r="A7" s="204"/>
      <c r="B7" s="100"/>
      <c r="C7" s="205"/>
      <c r="D7" s="205"/>
      <c r="E7" s="206"/>
      <c r="F7" s="206"/>
      <c r="G7" s="207"/>
      <c r="H7" s="207"/>
      <c r="I7" s="206"/>
      <c r="J7" s="206"/>
      <c r="K7" s="100"/>
      <c r="N7" s="100"/>
      <c r="AE7" s="40"/>
      <c r="AF7" s="40"/>
      <c r="AG7" s="40"/>
    </row>
    <row r="8" spans="1:33" x14ac:dyDescent="0.35">
      <c r="A8" s="204" t="s">
        <v>479</v>
      </c>
      <c r="B8" s="100"/>
      <c r="C8" s="100"/>
      <c r="D8" s="100"/>
      <c r="E8" s="100"/>
      <c r="F8" s="100"/>
      <c r="G8" s="204"/>
      <c r="H8" s="113"/>
      <c r="I8" s="100"/>
      <c r="J8" s="206"/>
      <c r="K8" s="100"/>
      <c r="N8" s="100"/>
      <c r="AE8" s="40"/>
      <c r="AF8" s="40"/>
      <c r="AG8" s="40"/>
    </row>
    <row r="9" spans="1:33" ht="15" customHeight="1" x14ac:dyDescent="0.35">
      <c r="A9" s="502" t="s">
        <v>480</v>
      </c>
      <c r="B9" s="502"/>
      <c r="C9" s="502"/>
      <c r="D9" s="502"/>
      <c r="E9" s="502"/>
      <c r="F9" s="502"/>
      <c r="G9" s="502"/>
      <c r="H9" s="502"/>
      <c r="I9" s="502"/>
      <c r="J9" s="502"/>
      <c r="K9" s="502"/>
      <c r="L9" s="343"/>
      <c r="M9" s="338"/>
      <c r="N9" s="100"/>
      <c r="AE9" s="40"/>
      <c r="AF9" s="40"/>
      <c r="AG9" s="40"/>
    </row>
    <row r="10" spans="1:33" x14ac:dyDescent="0.35">
      <c r="A10" s="502"/>
      <c r="B10" s="502"/>
      <c r="C10" s="502"/>
      <c r="D10" s="502"/>
      <c r="E10" s="502"/>
      <c r="F10" s="502"/>
      <c r="G10" s="502"/>
      <c r="H10" s="502"/>
      <c r="I10" s="502"/>
      <c r="J10" s="502"/>
      <c r="K10" s="502"/>
      <c r="L10" s="343"/>
      <c r="M10" s="338"/>
      <c r="N10" s="100"/>
      <c r="AE10" s="40"/>
      <c r="AF10" s="40"/>
      <c r="AG10" s="40"/>
    </row>
    <row r="11" spans="1:33" x14ac:dyDescent="0.35">
      <c r="A11" s="502"/>
      <c r="B11" s="502"/>
      <c r="C11" s="502"/>
      <c r="D11" s="502"/>
      <c r="E11" s="502"/>
      <c r="F11" s="502"/>
      <c r="G11" s="502"/>
      <c r="H11" s="502"/>
      <c r="I11" s="502"/>
      <c r="J11" s="502"/>
      <c r="K11" s="502"/>
      <c r="L11" s="343"/>
      <c r="M11" s="338"/>
      <c r="N11" s="100"/>
      <c r="AE11" s="40"/>
      <c r="AF11" s="40"/>
      <c r="AG11" s="40"/>
    </row>
    <row r="12" spans="1:33" x14ac:dyDescent="0.35">
      <c r="A12" s="204"/>
      <c r="B12" s="100"/>
      <c r="C12" s="205"/>
      <c r="D12" s="205"/>
      <c r="E12" s="206"/>
      <c r="F12" s="206"/>
      <c r="G12" s="366"/>
      <c r="H12" s="367"/>
      <c r="I12" s="368"/>
      <c r="J12" s="206"/>
      <c r="K12" s="100"/>
      <c r="N12" s="100"/>
      <c r="AE12" s="40"/>
      <c r="AF12" s="40"/>
      <c r="AG12" s="40"/>
    </row>
    <row r="13" spans="1:33" x14ac:dyDescent="0.35">
      <c r="A13" s="100"/>
      <c r="B13" s="496">
        <v>1</v>
      </c>
      <c r="C13" s="497"/>
      <c r="D13" s="175">
        <v>2</v>
      </c>
      <c r="E13" s="175">
        <v>3</v>
      </c>
      <c r="F13" s="175">
        <v>4</v>
      </c>
      <c r="G13" s="175">
        <v>5</v>
      </c>
      <c r="H13" s="175">
        <v>6</v>
      </c>
      <c r="I13" s="175">
        <v>7</v>
      </c>
      <c r="J13" s="175">
        <v>8</v>
      </c>
      <c r="K13" s="175">
        <v>9</v>
      </c>
      <c r="L13" s="256" t="s">
        <v>618</v>
      </c>
      <c r="M13" s="257" t="s">
        <v>619</v>
      </c>
      <c r="N13" s="175">
        <v>10</v>
      </c>
      <c r="O13" s="257">
        <v>10</v>
      </c>
      <c r="P13" s="23">
        <v>11</v>
      </c>
      <c r="Q13" s="256" t="s">
        <v>642</v>
      </c>
      <c r="R13" s="257" t="s">
        <v>645</v>
      </c>
      <c r="S13" s="23">
        <v>12</v>
      </c>
      <c r="T13" s="257" t="s">
        <v>646</v>
      </c>
      <c r="U13" s="23">
        <v>13</v>
      </c>
      <c r="V13" s="256" t="s">
        <v>648</v>
      </c>
      <c r="W13" s="257" t="s">
        <v>649</v>
      </c>
      <c r="X13" s="23">
        <v>14</v>
      </c>
      <c r="Y13" s="257" t="s">
        <v>653</v>
      </c>
      <c r="Z13" s="23">
        <v>15</v>
      </c>
      <c r="AA13" s="257" t="s">
        <v>654</v>
      </c>
      <c r="AB13" s="23">
        <v>16</v>
      </c>
      <c r="AC13" s="257" t="s">
        <v>655</v>
      </c>
    </row>
    <row r="14" spans="1:33" x14ac:dyDescent="0.35">
      <c r="A14" s="100"/>
      <c r="B14" s="529" t="s">
        <v>632</v>
      </c>
      <c r="C14" s="530"/>
      <c r="D14" s="526" t="s">
        <v>633</v>
      </c>
      <c r="E14" s="526" t="s">
        <v>634</v>
      </c>
      <c r="F14" s="526" t="s">
        <v>635</v>
      </c>
      <c r="G14" s="533" t="s">
        <v>636</v>
      </c>
      <c r="H14" s="533" t="s">
        <v>637</v>
      </c>
      <c r="I14" s="208"/>
      <c r="J14" s="208"/>
      <c r="K14" s="526" t="s">
        <v>160</v>
      </c>
      <c r="L14" s="564" t="s">
        <v>639</v>
      </c>
      <c r="M14" s="566" t="s">
        <v>640</v>
      </c>
      <c r="N14" s="526" t="s">
        <v>161</v>
      </c>
      <c r="O14" s="566" t="s">
        <v>641</v>
      </c>
      <c r="P14" s="511" t="s">
        <v>168</v>
      </c>
      <c r="Q14" s="516"/>
      <c r="R14" s="516"/>
      <c r="S14" s="516"/>
      <c r="T14" s="512"/>
      <c r="U14" s="511" t="s">
        <v>34</v>
      </c>
      <c r="V14" s="516"/>
      <c r="W14" s="516"/>
      <c r="X14" s="516"/>
      <c r="Y14" s="512"/>
      <c r="Z14" s="511" t="s">
        <v>169</v>
      </c>
      <c r="AA14" s="516"/>
      <c r="AB14" s="516"/>
      <c r="AC14" s="516"/>
    </row>
    <row r="15" spans="1:33" ht="60" customHeight="1" x14ac:dyDescent="0.35">
      <c r="A15" s="100"/>
      <c r="B15" s="531"/>
      <c r="C15" s="532"/>
      <c r="D15" s="527"/>
      <c r="E15" s="527"/>
      <c r="F15" s="527"/>
      <c r="G15" s="534"/>
      <c r="H15" s="534"/>
      <c r="I15" s="209" t="s">
        <v>454</v>
      </c>
      <c r="J15" s="209" t="s">
        <v>638</v>
      </c>
      <c r="K15" s="527"/>
      <c r="L15" s="565"/>
      <c r="M15" s="567"/>
      <c r="N15" s="527"/>
      <c r="O15" s="567"/>
      <c r="P15" s="10" t="s">
        <v>162</v>
      </c>
      <c r="Q15" s="258" t="s">
        <v>643</v>
      </c>
      <c r="R15" s="259" t="s">
        <v>644</v>
      </c>
      <c r="S15" s="10" t="s">
        <v>163</v>
      </c>
      <c r="T15" s="259" t="s">
        <v>647</v>
      </c>
      <c r="U15" s="10" t="s">
        <v>164</v>
      </c>
      <c r="V15" s="258" t="s">
        <v>650</v>
      </c>
      <c r="W15" s="259" t="s">
        <v>651</v>
      </c>
      <c r="X15" s="10" t="s">
        <v>165</v>
      </c>
      <c r="Y15" s="259" t="s">
        <v>652</v>
      </c>
      <c r="Z15" s="10" t="s">
        <v>166</v>
      </c>
      <c r="AA15" s="259" t="s">
        <v>656</v>
      </c>
      <c r="AB15" s="10" t="s">
        <v>167</v>
      </c>
      <c r="AC15" s="259" t="s">
        <v>657</v>
      </c>
    </row>
    <row r="16" spans="1:33" x14ac:dyDescent="0.35">
      <c r="A16" s="100"/>
      <c r="B16" s="337" t="s">
        <v>598</v>
      </c>
      <c r="C16" s="210"/>
      <c r="D16" s="97"/>
      <c r="E16" s="97"/>
      <c r="F16" s="97"/>
      <c r="G16" s="211"/>
      <c r="H16" s="211"/>
      <c r="I16" s="97"/>
      <c r="J16" s="97"/>
      <c r="K16" s="97"/>
      <c r="L16" s="344"/>
      <c r="M16" s="129"/>
      <c r="N16" s="97"/>
      <c r="O16" s="129"/>
      <c r="P16" s="6"/>
      <c r="Q16" s="344"/>
      <c r="R16" s="129"/>
      <c r="S16" s="6"/>
      <c r="T16" s="129"/>
      <c r="U16" s="6"/>
      <c r="V16" s="344"/>
      <c r="W16" s="129"/>
      <c r="X16" s="6"/>
      <c r="Y16" s="129"/>
      <c r="Z16" s="6"/>
      <c r="AA16" s="129"/>
      <c r="AB16" s="6"/>
      <c r="AC16" s="129"/>
    </row>
    <row r="17" spans="1:29" s="34" customFormat="1" x14ac:dyDescent="0.35">
      <c r="A17" s="212">
        <v>1</v>
      </c>
      <c r="B17" s="524" t="str">
        <f>'As-Filed Schedule 3'!B17:C17</f>
        <v>Acute Treatment Unit (ATU)</v>
      </c>
      <c r="C17" s="525"/>
      <c r="D17" s="365" t="str">
        <f>'As-Filed Schedule 3'!D17</f>
        <v>ATU</v>
      </c>
      <c r="E17" s="365" t="str">
        <f>'As-Filed Schedule 3'!E17</f>
        <v>ATU</v>
      </c>
      <c r="F17" s="364">
        <f>'As-Filed Schedule 3'!F17</f>
        <v>16</v>
      </c>
      <c r="G17" s="363">
        <f>'As-Filed Schedule 3'!G17</f>
        <v>0</v>
      </c>
      <c r="H17" s="363">
        <f>'As-Filed Schedule 3'!H17</f>
        <v>0</v>
      </c>
      <c r="I17" s="213">
        <f>IF(B17=0,"",IF(AND(G17=0,H17=0),365,IF(AND(G17&gt;0,H17=0),$C$6-G17+1,IF(AND(G17=0,H17&gt;0),H17-($C$6-365),H17-G17+1))))</f>
        <v>365</v>
      </c>
      <c r="J17" s="98"/>
      <c r="K17" s="414">
        <f>SUM(K18:K20)</f>
        <v>1986</v>
      </c>
      <c r="L17" s="416">
        <f>SUM(L18:L20)</f>
        <v>0</v>
      </c>
      <c r="M17" s="418">
        <f>SUM(M18:M20)</f>
        <v>1986</v>
      </c>
      <c r="N17" s="215">
        <f>IF(K17&gt;0,K17/(F17*I17),"")</f>
        <v>0.34006849315068494</v>
      </c>
      <c r="O17" s="346">
        <f>IF(M17&gt;0,M17/(F17*I17),"")</f>
        <v>0.34006849315068494</v>
      </c>
      <c r="P17" s="126">
        <f>'As-Filed Schedule 3'!M17</f>
        <v>3659366.5359400609</v>
      </c>
      <c r="Q17" s="349">
        <f>SUMIFS(Adjustments!$G:$G,Adjustments!$H:$H,"3",Adjustments!$I:$I,'Schedule 3 Adjustments'!$P$13,Adjustments!$J:$J,$A17)</f>
        <v>0</v>
      </c>
      <c r="R17" s="353">
        <f>SUM(P17:Q17)</f>
        <v>3659366.5359400609</v>
      </c>
      <c r="S17" s="85">
        <f>IFERROR(P17/K17,"")</f>
        <v>1842.5813373313499</v>
      </c>
      <c r="T17" s="357">
        <f>IFERROR(R17/M17,"")</f>
        <v>1842.5813373313499</v>
      </c>
      <c r="U17" s="126">
        <f>'As-Filed Schedule 3'!O17</f>
        <v>134370.53375429299</v>
      </c>
      <c r="V17" s="349">
        <f>SUMIFS(Adjustments!$G:$G,Adjustments!$H:$H,"3",Adjustments!$I:$I,'Schedule 3 Adjustments'!$U$13,Adjustments!$J:$J,$A17)</f>
        <v>0</v>
      </c>
      <c r="W17" s="353">
        <f>SUM(U17:V17)</f>
        <v>134370.53375429299</v>
      </c>
      <c r="X17" s="85">
        <f>IFERROR(U17/K17,"")</f>
        <v>67.658879030359003</v>
      </c>
      <c r="Y17" s="85">
        <f>IFERROR(W17/M17,"")</f>
        <v>67.658879030359003</v>
      </c>
      <c r="Z17" s="85">
        <f>IF(P17=0,"",P17-U17)</f>
        <v>3524996.002185768</v>
      </c>
      <c r="AA17" s="85">
        <f>IF(R17=0,"",R17-W17)</f>
        <v>3524996.002185768</v>
      </c>
      <c r="AB17" s="85">
        <f>IFERROR(Z17/K17,"")</f>
        <v>1774.9224583009909</v>
      </c>
      <c r="AC17" s="357">
        <f>IFERROR(AA17/M17,"")</f>
        <v>1774.9224583009909</v>
      </c>
    </row>
    <row r="18" spans="1:29" x14ac:dyDescent="0.35">
      <c r="A18" s="216" t="s">
        <v>447</v>
      </c>
      <c r="B18" s="217"/>
      <c r="C18" s="217"/>
      <c r="D18" s="217"/>
      <c r="E18" s="217"/>
      <c r="F18" s="218"/>
      <c r="G18" s="219"/>
      <c r="H18" s="219"/>
      <c r="I18" s="220"/>
      <c r="J18" s="369" t="str">
        <f>'As-Filed Schedule 3'!J18</f>
        <v>H0017</v>
      </c>
      <c r="K18" s="415">
        <f>'As-Filed Schedule 3'!K18</f>
        <v>1986</v>
      </c>
      <c r="L18" s="417">
        <f>SUMIFS(Adjustments!$G:$G,Adjustments!$H:$H,"3",Adjustments!$I:$I,'Schedule 3 Adjustments'!$K$13,Adjustments!$J:$J,"1a")</f>
        <v>0</v>
      </c>
      <c r="M18" s="419">
        <f>SUM(K18:L18)</f>
        <v>1986</v>
      </c>
      <c r="N18" s="222"/>
      <c r="O18" s="354"/>
      <c r="P18" s="87"/>
      <c r="Q18" s="350"/>
      <c r="R18" s="354"/>
      <c r="S18" s="87"/>
      <c r="T18" s="354"/>
      <c r="U18" s="87"/>
      <c r="V18" s="350"/>
      <c r="W18" s="354"/>
      <c r="X18" s="87"/>
      <c r="Y18" s="354"/>
      <c r="Z18" s="87"/>
      <c r="AA18" s="354"/>
      <c r="AB18" s="87"/>
      <c r="AC18" s="354"/>
    </row>
    <row r="19" spans="1:29" x14ac:dyDescent="0.35">
      <c r="A19" s="223" t="s">
        <v>448</v>
      </c>
      <c r="B19" s="224"/>
      <c r="C19" s="224"/>
      <c r="D19" s="224"/>
      <c r="E19" s="224"/>
      <c r="F19" s="225"/>
      <c r="G19" s="226"/>
      <c r="H19" s="226"/>
      <c r="I19" s="227"/>
      <c r="J19" s="369">
        <f>'As-Filed Schedule 3'!J19</f>
        <v>0</v>
      </c>
      <c r="K19" s="415">
        <f>'As-Filed Schedule 3'!K19</f>
        <v>0</v>
      </c>
      <c r="L19" s="417">
        <f>SUMIFS(Adjustments!$G:$G,Adjustments!$H:$H,"3",Adjustments!$I:$I,'Schedule 3 Adjustments'!$K$13,Adjustments!$J:$J,"1b")</f>
        <v>0</v>
      </c>
      <c r="M19" s="419">
        <f>SUM(K19:L19)</f>
        <v>0</v>
      </c>
      <c r="N19" s="229"/>
      <c r="O19" s="355"/>
      <c r="P19" s="88"/>
      <c r="Q19" s="351"/>
      <c r="R19" s="355"/>
      <c r="S19" s="88"/>
      <c r="T19" s="355"/>
      <c r="U19" s="88"/>
      <c r="V19" s="351"/>
      <c r="W19" s="355"/>
      <c r="X19" s="88"/>
      <c r="Y19" s="355"/>
      <c r="Z19" s="88"/>
      <c r="AA19" s="355"/>
      <c r="AB19" s="88"/>
      <c r="AC19" s="355"/>
    </row>
    <row r="20" spans="1:29" x14ac:dyDescent="0.35">
      <c r="A20" s="230" t="s">
        <v>449</v>
      </c>
      <c r="B20" s="224"/>
      <c r="C20" s="224"/>
      <c r="D20" s="224"/>
      <c r="E20" s="224"/>
      <c r="F20" s="225"/>
      <c r="G20" s="226"/>
      <c r="H20" s="226"/>
      <c r="I20" s="227"/>
      <c r="J20" s="369">
        <f>'As-Filed Schedule 3'!J20</f>
        <v>0</v>
      </c>
      <c r="K20" s="415">
        <f>'As-Filed Schedule 3'!K20</f>
        <v>0</v>
      </c>
      <c r="L20" s="417">
        <f>SUMIFS(Adjustments!$G:$G,Adjustments!$H:$H,"3",Adjustments!$I:$I,'Schedule 3 Adjustments'!$K$13,Adjustments!$J:$J,"1c")</f>
        <v>0</v>
      </c>
      <c r="M20" s="419">
        <f>SUM(K20:L20)</f>
        <v>0</v>
      </c>
      <c r="N20" s="229"/>
      <c r="O20" s="355"/>
      <c r="P20" s="88"/>
      <c r="Q20" s="351"/>
      <c r="R20" s="355"/>
      <c r="S20" s="88"/>
      <c r="T20" s="355"/>
      <c r="U20" s="88"/>
      <c r="V20" s="351"/>
      <c r="W20" s="355"/>
      <c r="X20" s="88"/>
      <c r="Y20" s="355"/>
      <c r="Z20" s="88"/>
      <c r="AA20" s="355"/>
      <c r="AB20" s="88"/>
      <c r="AC20" s="355"/>
    </row>
    <row r="21" spans="1:29" x14ac:dyDescent="0.35">
      <c r="J21" s="100"/>
      <c r="N21" s="28"/>
      <c r="O21" s="347"/>
    </row>
    <row r="22" spans="1:29" s="34" customFormat="1" x14ac:dyDescent="0.35">
      <c r="A22" s="84">
        <v>2</v>
      </c>
      <c r="B22" s="524">
        <f>'As-Filed Schedule 3'!B22:C22</f>
        <v>0</v>
      </c>
      <c r="C22" s="525"/>
      <c r="D22" s="365">
        <f>'As-Filed Schedule 3'!D22</f>
        <v>0</v>
      </c>
      <c r="E22" s="365">
        <f>'As-Filed Schedule 3'!E22</f>
        <v>0</v>
      </c>
      <c r="F22" s="364">
        <f>'As-Filed Schedule 3'!F22</f>
        <v>0</v>
      </c>
      <c r="G22" s="363">
        <f>'As-Filed Schedule 3'!G22</f>
        <v>0</v>
      </c>
      <c r="H22" s="363">
        <f>'As-Filed Schedule 3'!H22</f>
        <v>0</v>
      </c>
      <c r="I22" s="139" t="str">
        <f>IF(B22=0,"",IF(AND(G22=0,H22=0),365,IF(AND(G22&gt;0,H22=0),$C$6-G22+1,IF(AND(G22=0,H22&gt;0),H22-($C$6-365),H22-G22+1))))</f>
        <v/>
      </c>
      <c r="J22" s="98"/>
      <c r="K22" s="414">
        <f>SUM(K23:K25)</f>
        <v>0</v>
      </c>
      <c r="L22" s="416">
        <f>SUM(L23:L25)</f>
        <v>0</v>
      </c>
      <c r="M22" s="418">
        <f>SUM(M23:M25)</f>
        <v>0</v>
      </c>
      <c r="N22" s="91" t="str">
        <f>IF(K22&gt;0,K22/(F22*I22),"")</f>
        <v/>
      </c>
      <c r="O22" s="346" t="str">
        <f>IF(M22&gt;0,M22/(F22*I22),"")</f>
        <v/>
      </c>
      <c r="P22" s="126">
        <f>'As-Filed Schedule 3'!M22</f>
        <v>0</v>
      </c>
      <c r="Q22" s="349">
        <f>SUMIFS(Adjustments!$G:$G,Adjustments!$H:$H,"3",Adjustments!$I:$I,'Schedule 3 Adjustments'!$P$13,Adjustments!$J:$J,$A22)</f>
        <v>0</v>
      </c>
      <c r="R22" s="353">
        <f>SUM(P22:Q22)</f>
        <v>0</v>
      </c>
      <c r="S22" s="85" t="str">
        <f>IFERROR(P22/K22,"")</f>
        <v/>
      </c>
      <c r="T22" s="357" t="str">
        <f>IFERROR(R22/M22,"")</f>
        <v/>
      </c>
      <c r="U22" s="126">
        <f>'As-Filed Schedule 3'!O22</f>
        <v>0</v>
      </c>
      <c r="V22" s="349">
        <f>SUMIFS(Adjustments!$G:$G,Adjustments!$H:$H,"3",Adjustments!$I:$I,'Schedule 3 Adjustments'!$U$13,Adjustments!$J:$J,$A22)</f>
        <v>0</v>
      </c>
      <c r="W22" s="353">
        <f>SUM(U22:V22)</f>
        <v>0</v>
      </c>
      <c r="X22" s="85" t="str">
        <f>IFERROR(U22/K22,"")</f>
        <v/>
      </c>
      <c r="Y22" s="85" t="str">
        <f>IFERROR(W22/M22,"")</f>
        <v/>
      </c>
      <c r="Z22" s="86" t="str">
        <f>IF(P22=0,"",P22-U22)</f>
        <v/>
      </c>
      <c r="AA22" s="359" t="str">
        <f>IF(R22=0,"",R22-W22)</f>
        <v/>
      </c>
      <c r="AB22" s="85" t="str">
        <f>IFERROR(Z22/K22,"")</f>
        <v/>
      </c>
      <c r="AC22" s="357" t="str">
        <f>IFERROR(AA22/M22,"")</f>
        <v/>
      </c>
    </row>
    <row r="23" spans="1:29" x14ac:dyDescent="0.35">
      <c r="A23" s="101" t="s">
        <v>447</v>
      </c>
      <c r="B23" s="87"/>
      <c r="C23" s="87"/>
      <c r="D23" s="87"/>
      <c r="E23" s="87"/>
      <c r="F23" s="132"/>
      <c r="G23" s="135"/>
      <c r="H23" s="135"/>
      <c r="I23" s="104"/>
      <c r="J23" s="369">
        <f>'As-Filed Schedule 3'!J23</f>
        <v>0</v>
      </c>
      <c r="K23" s="415">
        <f>'As-Filed Schedule 3'!K23</f>
        <v>0</v>
      </c>
      <c r="L23" s="417">
        <f>SUMIFS(Adjustments!$G:$G,Adjustments!$H:$H,"3",Adjustments!$I:$I,'Schedule 3 Adjustments'!$K$13,Adjustments!$J:$J,"2a")</f>
        <v>0</v>
      </c>
      <c r="M23" s="419">
        <f>SUM(K23:L23)</f>
        <v>0</v>
      </c>
      <c r="N23" s="89"/>
      <c r="O23" s="354"/>
      <c r="P23" s="87"/>
      <c r="Q23" s="350"/>
      <c r="R23" s="354"/>
      <c r="S23" s="87"/>
      <c r="T23" s="354"/>
      <c r="U23" s="87"/>
      <c r="V23" s="350"/>
      <c r="W23" s="354"/>
      <c r="X23" s="87"/>
      <c r="Y23" s="354"/>
      <c r="Z23" s="87"/>
      <c r="AA23" s="354"/>
      <c r="AB23" s="87"/>
      <c r="AC23" s="354"/>
    </row>
    <row r="24" spans="1:29" x14ac:dyDescent="0.35">
      <c r="A24" s="102" t="s">
        <v>448</v>
      </c>
      <c r="B24" s="88"/>
      <c r="C24" s="88"/>
      <c r="D24" s="88"/>
      <c r="E24" s="88"/>
      <c r="F24" s="133"/>
      <c r="G24" s="136"/>
      <c r="H24" s="136"/>
      <c r="I24" s="105"/>
      <c r="J24" s="369">
        <f>'As-Filed Schedule 3'!J24</f>
        <v>0</v>
      </c>
      <c r="K24" s="415">
        <f>'As-Filed Schedule 3'!K24</f>
        <v>0</v>
      </c>
      <c r="L24" s="417">
        <f>SUMIFS(Adjustments!$G:$G,Adjustments!$H:$H,"3",Adjustments!$I:$I,'Schedule 3 Adjustments'!$K$13,Adjustments!$J:$J,"2b")</f>
        <v>0</v>
      </c>
      <c r="M24" s="419">
        <f>SUM(K24:L24)</f>
        <v>0</v>
      </c>
      <c r="N24" s="90"/>
      <c r="O24" s="355"/>
      <c r="P24" s="88"/>
      <c r="Q24" s="351"/>
      <c r="R24" s="355"/>
      <c r="S24" s="88"/>
      <c r="T24" s="355"/>
      <c r="U24" s="88"/>
      <c r="V24" s="351"/>
      <c r="W24" s="355"/>
      <c r="X24" s="88"/>
      <c r="Y24" s="355"/>
      <c r="Z24" s="88"/>
      <c r="AA24" s="355"/>
      <c r="AB24" s="88"/>
      <c r="AC24" s="355"/>
    </row>
    <row r="25" spans="1:29" x14ac:dyDescent="0.35">
      <c r="A25" s="103" t="s">
        <v>449</v>
      </c>
      <c r="B25" s="88"/>
      <c r="C25" s="88"/>
      <c r="D25" s="88"/>
      <c r="E25" s="88"/>
      <c r="F25" s="133"/>
      <c r="G25" s="136"/>
      <c r="H25" s="136"/>
      <c r="I25" s="105"/>
      <c r="J25" s="369">
        <f>'As-Filed Schedule 3'!J25</f>
        <v>0</v>
      </c>
      <c r="K25" s="415">
        <f>'As-Filed Schedule 3'!K25</f>
        <v>0</v>
      </c>
      <c r="L25" s="417">
        <f>SUMIFS(Adjustments!$G:$G,Adjustments!$H:$H,"3",Adjustments!$I:$I,'Schedule 3 Adjustments'!$K$13,Adjustments!$J:$J,"2c")</f>
        <v>0</v>
      </c>
      <c r="M25" s="419">
        <f>SUM(K25:L25)</f>
        <v>0</v>
      </c>
      <c r="N25" s="90"/>
      <c r="O25" s="355"/>
      <c r="P25" s="88"/>
      <c r="Q25" s="351"/>
      <c r="R25" s="355"/>
      <c r="S25" s="88"/>
      <c r="T25" s="355"/>
      <c r="U25" s="88"/>
      <c r="V25" s="351"/>
      <c r="W25" s="355"/>
      <c r="X25" s="88"/>
      <c r="Y25" s="355"/>
      <c r="Z25" s="88"/>
      <c r="AA25" s="355"/>
      <c r="AB25" s="88"/>
      <c r="AC25" s="355"/>
    </row>
    <row r="26" spans="1:29" x14ac:dyDescent="0.35">
      <c r="J26" s="100"/>
      <c r="N26" s="28"/>
      <c r="O26" s="347"/>
    </row>
    <row r="27" spans="1:29" s="34" customFormat="1" x14ac:dyDescent="0.35">
      <c r="A27" s="84">
        <v>3</v>
      </c>
      <c r="B27" s="524">
        <f>'As-Filed Schedule 3'!B27:C27</f>
        <v>0</v>
      </c>
      <c r="C27" s="525"/>
      <c r="D27" s="365">
        <f>'As-Filed Schedule 3'!D27</f>
        <v>0</v>
      </c>
      <c r="E27" s="365">
        <f>'As-Filed Schedule 3'!E27</f>
        <v>0</v>
      </c>
      <c r="F27" s="364">
        <f>'As-Filed Schedule 3'!F27</f>
        <v>0</v>
      </c>
      <c r="G27" s="363">
        <f>'As-Filed Schedule 3'!G27</f>
        <v>0</v>
      </c>
      <c r="H27" s="363">
        <f>'As-Filed Schedule 3'!H27</f>
        <v>0</v>
      </c>
      <c r="I27" s="139" t="str">
        <f>IF(B27=0,"",IF(AND(G27=0,H27=0),365,IF(AND(G27&gt;0,H27=0),$C$6-G27+1,IF(AND(G27=0,H27&gt;0),H27-($C$6-365),H27-G27+1))))</f>
        <v/>
      </c>
      <c r="J27" s="98"/>
      <c r="K27" s="414">
        <f>SUM(K28:K30)</f>
        <v>0</v>
      </c>
      <c r="L27" s="416">
        <f>SUM(L28:L30)</f>
        <v>0</v>
      </c>
      <c r="M27" s="418">
        <f>SUM(M28:M30)</f>
        <v>0</v>
      </c>
      <c r="N27" s="91" t="str">
        <f>IF(K27&gt;0,K27/(F27*I27),"")</f>
        <v/>
      </c>
      <c r="O27" s="346" t="str">
        <f>IF(M27&gt;0,M27/(F27*I27),"")</f>
        <v/>
      </c>
      <c r="P27" s="126">
        <f>'As-Filed Schedule 3'!M27</f>
        <v>0</v>
      </c>
      <c r="Q27" s="349">
        <f>SUMIFS(Adjustments!$G:$G,Adjustments!$H:$H,"3",Adjustments!$I:$I,'Schedule 3 Adjustments'!$P$13,Adjustments!$J:$J,'As-Filed Schedule 3'!A27)</f>
        <v>0</v>
      </c>
      <c r="R27" s="353">
        <f>SUM(P27:Q27)</f>
        <v>0</v>
      </c>
      <c r="S27" s="85" t="str">
        <f>IFERROR(P27/K27,"")</f>
        <v/>
      </c>
      <c r="T27" s="357" t="str">
        <f>IFERROR(R27/M27,"")</f>
        <v/>
      </c>
      <c r="U27" s="126">
        <f>'As-Filed Schedule 3'!O27</f>
        <v>0</v>
      </c>
      <c r="V27" s="349">
        <f>SUMIFS(Adjustments!$G:$G,Adjustments!$H:$H,"3",Adjustments!$I:$I,'Schedule 3 Adjustments'!$U$13,Adjustments!$J:$J,$A27)</f>
        <v>0</v>
      </c>
      <c r="W27" s="353">
        <f>SUM(U27:V27)</f>
        <v>0</v>
      </c>
      <c r="X27" s="85" t="str">
        <f>IFERROR(U27/K27,"")</f>
        <v/>
      </c>
      <c r="Y27" s="85" t="str">
        <f>IFERROR(W27/M27,"")</f>
        <v/>
      </c>
      <c r="Z27" s="86" t="str">
        <f>IF(P27=0,"",P27-U27)</f>
        <v/>
      </c>
      <c r="AA27" s="359" t="str">
        <f>IF(R27=0,"",R27-W27)</f>
        <v/>
      </c>
      <c r="AB27" s="85" t="str">
        <f>IFERROR(Z27/K27,"")</f>
        <v/>
      </c>
      <c r="AC27" s="357" t="str">
        <f>IFERROR(AA27/M27,"")</f>
        <v/>
      </c>
    </row>
    <row r="28" spans="1:29" x14ac:dyDescent="0.35">
      <c r="A28" s="101" t="s">
        <v>447</v>
      </c>
      <c r="B28" s="87"/>
      <c r="C28" s="87"/>
      <c r="D28" s="87"/>
      <c r="E28" s="87"/>
      <c r="F28" s="132"/>
      <c r="G28" s="135"/>
      <c r="H28" s="135"/>
      <c r="I28" s="104"/>
      <c r="J28" s="369">
        <f>'As-Filed Schedule 3'!J28</f>
        <v>0</v>
      </c>
      <c r="K28" s="415">
        <f>'As-Filed Schedule 3'!K28</f>
        <v>0</v>
      </c>
      <c r="L28" s="417">
        <f>SUMIFS(Adjustments!$G:$G,Adjustments!$H:$H,"3",Adjustments!$I:$I,'Schedule 3 Adjustments'!$K$13,Adjustments!$J:$J,"3a")</f>
        <v>0</v>
      </c>
      <c r="M28" s="419">
        <f>SUM(K28:L28)</f>
        <v>0</v>
      </c>
      <c r="N28" s="89"/>
      <c r="O28" s="354"/>
      <c r="P28" s="87"/>
      <c r="Q28" s="350"/>
      <c r="R28" s="354"/>
      <c r="S28" s="87"/>
      <c r="T28" s="354"/>
      <c r="U28" s="87"/>
      <c r="V28" s="350"/>
      <c r="W28" s="354"/>
      <c r="X28" s="87"/>
      <c r="Y28" s="354"/>
      <c r="Z28" s="87"/>
      <c r="AA28" s="354"/>
      <c r="AB28" s="87"/>
      <c r="AC28" s="354"/>
    </row>
    <row r="29" spans="1:29" x14ac:dyDescent="0.35">
      <c r="A29" s="102" t="s">
        <v>448</v>
      </c>
      <c r="B29" s="88"/>
      <c r="C29" s="88"/>
      <c r="D29" s="88"/>
      <c r="E29" s="88"/>
      <c r="F29" s="133"/>
      <c r="G29" s="136"/>
      <c r="H29" s="136"/>
      <c r="I29" s="105"/>
      <c r="J29" s="369">
        <f>'As-Filed Schedule 3'!J29</f>
        <v>0</v>
      </c>
      <c r="K29" s="415">
        <f>'As-Filed Schedule 3'!K29</f>
        <v>0</v>
      </c>
      <c r="L29" s="417">
        <f>SUMIFS(Adjustments!$G:$G,Adjustments!$H:$H,"3",Adjustments!$I:$I,'Schedule 3 Adjustments'!$K$13,Adjustments!$J:$J,"3b")</f>
        <v>0</v>
      </c>
      <c r="M29" s="419">
        <f>SUM(K29:L29)</f>
        <v>0</v>
      </c>
      <c r="N29" s="90"/>
      <c r="O29" s="355"/>
      <c r="P29" s="88"/>
      <c r="Q29" s="351"/>
      <c r="R29" s="355"/>
      <c r="S29" s="88"/>
      <c r="T29" s="355"/>
      <c r="U29" s="88"/>
      <c r="V29" s="351"/>
      <c r="W29" s="355"/>
      <c r="X29" s="88"/>
      <c r="Y29" s="355"/>
      <c r="Z29" s="88"/>
      <c r="AA29" s="355"/>
      <c r="AB29" s="88"/>
      <c r="AC29" s="355"/>
    </row>
    <row r="30" spans="1:29" x14ac:dyDescent="0.35">
      <c r="A30" s="103" t="s">
        <v>449</v>
      </c>
      <c r="B30" s="88"/>
      <c r="C30" s="88"/>
      <c r="D30" s="88"/>
      <c r="E30" s="88"/>
      <c r="F30" s="133"/>
      <c r="G30" s="136"/>
      <c r="H30" s="136"/>
      <c r="I30" s="105"/>
      <c r="J30" s="369">
        <f>'As-Filed Schedule 3'!J30</f>
        <v>0</v>
      </c>
      <c r="K30" s="415">
        <f>'As-Filed Schedule 3'!K30</f>
        <v>0</v>
      </c>
      <c r="L30" s="417">
        <f>SUMIFS(Adjustments!$G:$G,Adjustments!$H:$H,"3",Adjustments!$I:$I,'Schedule 3 Adjustments'!$K$13,Adjustments!$J:$J,"3c")</f>
        <v>0</v>
      </c>
      <c r="M30" s="419">
        <f>SUM(K30:L30)</f>
        <v>0</v>
      </c>
      <c r="N30" s="90"/>
      <c r="O30" s="355"/>
      <c r="P30" s="88"/>
      <c r="Q30" s="351"/>
      <c r="R30" s="355"/>
      <c r="S30" s="88"/>
      <c r="T30" s="355"/>
      <c r="U30" s="88"/>
      <c r="V30" s="351"/>
      <c r="W30" s="355"/>
      <c r="X30" s="88"/>
      <c r="Y30" s="355"/>
      <c r="Z30" s="88"/>
      <c r="AA30" s="355"/>
      <c r="AB30" s="88"/>
      <c r="AC30" s="355"/>
    </row>
    <row r="31" spans="1:29" x14ac:dyDescent="0.35">
      <c r="J31" s="100"/>
      <c r="N31" s="28"/>
      <c r="O31" s="347"/>
    </row>
    <row r="32" spans="1:29" s="34" customFormat="1" x14ac:dyDescent="0.35">
      <c r="A32" s="84">
        <v>4</v>
      </c>
      <c r="B32" s="524">
        <f>'As-Filed Schedule 3'!B32:C32</f>
        <v>0</v>
      </c>
      <c r="C32" s="525"/>
      <c r="D32" s="365">
        <f>'As-Filed Schedule 3'!D32</f>
        <v>0</v>
      </c>
      <c r="E32" s="365">
        <f>'As-Filed Schedule 3'!E32</f>
        <v>0</v>
      </c>
      <c r="F32" s="364">
        <f>'As-Filed Schedule 3'!F32</f>
        <v>0</v>
      </c>
      <c r="G32" s="363">
        <f>'As-Filed Schedule 3'!G32</f>
        <v>0</v>
      </c>
      <c r="H32" s="363">
        <f>'As-Filed Schedule 3'!H32</f>
        <v>0</v>
      </c>
      <c r="I32" s="139" t="str">
        <f>IF(B32=0,"",IF(AND(G32=0,H32=0),365,IF(AND(G32&gt;0,H32=0),$C$6-G32+1,IF(AND(G32=0,H32&gt;0),H32-($C$6-365),H32-G32+1))))</f>
        <v/>
      </c>
      <c r="J32" s="98"/>
      <c r="K32" s="414">
        <f>SUM(K33:K35)</f>
        <v>0</v>
      </c>
      <c r="L32" s="416">
        <f>SUM(L33:L35)</f>
        <v>0</v>
      </c>
      <c r="M32" s="418">
        <f>SUM(M33:M35)</f>
        <v>0</v>
      </c>
      <c r="N32" s="91" t="str">
        <f>IF(K32&gt;0,K32/(F32*I32),"")</f>
        <v/>
      </c>
      <c r="O32" s="346" t="str">
        <f>IF(M32&gt;0,M32/(F32*I32),"")</f>
        <v/>
      </c>
      <c r="P32" s="126">
        <f>'As-Filed Schedule 3'!M32</f>
        <v>0</v>
      </c>
      <c r="Q32" s="349">
        <f>SUMIFS(Adjustments!$G:$G,Adjustments!$H:$H,"3",Adjustments!$I:$I,'Schedule 3 Adjustments'!$P$13,Adjustments!$J:$J,'As-Filed Schedule 3'!A32)</f>
        <v>0</v>
      </c>
      <c r="R32" s="353">
        <f>SUM(P32:Q32)</f>
        <v>0</v>
      </c>
      <c r="S32" s="85" t="str">
        <f>IFERROR(P32/K32,"")</f>
        <v/>
      </c>
      <c r="T32" s="357" t="str">
        <f>IFERROR(R32/M32,"")</f>
        <v/>
      </c>
      <c r="U32" s="126">
        <f>'As-Filed Schedule 3'!O32</f>
        <v>0</v>
      </c>
      <c r="V32" s="349">
        <f>SUMIFS(Adjustments!$G:$G,Adjustments!$H:$H,"3",Adjustments!$I:$I,'Schedule 3 Adjustments'!$U$13,Adjustments!$J:$J,$A32)</f>
        <v>0</v>
      </c>
      <c r="W32" s="353">
        <f>SUM(U32:V32)</f>
        <v>0</v>
      </c>
      <c r="X32" s="85" t="str">
        <f>IFERROR(U32/K32,"")</f>
        <v/>
      </c>
      <c r="Y32" s="85" t="str">
        <f>IFERROR(W32/M32,"")</f>
        <v/>
      </c>
      <c r="Z32" s="86" t="str">
        <f>IF(P32=0,"",P32-U32)</f>
        <v/>
      </c>
      <c r="AA32" s="359" t="str">
        <f>IF(R32=0,"",R32-W32)</f>
        <v/>
      </c>
      <c r="AB32" s="85" t="str">
        <f>IFERROR(Z32/K32,"")</f>
        <v/>
      </c>
      <c r="AC32" s="357" t="str">
        <f>IFERROR(AA32/M32,"")</f>
        <v/>
      </c>
    </row>
    <row r="33" spans="1:29" x14ac:dyDescent="0.35">
      <c r="A33" s="101" t="s">
        <v>447</v>
      </c>
      <c r="B33" s="87"/>
      <c r="C33" s="87"/>
      <c r="D33" s="87"/>
      <c r="E33" s="87"/>
      <c r="F33" s="132"/>
      <c r="G33" s="135"/>
      <c r="H33" s="135"/>
      <c r="I33" s="104"/>
      <c r="J33" s="369">
        <f>'As-Filed Schedule 3'!J33</f>
        <v>0</v>
      </c>
      <c r="K33" s="415">
        <f>'As-Filed Schedule 3'!K33</f>
        <v>0</v>
      </c>
      <c r="L33" s="417">
        <f>SUMIFS(Adjustments!$G:$G,Adjustments!$H:$H,"3",Adjustments!$I:$I,'Schedule 3 Adjustments'!$K$13,Adjustments!$J:$J,"4a")</f>
        <v>0</v>
      </c>
      <c r="M33" s="419">
        <f>SUM(K33:L33)</f>
        <v>0</v>
      </c>
      <c r="N33" s="89"/>
      <c r="O33" s="354"/>
      <c r="P33" s="87"/>
      <c r="Q33" s="350"/>
      <c r="R33" s="354"/>
      <c r="S33" s="87"/>
      <c r="T33" s="354"/>
      <c r="U33" s="87"/>
      <c r="V33" s="350"/>
      <c r="W33" s="354"/>
      <c r="X33" s="87"/>
      <c r="Y33" s="354"/>
      <c r="Z33" s="87"/>
      <c r="AA33" s="354"/>
      <c r="AB33" s="87"/>
      <c r="AC33" s="354"/>
    </row>
    <row r="34" spans="1:29" x14ac:dyDescent="0.35">
      <c r="A34" s="102" t="s">
        <v>448</v>
      </c>
      <c r="B34" s="88"/>
      <c r="C34" s="88"/>
      <c r="D34" s="88"/>
      <c r="E34" s="88"/>
      <c r="F34" s="133"/>
      <c r="G34" s="136"/>
      <c r="H34" s="136"/>
      <c r="I34" s="105"/>
      <c r="J34" s="369">
        <f>'As-Filed Schedule 3'!J34</f>
        <v>0</v>
      </c>
      <c r="K34" s="415">
        <f>'As-Filed Schedule 3'!K34</f>
        <v>0</v>
      </c>
      <c r="L34" s="417">
        <f>SUMIFS(Adjustments!$G:$G,Adjustments!$H:$H,"3",Adjustments!$I:$I,'Schedule 3 Adjustments'!$K$13,Adjustments!$J:$J,"4b")</f>
        <v>0</v>
      </c>
      <c r="M34" s="419">
        <f>SUM(K34:L34)</f>
        <v>0</v>
      </c>
      <c r="N34" s="90"/>
      <c r="O34" s="355"/>
      <c r="P34" s="88"/>
      <c r="Q34" s="351"/>
      <c r="R34" s="355"/>
      <c r="S34" s="88"/>
      <c r="T34" s="355"/>
      <c r="U34" s="88"/>
      <c r="V34" s="351"/>
      <c r="W34" s="355"/>
      <c r="X34" s="88"/>
      <c r="Y34" s="355"/>
      <c r="Z34" s="88"/>
      <c r="AA34" s="355"/>
      <c r="AB34" s="88"/>
      <c r="AC34" s="355"/>
    </row>
    <row r="35" spans="1:29" x14ac:dyDescent="0.35">
      <c r="A35" s="103" t="s">
        <v>449</v>
      </c>
      <c r="B35" s="88"/>
      <c r="C35" s="88"/>
      <c r="D35" s="88"/>
      <c r="E35" s="88"/>
      <c r="F35" s="133"/>
      <c r="G35" s="136"/>
      <c r="H35" s="136"/>
      <c r="I35" s="105"/>
      <c r="J35" s="369">
        <f>'As-Filed Schedule 3'!J35</f>
        <v>0</v>
      </c>
      <c r="K35" s="415">
        <f>'As-Filed Schedule 3'!K35</f>
        <v>0</v>
      </c>
      <c r="L35" s="417">
        <f>SUMIFS(Adjustments!$G:$G,Adjustments!$H:$H,"3",Adjustments!$I:$I,'Schedule 3 Adjustments'!$K$13,Adjustments!$J:$J,"4c")</f>
        <v>0</v>
      </c>
      <c r="M35" s="419">
        <f>SUM(K35:L35)</f>
        <v>0</v>
      </c>
      <c r="N35" s="90"/>
      <c r="O35" s="355"/>
      <c r="P35" s="88"/>
      <c r="Q35" s="351"/>
      <c r="R35" s="355"/>
      <c r="S35" s="88"/>
      <c r="T35" s="355"/>
      <c r="U35" s="88"/>
      <c r="V35" s="351"/>
      <c r="W35" s="355"/>
      <c r="X35" s="88"/>
      <c r="Y35" s="355"/>
      <c r="Z35" s="88"/>
      <c r="AA35" s="355"/>
      <c r="AB35" s="88"/>
      <c r="AC35" s="355"/>
    </row>
    <row r="36" spans="1:29" x14ac:dyDescent="0.35">
      <c r="J36" s="100"/>
      <c r="N36" s="28"/>
      <c r="O36" s="347"/>
    </row>
    <row r="37" spans="1:29" s="34" customFormat="1" x14ac:dyDescent="0.35">
      <c r="A37" s="84">
        <v>5</v>
      </c>
      <c r="B37" s="524">
        <f>'As-Filed Schedule 3'!B37:C37</f>
        <v>0</v>
      </c>
      <c r="C37" s="525"/>
      <c r="D37" s="365">
        <f>'As-Filed Schedule 3'!D37</f>
        <v>0</v>
      </c>
      <c r="E37" s="365">
        <f>'As-Filed Schedule 3'!E37</f>
        <v>0</v>
      </c>
      <c r="F37" s="364">
        <f>'As-Filed Schedule 3'!F37</f>
        <v>0</v>
      </c>
      <c r="G37" s="363">
        <f>'As-Filed Schedule 3'!G37</f>
        <v>0</v>
      </c>
      <c r="H37" s="363">
        <f>'As-Filed Schedule 3'!H37</f>
        <v>0</v>
      </c>
      <c r="I37" s="139" t="str">
        <f>IF(B37=0,"",IF(AND(G37=0,H37=0),365,IF(AND(G37&gt;0,H37=0),$C$6-G37+1,IF(AND(G37=0,H37&gt;0),H37-($C$6-365),H37-G37+1))))</f>
        <v/>
      </c>
      <c r="J37" s="98"/>
      <c r="K37" s="414">
        <f>SUM(K38:K40)</f>
        <v>0</v>
      </c>
      <c r="L37" s="416">
        <f>SUM(L38:L40)</f>
        <v>0</v>
      </c>
      <c r="M37" s="418">
        <f>SUM(M38:M40)</f>
        <v>0</v>
      </c>
      <c r="N37" s="91" t="str">
        <f>IF(K37&gt;0,K37/(F37*I37),"")</f>
        <v/>
      </c>
      <c r="O37" s="346" t="str">
        <f>IF(M37&gt;0,M37/(F37*I37),"")</f>
        <v/>
      </c>
      <c r="P37" s="126">
        <f>'As-Filed Schedule 3'!M37</f>
        <v>0</v>
      </c>
      <c r="Q37" s="349">
        <f>SUMIFS(Adjustments!$G:$G,Adjustments!$H:$H,"3",Adjustments!$I:$I,'Schedule 3 Adjustments'!$P$13,Adjustments!$J:$J,'As-Filed Schedule 3'!A37)</f>
        <v>0</v>
      </c>
      <c r="R37" s="353">
        <f>SUM(P37:Q37)</f>
        <v>0</v>
      </c>
      <c r="S37" s="85" t="str">
        <f>IFERROR(P37/K37,"")</f>
        <v/>
      </c>
      <c r="T37" s="357" t="str">
        <f>IFERROR(R37/M37,"")</f>
        <v/>
      </c>
      <c r="U37" s="126">
        <f>'As-Filed Schedule 3'!O37</f>
        <v>0</v>
      </c>
      <c r="V37" s="349">
        <f>SUMIFS(Adjustments!$G:$G,Adjustments!$H:$H,"3",Adjustments!$I:$I,'Schedule 3 Adjustments'!$U$13,Adjustments!$J:$J,$A37)</f>
        <v>0</v>
      </c>
      <c r="W37" s="353">
        <f>SUM(U37:V37)</f>
        <v>0</v>
      </c>
      <c r="X37" s="85" t="str">
        <f>IFERROR(U37/K37,"")</f>
        <v/>
      </c>
      <c r="Y37" s="85" t="str">
        <f>IFERROR(W37/M37,"")</f>
        <v/>
      </c>
      <c r="Z37" s="86" t="str">
        <f>IF(P37=0,"",P37-U37)</f>
        <v/>
      </c>
      <c r="AA37" s="359" t="str">
        <f>IF(R37=0,"",R37-W37)</f>
        <v/>
      </c>
      <c r="AB37" s="85" t="str">
        <f>IFERROR(Z37/K37,"")</f>
        <v/>
      </c>
      <c r="AC37" s="357" t="str">
        <f>IFERROR(AA37/M37,"")</f>
        <v/>
      </c>
    </row>
    <row r="38" spans="1:29" x14ac:dyDescent="0.35">
      <c r="A38" s="101" t="s">
        <v>447</v>
      </c>
      <c r="B38" s="87"/>
      <c r="C38" s="87"/>
      <c r="D38" s="87"/>
      <c r="E38" s="87"/>
      <c r="F38" s="132"/>
      <c r="G38" s="135"/>
      <c r="H38" s="135"/>
      <c r="I38" s="104"/>
      <c r="J38" s="369">
        <f>'As-Filed Schedule 3'!J38</f>
        <v>0</v>
      </c>
      <c r="K38" s="415">
        <f>'As-Filed Schedule 3'!K38</f>
        <v>0</v>
      </c>
      <c r="L38" s="417">
        <f>SUMIFS(Adjustments!$G:$G,Adjustments!$H:$H,"3",Adjustments!$I:$I,'Schedule 3 Adjustments'!$K$13,Adjustments!$J:$J,"5a")</f>
        <v>0</v>
      </c>
      <c r="M38" s="419">
        <f>SUM(K38:L38)</f>
        <v>0</v>
      </c>
      <c r="N38" s="89"/>
      <c r="O38" s="354"/>
      <c r="P38" s="87"/>
      <c r="Q38" s="350"/>
      <c r="R38" s="354"/>
      <c r="S38" s="87"/>
      <c r="T38" s="354"/>
      <c r="U38" s="87"/>
      <c r="V38" s="350"/>
      <c r="W38" s="354"/>
      <c r="X38" s="87"/>
      <c r="Y38" s="354"/>
      <c r="Z38" s="87"/>
      <c r="AA38" s="354"/>
      <c r="AB38" s="87"/>
      <c r="AC38" s="354"/>
    </row>
    <row r="39" spans="1:29" x14ac:dyDescent="0.35">
      <c r="A39" s="102" t="s">
        <v>448</v>
      </c>
      <c r="B39" s="88"/>
      <c r="C39" s="88"/>
      <c r="D39" s="88"/>
      <c r="E39" s="88"/>
      <c r="F39" s="133"/>
      <c r="G39" s="136"/>
      <c r="H39" s="136"/>
      <c r="I39" s="105"/>
      <c r="J39" s="369">
        <f>'As-Filed Schedule 3'!J39</f>
        <v>0</v>
      </c>
      <c r="K39" s="415">
        <f>'As-Filed Schedule 3'!K39</f>
        <v>0</v>
      </c>
      <c r="L39" s="417">
        <f>SUMIFS(Adjustments!$G:$G,Adjustments!$H:$H,"3",Adjustments!$I:$I,'Schedule 3 Adjustments'!$K$13,Adjustments!$J:$J,"5b")</f>
        <v>0</v>
      </c>
      <c r="M39" s="419">
        <f>SUM(K39:L39)</f>
        <v>0</v>
      </c>
      <c r="N39" s="90"/>
      <c r="O39" s="355"/>
      <c r="P39" s="88"/>
      <c r="Q39" s="351"/>
      <c r="R39" s="355"/>
      <c r="S39" s="88"/>
      <c r="T39" s="355"/>
      <c r="U39" s="88"/>
      <c r="V39" s="351"/>
      <c r="W39" s="355"/>
      <c r="X39" s="88"/>
      <c r="Y39" s="355"/>
      <c r="Z39" s="88"/>
      <c r="AA39" s="355"/>
      <c r="AB39" s="88"/>
      <c r="AC39" s="355"/>
    </row>
    <row r="40" spans="1:29" x14ac:dyDescent="0.35">
      <c r="A40" s="103" t="s">
        <v>449</v>
      </c>
      <c r="B40" s="88"/>
      <c r="C40" s="88"/>
      <c r="D40" s="88"/>
      <c r="E40" s="88"/>
      <c r="F40" s="133"/>
      <c r="G40" s="136"/>
      <c r="H40" s="136"/>
      <c r="I40" s="105"/>
      <c r="J40" s="369">
        <f>'As-Filed Schedule 3'!J40</f>
        <v>0</v>
      </c>
      <c r="K40" s="415">
        <f>'As-Filed Schedule 3'!K40</f>
        <v>0</v>
      </c>
      <c r="L40" s="417">
        <f>SUMIFS(Adjustments!$G:$G,Adjustments!$H:$H,"3",Adjustments!$I:$I,'Schedule 3 Adjustments'!$K$13,Adjustments!$J:$J,"5c")</f>
        <v>0</v>
      </c>
      <c r="M40" s="419">
        <f>SUM(K40:L40)</f>
        <v>0</v>
      </c>
      <c r="N40" s="90"/>
      <c r="O40" s="355"/>
      <c r="P40" s="88"/>
      <c r="Q40" s="351"/>
      <c r="R40" s="355"/>
      <c r="S40" s="88"/>
      <c r="T40" s="355"/>
      <c r="U40" s="88"/>
      <c r="V40" s="351"/>
      <c r="W40" s="355"/>
      <c r="X40" s="88"/>
      <c r="Y40" s="355"/>
      <c r="Z40" s="88"/>
      <c r="AA40" s="355"/>
      <c r="AB40" s="88"/>
      <c r="AC40" s="355"/>
    </row>
    <row r="41" spans="1:29" x14ac:dyDescent="0.35">
      <c r="J41" s="100"/>
      <c r="N41" s="28"/>
      <c r="O41" s="347"/>
    </row>
    <row r="42" spans="1:29" s="34" customFormat="1" x14ac:dyDescent="0.35">
      <c r="A42" s="84">
        <v>6</v>
      </c>
      <c r="B42" s="524">
        <f>'As-Filed Schedule 3'!B42:C42</f>
        <v>0</v>
      </c>
      <c r="C42" s="525"/>
      <c r="D42" s="365">
        <f>'As-Filed Schedule 3'!D42</f>
        <v>0</v>
      </c>
      <c r="E42" s="365">
        <f>'As-Filed Schedule 3'!E42</f>
        <v>0</v>
      </c>
      <c r="F42" s="364">
        <f>'As-Filed Schedule 3'!F42</f>
        <v>0</v>
      </c>
      <c r="G42" s="363">
        <f>'As-Filed Schedule 3'!G42</f>
        <v>0</v>
      </c>
      <c r="H42" s="363">
        <f>'As-Filed Schedule 3'!H42</f>
        <v>0</v>
      </c>
      <c r="I42" s="139" t="str">
        <f>IF(B42=0,"",IF(AND(G42=0,H42=0),365,IF(AND(G42&gt;0,H42=0),$C$6-G42+1,IF(AND(G42=0,H42&gt;0),H42-($C$6-365),H42-G42+1))))</f>
        <v/>
      </c>
      <c r="J42" s="98"/>
      <c r="K42" s="414">
        <f>SUM(K43:K45)</f>
        <v>0</v>
      </c>
      <c r="L42" s="416">
        <f>SUM(L43:L45)</f>
        <v>0</v>
      </c>
      <c r="M42" s="418">
        <f>SUM(M43:M45)</f>
        <v>0</v>
      </c>
      <c r="N42" s="91" t="str">
        <f>IF(K42&gt;0,K42/(F42*I42),"")</f>
        <v/>
      </c>
      <c r="O42" s="346" t="str">
        <f>IF(M42&gt;0,M42/(F42*I42),"")</f>
        <v/>
      </c>
      <c r="P42" s="126">
        <f>'As-Filed Schedule 3'!M42</f>
        <v>0</v>
      </c>
      <c r="Q42" s="349">
        <f>SUMIFS(Adjustments!$G:$G,Adjustments!$H:$H,"3",Adjustments!$I:$I,'Schedule 3 Adjustments'!$P$13,Adjustments!$J:$J,'As-Filed Schedule 3'!A42)</f>
        <v>0</v>
      </c>
      <c r="R42" s="353">
        <f>SUM(P42:Q42)</f>
        <v>0</v>
      </c>
      <c r="S42" s="85" t="str">
        <f>IFERROR(P42/K42,"")</f>
        <v/>
      </c>
      <c r="T42" s="357" t="str">
        <f>IFERROR(R42/M42,"")</f>
        <v/>
      </c>
      <c r="U42" s="126">
        <f>'As-Filed Schedule 3'!O42</f>
        <v>0</v>
      </c>
      <c r="V42" s="349">
        <f>SUMIFS(Adjustments!$G:$G,Adjustments!$H:$H,"3",Adjustments!$I:$I,'Schedule 3 Adjustments'!$U$13,Adjustments!$J:$J,$A42)</f>
        <v>0</v>
      </c>
      <c r="W42" s="353">
        <f>SUM(U42:V42)</f>
        <v>0</v>
      </c>
      <c r="X42" s="85" t="str">
        <f>IFERROR(U42/K42,"")</f>
        <v/>
      </c>
      <c r="Y42" s="85" t="str">
        <f>IFERROR(W42/M42,"")</f>
        <v/>
      </c>
      <c r="Z42" s="86" t="str">
        <f>IF(P42=0,"",P42-U42)</f>
        <v/>
      </c>
      <c r="AA42" s="359" t="str">
        <f>IF(R42=0,"",R42-W42)</f>
        <v/>
      </c>
      <c r="AB42" s="85" t="str">
        <f>IFERROR(Z42/K42,"")</f>
        <v/>
      </c>
      <c r="AC42" s="357" t="str">
        <f>IFERROR(AA42/M42,"")</f>
        <v/>
      </c>
    </row>
    <row r="43" spans="1:29" x14ac:dyDescent="0.35">
      <c r="A43" s="101" t="s">
        <v>447</v>
      </c>
      <c r="B43" s="87"/>
      <c r="C43" s="87"/>
      <c r="D43" s="87"/>
      <c r="E43" s="87"/>
      <c r="F43" s="132"/>
      <c r="G43" s="135"/>
      <c r="H43" s="135"/>
      <c r="I43" s="104"/>
      <c r="J43" s="369">
        <f>'As-Filed Schedule 3'!J43</f>
        <v>0</v>
      </c>
      <c r="K43" s="415">
        <f>'As-Filed Schedule 3'!K43</f>
        <v>0</v>
      </c>
      <c r="L43" s="417">
        <f>SUMIFS(Adjustments!$G:$G,Adjustments!$H:$H,"3",Adjustments!$I:$I,'Schedule 3 Adjustments'!$K$13,Adjustments!$J:$J,"6a")</f>
        <v>0</v>
      </c>
      <c r="M43" s="419">
        <f>SUM(K43:L43)</f>
        <v>0</v>
      </c>
      <c r="N43" s="89"/>
      <c r="O43" s="354"/>
      <c r="P43" s="87"/>
      <c r="Q43" s="350"/>
      <c r="R43" s="354"/>
      <c r="S43" s="87"/>
      <c r="T43" s="354"/>
      <c r="U43" s="87"/>
      <c r="V43" s="350"/>
      <c r="W43" s="354"/>
      <c r="X43" s="87"/>
      <c r="Y43" s="354"/>
      <c r="Z43" s="87"/>
      <c r="AA43" s="354"/>
      <c r="AB43" s="87"/>
      <c r="AC43" s="354"/>
    </row>
    <row r="44" spans="1:29" x14ac:dyDescent="0.35">
      <c r="A44" s="102" t="s">
        <v>448</v>
      </c>
      <c r="B44" s="88"/>
      <c r="C44" s="88"/>
      <c r="D44" s="88"/>
      <c r="E44" s="88"/>
      <c r="F44" s="133"/>
      <c r="G44" s="136"/>
      <c r="H44" s="136"/>
      <c r="I44" s="105"/>
      <c r="J44" s="369">
        <f>'As-Filed Schedule 3'!J44</f>
        <v>0</v>
      </c>
      <c r="K44" s="415">
        <f>'As-Filed Schedule 3'!K44</f>
        <v>0</v>
      </c>
      <c r="L44" s="417">
        <f>SUMIFS(Adjustments!$G:$G,Adjustments!$H:$H,"3",Adjustments!$I:$I,'Schedule 3 Adjustments'!$K$13,Adjustments!$J:$J,"6b")</f>
        <v>0</v>
      </c>
      <c r="M44" s="419">
        <f>SUM(K44:L44)</f>
        <v>0</v>
      </c>
      <c r="N44" s="90"/>
      <c r="O44" s="355"/>
      <c r="P44" s="88"/>
      <c r="Q44" s="351"/>
      <c r="R44" s="355"/>
      <c r="S44" s="88"/>
      <c r="T44" s="355"/>
      <c r="U44" s="88"/>
      <c r="V44" s="351"/>
      <c r="W44" s="355"/>
      <c r="X44" s="88"/>
      <c r="Y44" s="355"/>
      <c r="Z44" s="88"/>
      <c r="AA44" s="355"/>
      <c r="AB44" s="88"/>
      <c r="AC44" s="355"/>
    </row>
    <row r="45" spans="1:29" x14ac:dyDescent="0.35">
      <c r="A45" s="103" t="s">
        <v>449</v>
      </c>
      <c r="B45" s="88"/>
      <c r="C45" s="88"/>
      <c r="D45" s="88"/>
      <c r="E45" s="88"/>
      <c r="F45" s="133"/>
      <c r="G45" s="136"/>
      <c r="H45" s="136"/>
      <c r="I45" s="105"/>
      <c r="J45" s="369">
        <f>'As-Filed Schedule 3'!J45</f>
        <v>0</v>
      </c>
      <c r="K45" s="415">
        <f>'As-Filed Schedule 3'!K45</f>
        <v>0</v>
      </c>
      <c r="L45" s="417">
        <f>SUMIFS(Adjustments!$G:$G,Adjustments!$H:$H,"3",Adjustments!$I:$I,'Schedule 3 Adjustments'!$K$13,Adjustments!$J:$J,"6c")</f>
        <v>0</v>
      </c>
      <c r="M45" s="419">
        <f>SUM(K45:L45)</f>
        <v>0</v>
      </c>
      <c r="N45" s="90"/>
      <c r="O45" s="355"/>
      <c r="P45" s="88"/>
      <c r="Q45" s="351"/>
      <c r="R45" s="355"/>
      <c r="S45" s="88"/>
      <c r="T45" s="355"/>
      <c r="U45" s="88"/>
      <c r="V45" s="351"/>
      <c r="W45" s="355"/>
      <c r="X45" s="88"/>
      <c r="Y45" s="355"/>
      <c r="Z45" s="88"/>
      <c r="AA45" s="355"/>
      <c r="AB45" s="88"/>
      <c r="AC45" s="355"/>
    </row>
    <row r="46" spans="1:29" x14ac:dyDescent="0.35">
      <c r="J46" s="100"/>
      <c r="N46" s="28"/>
      <c r="O46" s="347"/>
    </row>
    <row r="47" spans="1:29" s="34" customFormat="1" x14ac:dyDescent="0.35">
      <c r="A47" s="84">
        <v>7</v>
      </c>
      <c r="B47" s="524">
        <f>'As-Filed Schedule 3'!B47:C47</f>
        <v>0</v>
      </c>
      <c r="C47" s="525"/>
      <c r="D47" s="365">
        <f>'As-Filed Schedule 3'!D47</f>
        <v>0</v>
      </c>
      <c r="E47" s="365">
        <f>'As-Filed Schedule 3'!E47</f>
        <v>0</v>
      </c>
      <c r="F47" s="364">
        <f>'As-Filed Schedule 3'!F47</f>
        <v>0</v>
      </c>
      <c r="G47" s="363">
        <f>'As-Filed Schedule 3'!G47</f>
        <v>0</v>
      </c>
      <c r="H47" s="363">
        <f>'As-Filed Schedule 3'!H47</f>
        <v>0</v>
      </c>
      <c r="I47" s="139" t="str">
        <f>IF(B47=0,"",IF(AND(G47=0,H47=0),365,IF(AND(G47&gt;0,H47=0),$C$6-G47+1,IF(AND(G47=0,H47&gt;0),H47-($C$6-365),H47-G47+1))))</f>
        <v/>
      </c>
      <c r="J47" s="98"/>
      <c r="K47" s="414">
        <f>SUM(K48:K50)</f>
        <v>0</v>
      </c>
      <c r="L47" s="416">
        <f>SUM(L48:L50)</f>
        <v>0</v>
      </c>
      <c r="M47" s="418">
        <f>SUM(M48:M50)</f>
        <v>0</v>
      </c>
      <c r="N47" s="91" t="str">
        <f>IF(K47&gt;0,K47/(F47*I47),"")</f>
        <v/>
      </c>
      <c r="O47" s="346" t="str">
        <f>IF(M47&gt;0,M47/(F47*I47),"")</f>
        <v/>
      </c>
      <c r="P47" s="126">
        <f>'As-Filed Schedule 3'!M47</f>
        <v>0</v>
      </c>
      <c r="Q47" s="349">
        <f>SUMIFS(Adjustments!$G:$G,Adjustments!$H:$H,"3",Adjustments!$I:$I,'Schedule 3 Adjustments'!$P$13,Adjustments!$J:$J,'As-Filed Schedule 3'!A47)</f>
        <v>0</v>
      </c>
      <c r="R47" s="353">
        <f>SUM(P47:Q47)</f>
        <v>0</v>
      </c>
      <c r="S47" s="85" t="str">
        <f>IFERROR(P47/K47,"")</f>
        <v/>
      </c>
      <c r="T47" s="357" t="str">
        <f>IFERROR(R47/M47,"")</f>
        <v/>
      </c>
      <c r="U47" s="126">
        <f>'As-Filed Schedule 3'!O47</f>
        <v>0</v>
      </c>
      <c r="V47" s="349">
        <f>SUMIFS(Adjustments!$G:$G,Adjustments!$H:$H,"3",Adjustments!$I:$I,'Schedule 3 Adjustments'!$U$13,Adjustments!$J:$J,$A47)</f>
        <v>0</v>
      </c>
      <c r="W47" s="353">
        <f>SUM(U47:V47)</f>
        <v>0</v>
      </c>
      <c r="X47" s="85" t="str">
        <f>IFERROR(U47/K47,"")</f>
        <v/>
      </c>
      <c r="Y47" s="85" t="str">
        <f>IFERROR(W47/M47,"")</f>
        <v/>
      </c>
      <c r="Z47" s="86" t="str">
        <f>IF(P47=0,"",P47-U47)</f>
        <v/>
      </c>
      <c r="AA47" s="359" t="str">
        <f>IF(R47=0,"",R47-W47)</f>
        <v/>
      </c>
      <c r="AB47" s="85" t="str">
        <f>IFERROR(Z47/K47,"")</f>
        <v/>
      </c>
      <c r="AC47" s="357" t="str">
        <f>IFERROR(AA47/M47,"")</f>
        <v/>
      </c>
    </row>
    <row r="48" spans="1:29" x14ac:dyDescent="0.35">
      <c r="A48" s="101" t="s">
        <v>447</v>
      </c>
      <c r="B48" s="87"/>
      <c r="C48" s="87"/>
      <c r="D48" s="87"/>
      <c r="E48" s="87"/>
      <c r="F48" s="132"/>
      <c r="G48" s="135"/>
      <c r="H48" s="135"/>
      <c r="I48" s="104"/>
      <c r="J48" s="369">
        <f>'As-Filed Schedule 3'!J48</f>
        <v>0</v>
      </c>
      <c r="K48" s="415">
        <f>'As-Filed Schedule 3'!K48</f>
        <v>0</v>
      </c>
      <c r="L48" s="417">
        <f>SUMIFS(Adjustments!$G:$G,Adjustments!$H:$H,"3",Adjustments!$I:$I,'Schedule 3 Adjustments'!$K$13,Adjustments!$J:$J,"7a")</f>
        <v>0</v>
      </c>
      <c r="M48" s="419">
        <f>SUM(K48:L48)</f>
        <v>0</v>
      </c>
      <c r="N48" s="89"/>
      <c r="O48" s="354"/>
      <c r="P48" s="87"/>
      <c r="Q48" s="350"/>
      <c r="R48" s="354"/>
      <c r="S48" s="87"/>
      <c r="T48" s="354"/>
      <c r="U48" s="87"/>
      <c r="V48" s="350"/>
      <c r="W48" s="354"/>
      <c r="X48" s="87"/>
      <c r="Y48" s="354"/>
      <c r="Z48" s="87"/>
      <c r="AA48" s="354"/>
      <c r="AB48" s="87"/>
      <c r="AC48" s="354"/>
    </row>
    <row r="49" spans="1:29" x14ac:dyDescent="0.35">
      <c r="A49" s="102" t="s">
        <v>448</v>
      </c>
      <c r="B49" s="88"/>
      <c r="C49" s="88"/>
      <c r="D49" s="88"/>
      <c r="E49" s="88"/>
      <c r="F49" s="133"/>
      <c r="G49" s="136"/>
      <c r="H49" s="136"/>
      <c r="I49" s="105"/>
      <c r="J49" s="369">
        <f>'As-Filed Schedule 3'!J49</f>
        <v>0</v>
      </c>
      <c r="K49" s="415">
        <f>'As-Filed Schedule 3'!K49</f>
        <v>0</v>
      </c>
      <c r="L49" s="417">
        <f>SUMIFS(Adjustments!$G:$G,Adjustments!$H:$H,"3",Adjustments!$I:$I,'Schedule 3 Adjustments'!$K$13,Adjustments!$J:$J,"7b")</f>
        <v>0</v>
      </c>
      <c r="M49" s="419">
        <f>SUM(K49:L49)</f>
        <v>0</v>
      </c>
      <c r="N49" s="90"/>
      <c r="O49" s="355"/>
      <c r="P49" s="88"/>
      <c r="Q49" s="351"/>
      <c r="R49" s="355"/>
      <c r="S49" s="88"/>
      <c r="T49" s="355"/>
      <c r="U49" s="88"/>
      <c r="V49" s="351"/>
      <c r="W49" s="355"/>
      <c r="X49" s="88"/>
      <c r="Y49" s="355"/>
      <c r="Z49" s="88"/>
      <c r="AA49" s="355"/>
      <c r="AB49" s="88"/>
      <c r="AC49" s="355"/>
    </row>
    <row r="50" spans="1:29" x14ac:dyDescent="0.35">
      <c r="A50" s="103" t="s">
        <v>449</v>
      </c>
      <c r="B50" s="88"/>
      <c r="C50" s="88"/>
      <c r="D50" s="88"/>
      <c r="E50" s="88"/>
      <c r="F50" s="133"/>
      <c r="G50" s="136"/>
      <c r="H50" s="136"/>
      <c r="I50" s="105"/>
      <c r="J50" s="369">
        <f>'As-Filed Schedule 3'!J50</f>
        <v>0</v>
      </c>
      <c r="K50" s="415">
        <f>'As-Filed Schedule 3'!K50</f>
        <v>0</v>
      </c>
      <c r="L50" s="417">
        <f>SUMIFS(Adjustments!$G:$G,Adjustments!$H:$H,"3",Adjustments!$I:$I,'Schedule 3 Adjustments'!$K$13,Adjustments!$J:$J,"7c")</f>
        <v>0</v>
      </c>
      <c r="M50" s="419">
        <f>SUM(K50:L50)</f>
        <v>0</v>
      </c>
      <c r="N50" s="90"/>
      <c r="O50" s="355"/>
      <c r="P50" s="88"/>
      <c r="Q50" s="351"/>
      <c r="R50" s="355"/>
      <c r="S50" s="88"/>
      <c r="T50" s="355"/>
      <c r="U50" s="88"/>
      <c r="V50" s="351"/>
      <c r="W50" s="355"/>
      <c r="X50" s="88"/>
      <c r="Y50" s="355"/>
      <c r="Z50" s="88"/>
      <c r="AA50" s="355"/>
      <c r="AB50" s="88"/>
      <c r="AC50" s="355"/>
    </row>
    <row r="51" spans="1:29" x14ac:dyDescent="0.35">
      <c r="J51" s="100"/>
      <c r="N51" s="28"/>
      <c r="O51" s="347"/>
    </row>
    <row r="52" spans="1:29" s="34" customFormat="1" x14ac:dyDescent="0.35">
      <c r="A52" s="84">
        <v>8</v>
      </c>
      <c r="B52" s="524">
        <f>'As-Filed Schedule 3'!B52:C52</f>
        <v>0</v>
      </c>
      <c r="C52" s="525"/>
      <c r="D52" s="365">
        <f>'As-Filed Schedule 3'!D52</f>
        <v>0</v>
      </c>
      <c r="E52" s="365">
        <f>'As-Filed Schedule 3'!E52</f>
        <v>0</v>
      </c>
      <c r="F52" s="364">
        <f>'As-Filed Schedule 3'!F52</f>
        <v>0</v>
      </c>
      <c r="G52" s="363">
        <f>'As-Filed Schedule 3'!G52</f>
        <v>0</v>
      </c>
      <c r="H52" s="363">
        <f>'As-Filed Schedule 3'!H52</f>
        <v>0</v>
      </c>
      <c r="I52" s="139" t="str">
        <f>IF(B52=0,"",IF(AND(G52=0,H52=0),365,IF(AND(G52&gt;0,H52=0),$C$6-G52+1,IF(AND(G52=0,H52&gt;0),H52-($C$6-365),H52-G52+1))))</f>
        <v/>
      </c>
      <c r="J52" s="98"/>
      <c r="K52" s="414">
        <f>SUM(K53:K55)</f>
        <v>0</v>
      </c>
      <c r="L52" s="416">
        <f>SUM(L53:L55)</f>
        <v>0</v>
      </c>
      <c r="M52" s="418">
        <f>SUM(M53:M55)</f>
        <v>0</v>
      </c>
      <c r="N52" s="91" t="str">
        <f>IF(K52&gt;0,K52/(F52*I52),"")</f>
        <v/>
      </c>
      <c r="O52" s="346" t="str">
        <f>IF(M52&gt;0,M52/(F52*I52),"")</f>
        <v/>
      </c>
      <c r="P52" s="126">
        <f>'As-Filed Schedule 3'!M52</f>
        <v>0</v>
      </c>
      <c r="Q52" s="349">
        <f>SUMIFS(Adjustments!$G:$G,Adjustments!$H:$H,"3",Adjustments!$I:$I,'Schedule 3 Adjustments'!$P$13,Adjustments!$J:$J,'As-Filed Schedule 3'!A52)</f>
        <v>0</v>
      </c>
      <c r="R52" s="353">
        <f>SUM(P52:Q52)</f>
        <v>0</v>
      </c>
      <c r="S52" s="85" t="str">
        <f>IFERROR(P52/K52,"")</f>
        <v/>
      </c>
      <c r="T52" s="357" t="str">
        <f>IFERROR(R52/M52,"")</f>
        <v/>
      </c>
      <c r="U52" s="126">
        <f>'As-Filed Schedule 3'!O52</f>
        <v>0</v>
      </c>
      <c r="V52" s="349">
        <f>SUMIFS(Adjustments!$G:$G,Adjustments!$H:$H,"3",Adjustments!$I:$I,'Schedule 3 Adjustments'!$U$13,Adjustments!$J:$J,$A52)</f>
        <v>0</v>
      </c>
      <c r="W52" s="353">
        <f>SUM(U52:V52)</f>
        <v>0</v>
      </c>
      <c r="X52" s="85" t="str">
        <f>IFERROR(U52/K52,"")</f>
        <v/>
      </c>
      <c r="Y52" s="85" t="str">
        <f>IFERROR(W52/M52,"")</f>
        <v/>
      </c>
      <c r="Z52" s="86" t="str">
        <f>IF(P52=0,"",P52-U52)</f>
        <v/>
      </c>
      <c r="AA52" s="359" t="str">
        <f>IF(R52=0,"",R52-W52)</f>
        <v/>
      </c>
      <c r="AB52" s="85" t="str">
        <f>IFERROR(Z52/K52,"")</f>
        <v/>
      </c>
      <c r="AC52" s="357" t="str">
        <f>IFERROR(AA52/M52,"")</f>
        <v/>
      </c>
    </row>
    <row r="53" spans="1:29" x14ac:dyDescent="0.35">
      <c r="A53" s="101" t="s">
        <v>447</v>
      </c>
      <c r="B53" s="87"/>
      <c r="C53" s="87"/>
      <c r="D53" s="87"/>
      <c r="E53" s="87"/>
      <c r="F53" s="132"/>
      <c r="G53" s="135"/>
      <c r="H53" s="135"/>
      <c r="I53" s="104"/>
      <c r="J53" s="369">
        <f>'As-Filed Schedule 3'!J53</f>
        <v>0</v>
      </c>
      <c r="K53" s="415">
        <f>'As-Filed Schedule 3'!K53</f>
        <v>0</v>
      </c>
      <c r="L53" s="417">
        <f>SUMIFS(Adjustments!$G:$G,Adjustments!$H:$H,"3",Adjustments!$I:$I,'Schedule 3 Adjustments'!$K$13,Adjustments!$J:$J,"8a")</f>
        <v>0</v>
      </c>
      <c r="M53" s="419">
        <f>SUM(K53:L53)</f>
        <v>0</v>
      </c>
      <c r="N53" s="89"/>
      <c r="O53" s="354"/>
      <c r="P53" s="87"/>
      <c r="Q53" s="350"/>
      <c r="R53" s="354"/>
      <c r="S53" s="87"/>
      <c r="T53" s="354"/>
      <c r="U53" s="87"/>
      <c r="V53" s="350"/>
      <c r="W53" s="354"/>
      <c r="X53" s="87"/>
      <c r="Y53" s="354"/>
      <c r="Z53" s="87"/>
      <c r="AA53" s="354"/>
      <c r="AB53" s="87"/>
      <c r="AC53" s="354"/>
    </row>
    <row r="54" spans="1:29" x14ac:dyDescent="0.35">
      <c r="A54" s="102" t="s">
        <v>448</v>
      </c>
      <c r="B54" s="88"/>
      <c r="C54" s="88"/>
      <c r="D54" s="88"/>
      <c r="E54" s="88"/>
      <c r="F54" s="133"/>
      <c r="G54" s="136"/>
      <c r="H54" s="136"/>
      <c r="I54" s="105"/>
      <c r="J54" s="369">
        <f>'As-Filed Schedule 3'!J54</f>
        <v>0</v>
      </c>
      <c r="K54" s="415">
        <f>'As-Filed Schedule 3'!K54</f>
        <v>0</v>
      </c>
      <c r="L54" s="417">
        <f>SUMIFS(Adjustments!$G:$G,Adjustments!$H:$H,"3",Adjustments!$I:$I,'Schedule 3 Adjustments'!$K$13,Adjustments!$J:$J,"8b")</f>
        <v>0</v>
      </c>
      <c r="M54" s="419">
        <f>SUM(K54:L54)</f>
        <v>0</v>
      </c>
      <c r="N54" s="90"/>
      <c r="O54" s="355"/>
      <c r="P54" s="88"/>
      <c r="Q54" s="351"/>
      <c r="R54" s="355"/>
      <c r="S54" s="88"/>
      <c r="T54" s="355"/>
      <c r="U54" s="88"/>
      <c r="V54" s="351"/>
      <c r="W54" s="355"/>
      <c r="X54" s="88"/>
      <c r="Y54" s="355"/>
      <c r="Z54" s="88"/>
      <c r="AA54" s="355"/>
      <c r="AB54" s="88"/>
      <c r="AC54" s="355"/>
    </row>
    <row r="55" spans="1:29" x14ac:dyDescent="0.35">
      <c r="A55" s="103" t="s">
        <v>449</v>
      </c>
      <c r="B55" s="88"/>
      <c r="C55" s="88"/>
      <c r="D55" s="88"/>
      <c r="E55" s="88"/>
      <c r="F55" s="133"/>
      <c r="G55" s="136"/>
      <c r="H55" s="136"/>
      <c r="I55" s="105"/>
      <c r="J55" s="369">
        <f>'As-Filed Schedule 3'!J55</f>
        <v>0</v>
      </c>
      <c r="K55" s="415">
        <f>'As-Filed Schedule 3'!K55</f>
        <v>0</v>
      </c>
      <c r="L55" s="417">
        <f>SUMIFS(Adjustments!$G:$G,Adjustments!$H:$H,"3",Adjustments!$I:$I,'Schedule 3 Adjustments'!$K$13,Adjustments!$J:$J,"8c")</f>
        <v>0</v>
      </c>
      <c r="M55" s="419">
        <f>SUM(K55:L55)</f>
        <v>0</v>
      </c>
      <c r="N55" s="90"/>
      <c r="O55" s="355"/>
      <c r="P55" s="88"/>
      <c r="Q55" s="351"/>
      <c r="R55" s="355"/>
      <c r="S55" s="88"/>
      <c r="T55" s="355"/>
      <c r="U55" s="88"/>
      <c r="V55" s="351"/>
      <c r="W55" s="355"/>
      <c r="X55" s="88"/>
      <c r="Y55" s="355"/>
      <c r="Z55" s="88"/>
      <c r="AA55" s="355"/>
      <c r="AB55" s="88"/>
      <c r="AC55" s="355"/>
    </row>
    <row r="56" spans="1:29" x14ac:dyDescent="0.35">
      <c r="J56" s="100"/>
      <c r="N56" s="28"/>
      <c r="O56" s="347"/>
    </row>
    <row r="57" spans="1:29" s="34" customFormat="1" x14ac:dyDescent="0.35">
      <c r="A57" s="84">
        <v>9</v>
      </c>
      <c r="B57" s="524">
        <f>'As-Filed Schedule 3'!B57:C57</f>
        <v>0</v>
      </c>
      <c r="C57" s="525"/>
      <c r="D57" s="365">
        <f>'As-Filed Schedule 3'!D57</f>
        <v>0</v>
      </c>
      <c r="E57" s="365">
        <f>'As-Filed Schedule 3'!E57</f>
        <v>0</v>
      </c>
      <c r="F57" s="364">
        <f>'As-Filed Schedule 3'!F57</f>
        <v>0</v>
      </c>
      <c r="G57" s="363">
        <f>'As-Filed Schedule 3'!G57</f>
        <v>0</v>
      </c>
      <c r="H57" s="363">
        <f>'As-Filed Schedule 3'!H57</f>
        <v>0</v>
      </c>
      <c r="I57" s="139" t="str">
        <f>IF(B57=0,"",IF(AND(G57=0,H57=0),365,IF(AND(G57&gt;0,H57=0),$C$6-G57+1,IF(AND(G57=0,H57&gt;0),H57-($C$6-365),H57-G57+1))))</f>
        <v/>
      </c>
      <c r="J57" s="98"/>
      <c r="K57" s="414">
        <f>SUM(K58:K60)</f>
        <v>0</v>
      </c>
      <c r="L57" s="416">
        <f>SUM(L58:L60)</f>
        <v>0</v>
      </c>
      <c r="M57" s="418">
        <f>SUM(M58:M60)</f>
        <v>0</v>
      </c>
      <c r="N57" s="91" t="str">
        <f>IF(K57&gt;0,K57/(F57*I57),"")</f>
        <v/>
      </c>
      <c r="O57" s="346" t="str">
        <f>IF(M57&gt;0,M57/(F57*I57),"")</f>
        <v/>
      </c>
      <c r="P57" s="126">
        <f>'As-Filed Schedule 3'!M57</f>
        <v>0</v>
      </c>
      <c r="Q57" s="349">
        <f>SUMIFS(Adjustments!$G:$G,Adjustments!$H:$H,"3",Adjustments!$I:$I,'Schedule 3 Adjustments'!$P$13,Adjustments!$J:$J,'As-Filed Schedule 3'!A57)</f>
        <v>0</v>
      </c>
      <c r="R57" s="353">
        <f>SUM(P57:Q57)</f>
        <v>0</v>
      </c>
      <c r="S57" s="85" t="str">
        <f>IFERROR(P57/K57,"")</f>
        <v/>
      </c>
      <c r="T57" s="357" t="str">
        <f>IFERROR(R57/M57,"")</f>
        <v/>
      </c>
      <c r="U57" s="126">
        <f>'As-Filed Schedule 3'!O57</f>
        <v>0</v>
      </c>
      <c r="V57" s="349">
        <f>SUMIFS(Adjustments!$G:$G,Adjustments!$H:$H,"3",Adjustments!$I:$I,'Schedule 3 Adjustments'!$U$13,Adjustments!$J:$J,$A57)</f>
        <v>0</v>
      </c>
      <c r="W57" s="353">
        <f>SUM(U57:V57)</f>
        <v>0</v>
      </c>
      <c r="X57" s="85" t="str">
        <f>IFERROR(U57/K57,"")</f>
        <v/>
      </c>
      <c r="Y57" s="85" t="str">
        <f>IFERROR(W57/M57,"")</f>
        <v/>
      </c>
      <c r="Z57" s="86" t="str">
        <f>IF(P57=0,"",P57-U57)</f>
        <v/>
      </c>
      <c r="AA57" s="359" t="str">
        <f>IF(R57=0,"",R57-W57)</f>
        <v/>
      </c>
      <c r="AB57" s="85" t="str">
        <f>IFERROR(Z57/K57,"")</f>
        <v/>
      </c>
      <c r="AC57" s="357" t="str">
        <f>IFERROR(AA57/M57,"")</f>
        <v/>
      </c>
    </row>
    <row r="58" spans="1:29" x14ac:dyDescent="0.35">
      <c r="A58" s="101" t="s">
        <v>447</v>
      </c>
      <c r="B58" s="87"/>
      <c r="C58" s="87"/>
      <c r="D58" s="87"/>
      <c r="E58" s="87"/>
      <c r="F58" s="132"/>
      <c r="G58" s="135"/>
      <c r="H58" s="135"/>
      <c r="I58" s="104"/>
      <c r="J58" s="369">
        <f>'As-Filed Schedule 3'!J58</f>
        <v>0</v>
      </c>
      <c r="K58" s="415">
        <f>'As-Filed Schedule 3'!K58</f>
        <v>0</v>
      </c>
      <c r="L58" s="417">
        <f>SUMIFS(Adjustments!$G:$G,Adjustments!$H:$H,"3",Adjustments!$I:$I,'Schedule 3 Adjustments'!$K$13,Adjustments!$J:$J,"9a")</f>
        <v>0</v>
      </c>
      <c r="M58" s="419">
        <f>SUM(K58:L58)</f>
        <v>0</v>
      </c>
      <c r="N58" s="89"/>
      <c r="O58" s="354"/>
      <c r="P58" s="87"/>
      <c r="Q58" s="350"/>
      <c r="R58" s="354"/>
      <c r="S58" s="87"/>
      <c r="T58" s="354"/>
      <c r="U58" s="87"/>
      <c r="V58" s="350"/>
      <c r="W58" s="354"/>
      <c r="X58" s="87"/>
      <c r="Y58" s="354"/>
      <c r="Z58" s="87"/>
      <c r="AA58" s="354"/>
      <c r="AB58" s="87"/>
      <c r="AC58" s="354"/>
    </row>
    <row r="59" spans="1:29" x14ac:dyDescent="0.35">
      <c r="A59" s="102" t="s">
        <v>448</v>
      </c>
      <c r="B59" s="88"/>
      <c r="C59" s="88"/>
      <c r="D59" s="88"/>
      <c r="E59" s="88"/>
      <c r="F59" s="133"/>
      <c r="G59" s="136"/>
      <c r="H59" s="136"/>
      <c r="I59" s="105"/>
      <c r="J59" s="369">
        <f>'As-Filed Schedule 3'!J59</f>
        <v>0</v>
      </c>
      <c r="K59" s="415">
        <f>'As-Filed Schedule 3'!K59</f>
        <v>0</v>
      </c>
      <c r="L59" s="417">
        <f>SUMIFS(Adjustments!$G:$G,Adjustments!$H:$H,"3",Adjustments!$I:$I,'Schedule 3 Adjustments'!$K$13,Adjustments!$J:$J,"9b")</f>
        <v>0</v>
      </c>
      <c r="M59" s="419">
        <f>SUM(K59:L59)</f>
        <v>0</v>
      </c>
      <c r="N59" s="90"/>
      <c r="O59" s="355"/>
      <c r="P59" s="88"/>
      <c r="Q59" s="351"/>
      <c r="R59" s="355"/>
      <c r="S59" s="88"/>
      <c r="T59" s="355"/>
      <c r="U59" s="88"/>
      <c r="V59" s="351"/>
      <c r="W59" s="355"/>
      <c r="X59" s="88"/>
      <c r="Y59" s="355"/>
      <c r="Z59" s="88"/>
      <c r="AA59" s="355"/>
      <c r="AB59" s="88"/>
      <c r="AC59" s="355"/>
    </row>
    <row r="60" spans="1:29" x14ac:dyDescent="0.35">
      <c r="A60" s="103" t="s">
        <v>449</v>
      </c>
      <c r="B60" s="88"/>
      <c r="C60" s="88"/>
      <c r="D60" s="88"/>
      <c r="E60" s="88"/>
      <c r="F60" s="133"/>
      <c r="G60" s="136"/>
      <c r="H60" s="136"/>
      <c r="I60" s="105"/>
      <c r="J60" s="369">
        <f>'As-Filed Schedule 3'!J60</f>
        <v>0</v>
      </c>
      <c r="K60" s="415">
        <f>'As-Filed Schedule 3'!K60</f>
        <v>0</v>
      </c>
      <c r="L60" s="417">
        <f>SUMIFS(Adjustments!$G:$G,Adjustments!$H:$H,"3",Adjustments!$I:$I,'Schedule 3 Adjustments'!$K$13,Adjustments!$J:$J,"9c")</f>
        <v>0</v>
      </c>
      <c r="M60" s="419">
        <f>SUM(K60:L60)</f>
        <v>0</v>
      </c>
      <c r="N60" s="90"/>
      <c r="O60" s="355"/>
      <c r="P60" s="88"/>
      <c r="Q60" s="351"/>
      <c r="R60" s="355"/>
      <c r="S60" s="88"/>
      <c r="T60" s="355"/>
      <c r="U60" s="88"/>
      <c r="V60" s="351"/>
      <c r="W60" s="355"/>
      <c r="X60" s="88"/>
      <c r="Y60" s="355"/>
      <c r="Z60" s="88"/>
      <c r="AA60" s="355"/>
      <c r="AB60" s="88"/>
      <c r="AC60" s="355"/>
    </row>
    <row r="61" spans="1:29" x14ac:dyDescent="0.35">
      <c r="J61" s="100"/>
      <c r="N61" s="28"/>
      <c r="O61" s="347"/>
    </row>
    <row r="62" spans="1:29" s="34" customFormat="1" x14ac:dyDescent="0.35">
      <c r="A62" s="84">
        <v>10</v>
      </c>
      <c r="B62" s="524">
        <f>'As-Filed Schedule 3'!B62:C62</f>
        <v>0</v>
      </c>
      <c r="C62" s="525"/>
      <c r="D62" s="365">
        <f>'As-Filed Schedule 3'!D62</f>
        <v>0</v>
      </c>
      <c r="E62" s="365">
        <f>'As-Filed Schedule 3'!E62</f>
        <v>0</v>
      </c>
      <c r="F62" s="364">
        <f>'As-Filed Schedule 3'!F62</f>
        <v>0</v>
      </c>
      <c r="G62" s="363">
        <f>'As-Filed Schedule 3'!G62</f>
        <v>0</v>
      </c>
      <c r="H62" s="363">
        <f>'As-Filed Schedule 3'!H62</f>
        <v>0</v>
      </c>
      <c r="I62" s="139" t="str">
        <f>IF(B62=0,"",IF(AND(G62=0,H62=0),365,IF(AND(G62&gt;0,H62=0),$C$6-G62+1,IF(AND(G62=0,H62&gt;0),H62-($C$6-365),H62-G62+1))))</f>
        <v/>
      </c>
      <c r="J62" s="98"/>
      <c r="K62" s="414">
        <f>SUM(K63:K65)</f>
        <v>0</v>
      </c>
      <c r="L62" s="416">
        <f>SUM(L63:L65)</f>
        <v>0</v>
      </c>
      <c r="M62" s="418">
        <f>SUM(M63:M65)</f>
        <v>0</v>
      </c>
      <c r="N62" s="91" t="str">
        <f>IF(K62&gt;0,K62/(F62*I62),"")</f>
        <v/>
      </c>
      <c r="O62" s="346" t="str">
        <f>IF(M62&gt;0,M62/(F62*I62),"")</f>
        <v/>
      </c>
      <c r="P62" s="126">
        <f>'As-Filed Schedule 3'!M62</f>
        <v>0</v>
      </c>
      <c r="Q62" s="349">
        <f>SUMIFS(Adjustments!$G:$G,Adjustments!$H:$H,"3",Adjustments!$I:$I,'Schedule 3 Adjustments'!$P$13,Adjustments!$J:$J,'As-Filed Schedule 3'!A62)</f>
        <v>0</v>
      </c>
      <c r="R62" s="353">
        <f>SUM(P62:Q62)</f>
        <v>0</v>
      </c>
      <c r="S62" s="85" t="str">
        <f>IFERROR(P62/K62,"")</f>
        <v/>
      </c>
      <c r="T62" s="357" t="str">
        <f>IFERROR(R62/M62,"")</f>
        <v/>
      </c>
      <c r="U62" s="126">
        <f>'As-Filed Schedule 3'!O62</f>
        <v>0</v>
      </c>
      <c r="V62" s="349">
        <f>SUMIFS(Adjustments!$G:$G,Adjustments!$H:$H,"3",Adjustments!$I:$I,'Schedule 3 Adjustments'!$U$13,Adjustments!$J:$J,$A62)</f>
        <v>0</v>
      </c>
      <c r="W62" s="353">
        <f>SUM(U62:V62)</f>
        <v>0</v>
      </c>
      <c r="X62" s="85" t="str">
        <f>IFERROR(U62/K62,"")</f>
        <v/>
      </c>
      <c r="Y62" s="85" t="str">
        <f>IFERROR(W62/M62,"")</f>
        <v/>
      </c>
      <c r="Z62" s="86" t="str">
        <f>IF(P62=0,"",P62-U62)</f>
        <v/>
      </c>
      <c r="AA62" s="359" t="str">
        <f>IF(R62=0,"",R62-W62)</f>
        <v/>
      </c>
      <c r="AB62" s="85" t="str">
        <f>IFERROR(Z62/K62,"")</f>
        <v/>
      </c>
      <c r="AC62" s="357" t="str">
        <f>IFERROR(AA62/M62,"")</f>
        <v/>
      </c>
    </row>
    <row r="63" spans="1:29" x14ac:dyDescent="0.35">
      <c r="A63" s="101" t="s">
        <v>447</v>
      </c>
      <c r="B63" s="87"/>
      <c r="C63" s="87"/>
      <c r="D63" s="87"/>
      <c r="E63" s="87"/>
      <c r="F63" s="132"/>
      <c r="G63" s="135"/>
      <c r="H63" s="135"/>
      <c r="I63" s="104"/>
      <c r="J63" s="369">
        <f>'As-Filed Schedule 3'!J63</f>
        <v>0</v>
      </c>
      <c r="K63" s="415">
        <f>'As-Filed Schedule 3'!K63</f>
        <v>0</v>
      </c>
      <c r="L63" s="417">
        <f>SUMIFS(Adjustments!$G:$G,Adjustments!$H:$H,"3",Adjustments!$I:$I,'Schedule 3 Adjustments'!$K$13,Adjustments!$J:$J,"10a")</f>
        <v>0</v>
      </c>
      <c r="M63" s="419">
        <f>SUM(K63:L63)</f>
        <v>0</v>
      </c>
      <c r="N63" s="89"/>
      <c r="O63" s="354"/>
      <c r="P63" s="87"/>
      <c r="Q63" s="350"/>
      <c r="R63" s="354"/>
      <c r="S63" s="87"/>
      <c r="T63" s="354"/>
      <c r="U63" s="87"/>
      <c r="V63" s="350"/>
      <c r="W63" s="354"/>
      <c r="X63" s="87"/>
      <c r="Y63" s="354"/>
      <c r="Z63" s="87"/>
      <c r="AA63" s="354"/>
      <c r="AB63" s="87"/>
      <c r="AC63" s="354"/>
    </row>
    <row r="64" spans="1:29" x14ac:dyDescent="0.35">
      <c r="A64" s="102" t="s">
        <v>448</v>
      </c>
      <c r="B64" s="88"/>
      <c r="C64" s="88"/>
      <c r="D64" s="88"/>
      <c r="E64" s="88"/>
      <c r="F64" s="133"/>
      <c r="G64" s="136"/>
      <c r="H64" s="136"/>
      <c r="I64" s="105"/>
      <c r="J64" s="369">
        <f>'As-Filed Schedule 3'!J64</f>
        <v>0</v>
      </c>
      <c r="K64" s="415">
        <f>'As-Filed Schedule 3'!K64</f>
        <v>0</v>
      </c>
      <c r="L64" s="417">
        <f>SUMIFS(Adjustments!$G:$G,Adjustments!$H:$H,"3",Adjustments!$I:$I,'Schedule 3 Adjustments'!$K$13,Adjustments!$J:$J,"10b")</f>
        <v>0</v>
      </c>
      <c r="M64" s="419">
        <f>SUM(K64:L64)</f>
        <v>0</v>
      </c>
      <c r="N64" s="90"/>
      <c r="O64" s="355"/>
      <c r="P64" s="88"/>
      <c r="Q64" s="351"/>
      <c r="R64" s="355"/>
      <c r="S64" s="88"/>
      <c r="T64" s="355"/>
      <c r="U64" s="88"/>
      <c r="V64" s="351"/>
      <c r="W64" s="355"/>
      <c r="X64" s="88"/>
      <c r="Y64" s="355"/>
      <c r="Z64" s="88"/>
      <c r="AA64" s="355"/>
      <c r="AB64" s="88"/>
      <c r="AC64" s="355"/>
    </row>
    <row r="65" spans="1:29" x14ac:dyDescent="0.35">
      <c r="A65" s="103" t="s">
        <v>449</v>
      </c>
      <c r="B65" s="88"/>
      <c r="C65" s="88"/>
      <c r="D65" s="88"/>
      <c r="E65" s="88"/>
      <c r="F65" s="133"/>
      <c r="G65" s="136"/>
      <c r="H65" s="136"/>
      <c r="I65" s="105"/>
      <c r="J65" s="369">
        <f>'As-Filed Schedule 3'!J65</f>
        <v>0</v>
      </c>
      <c r="K65" s="415">
        <f>'As-Filed Schedule 3'!K65</f>
        <v>0</v>
      </c>
      <c r="L65" s="417">
        <f>SUMIFS(Adjustments!$G:$G,Adjustments!$H:$H,"3",Adjustments!$I:$I,'Schedule 3 Adjustments'!$K$13,Adjustments!$J:$J,"10c")</f>
        <v>0</v>
      </c>
      <c r="M65" s="419">
        <f>SUM(K65:L65)</f>
        <v>0</v>
      </c>
      <c r="N65" s="90"/>
      <c r="O65" s="355"/>
      <c r="P65" s="88"/>
      <c r="Q65" s="351"/>
      <c r="R65" s="355"/>
      <c r="S65" s="88"/>
      <c r="T65" s="355"/>
      <c r="U65" s="88"/>
      <c r="V65" s="351"/>
      <c r="W65" s="355"/>
      <c r="X65" s="88"/>
      <c r="Y65" s="355"/>
      <c r="Z65" s="88"/>
      <c r="AA65" s="355"/>
      <c r="AB65" s="88"/>
      <c r="AC65" s="355"/>
    </row>
    <row r="66" spans="1:29" x14ac:dyDescent="0.35">
      <c r="J66" s="100"/>
      <c r="N66" s="28"/>
      <c r="O66" s="347"/>
    </row>
    <row r="67" spans="1:29" s="34" customFormat="1" x14ac:dyDescent="0.35">
      <c r="A67" s="84">
        <v>11</v>
      </c>
      <c r="B67" s="524">
        <f>'As-Filed Schedule 3'!B67:C67</f>
        <v>0</v>
      </c>
      <c r="C67" s="525"/>
      <c r="D67" s="365">
        <f>'As-Filed Schedule 3'!D67</f>
        <v>0</v>
      </c>
      <c r="E67" s="365">
        <f>'As-Filed Schedule 3'!E67</f>
        <v>0</v>
      </c>
      <c r="F67" s="364">
        <f>'As-Filed Schedule 3'!F67</f>
        <v>0</v>
      </c>
      <c r="G67" s="363">
        <f>'As-Filed Schedule 3'!G67</f>
        <v>0</v>
      </c>
      <c r="H67" s="363">
        <f>'As-Filed Schedule 3'!H67</f>
        <v>0</v>
      </c>
      <c r="I67" s="139" t="str">
        <f>IF(B67=0,"",IF(AND(G67=0,H67=0),365,IF(AND(G67&gt;0,H67=0),$C$6-G67+1,IF(AND(G67=0,H67&gt;0),H67-($C$6-365),H67-G67+1))))</f>
        <v/>
      </c>
      <c r="J67" s="98"/>
      <c r="K67" s="414">
        <f>SUM(K68:K70)</f>
        <v>0</v>
      </c>
      <c r="L67" s="416">
        <f>SUM(L68:L70)</f>
        <v>0</v>
      </c>
      <c r="M67" s="418">
        <f>SUM(M68:M70)</f>
        <v>0</v>
      </c>
      <c r="N67" s="91" t="str">
        <f>IF(K67&gt;0,K67/(F67*I67),"")</f>
        <v/>
      </c>
      <c r="O67" s="346" t="str">
        <f>IF(M67&gt;0,M67/(F67*I67),"")</f>
        <v/>
      </c>
      <c r="P67" s="126">
        <f>'As-Filed Schedule 3'!M67</f>
        <v>0</v>
      </c>
      <c r="Q67" s="349">
        <f>SUMIFS(Adjustments!$G:$G,Adjustments!$H:$H,"3",Adjustments!$I:$I,'Schedule 3 Adjustments'!$P$13,Adjustments!$J:$J,'As-Filed Schedule 3'!A67)</f>
        <v>0</v>
      </c>
      <c r="R67" s="353">
        <f>SUM(P67:Q67)</f>
        <v>0</v>
      </c>
      <c r="S67" s="85" t="str">
        <f>IFERROR(P67/K67,"")</f>
        <v/>
      </c>
      <c r="T67" s="357" t="str">
        <f>IFERROR(R67/M67,"")</f>
        <v/>
      </c>
      <c r="U67" s="126">
        <f>'As-Filed Schedule 3'!O67</f>
        <v>0</v>
      </c>
      <c r="V67" s="349">
        <f>SUMIFS(Adjustments!$G:$G,Adjustments!$H:$H,"3",Adjustments!$I:$I,'Schedule 3 Adjustments'!$U$13,Adjustments!$J:$J,$A67)</f>
        <v>0</v>
      </c>
      <c r="W67" s="353">
        <f>SUM(U67:V67)</f>
        <v>0</v>
      </c>
      <c r="X67" s="85" t="str">
        <f>IFERROR(U67/K67,"")</f>
        <v/>
      </c>
      <c r="Y67" s="85" t="str">
        <f>IFERROR(W67/M67,"")</f>
        <v/>
      </c>
      <c r="Z67" s="86" t="str">
        <f>IF(P67=0,"",P67-U67)</f>
        <v/>
      </c>
      <c r="AA67" s="359" t="str">
        <f>IF(R67=0,"",R67-W67)</f>
        <v/>
      </c>
      <c r="AB67" s="85" t="str">
        <f>IFERROR(Z67/K67,"")</f>
        <v/>
      </c>
      <c r="AC67" s="357" t="str">
        <f>IFERROR(AA67/M67,"")</f>
        <v/>
      </c>
    </row>
    <row r="68" spans="1:29" x14ac:dyDescent="0.35">
      <c r="A68" s="101" t="s">
        <v>447</v>
      </c>
      <c r="B68" s="87"/>
      <c r="C68" s="87"/>
      <c r="D68" s="87"/>
      <c r="E68" s="87"/>
      <c r="F68" s="132"/>
      <c r="G68" s="135"/>
      <c r="H68" s="135"/>
      <c r="I68" s="104"/>
      <c r="J68" s="369">
        <f>'As-Filed Schedule 3'!J68</f>
        <v>0</v>
      </c>
      <c r="K68" s="415">
        <f>'As-Filed Schedule 3'!K68</f>
        <v>0</v>
      </c>
      <c r="L68" s="417">
        <f>SUMIFS(Adjustments!$G:$G,Adjustments!$H:$H,"3",Adjustments!$I:$I,'Schedule 3 Adjustments'!$K$13,Adjustments!$J:$J,"11a")</f>
        <v>0</v>
      </c>
      <c r="M68" s="419">
        <f>SUM(K68:L68)</f>
        <v>0</v>
      </c>
      <c r="N68" s="89"/>
      <c r="O68" s="354"/>
      <c r="P68" s="87"/>
      <c r="Q68" s="350"/>
      <c r="R68" s="354"/>
      <c r="S68" s="87"/>
      <c r="T68" s="354"/>
      <c r="U68" s="87"/>
      <c r="V68" s="350"/>
      <c r="W68" s="354"/>
      <c r="X68" s="87"/>
      <c r="Y68" s="354"/>
      <c r="Z68" s="87"/>
      <c r="AA68" s="354"/>
      <c r="AB68" s="87"/>
      <c r="AC68" s="354"/>
    </row>
    <row r="69" spans="1:29" x14ac:dyDescent="0.35">
      <c r="A69" s="102" t="s">
        <v>448</v>
      </c>
      <c r="B69" s="88"/>
      <c r="C69" s="88"/>
      <c r="D69" s="88"/>
      <c r="E69" s="88"/>
      <c r="F69" s="133"/>
      <c r="G69" s="136"/>
      <c r="H69" s="136"/>
      <c r="I69" s="105"/>
      <c r="J69" s="369">
        <f>'As-Filed Schedule 3'!J69</f>
        <v>0</v>
      </c>
      <c r="K69" s="415">
        <f>'As-Filed Schedule 3'!K69</f>
        <v>0</v>
      </c>
      <c r="L69" s="417">
        <f>SUMIFS(Adjustments!$G:$G,Adjustments!$H:$H,"3",Adjustments!$I:$I,'Schedule 3 Adjustments'!$K$13,Adjustments!$J:$J,"11b")</f>
        <v>0</v>
      </c>
      <c r="M69" s="419">
        <f>SUM(K69:L69)</f>
        <v>0</v>
      </c>
      <c r="N69" s="90"/>
      <c r="O69" s="355"/>
      <c r="P69" s="88"/>
      <c r="Q69" s="351"/>
      <c r="R69" s="355"/>
      <c r="S69" s="88"/>
      <c r="T69" s="355"/>
      <c r="U69" s="88"/>
      <c r="V69" s="351"/>
      <c r="W69" s="355"/>
      <c r="X69" s="88"/>
      <c r="Y69" s="355"/>
      <c r="Z69" s="88"/>
      <c r="AA69" s="355"/>
      <c r="AB69" s="88"/>
      <c r="AC69" s="355"/>
    </row>
    <row r="70" spans="1:29" x14ac:dyDescent="0.35">
      <c r="A70" s="103" t="s">
        <v>449</v>
      </c>
      <c r="B70" s="88"/>
      <c r="C70" s="88"/>
      <c r="D70" s="88"/>
      <c r="E70" s="88"/>
      <c r="F70" s="133"/>
      <c r="G70" s="136"/>
      <c r="H70" s="136"/>
      <c r="I70" s="105"/>
      <c r="J70" s="369">
        <f>'As-Filed Schedule 3'!J70</f>
        <v>0</v>
      </c>
      <c r="K70" s="415">
        <f>'As-Filed Schedule 3'!K70</f>
        <v>0</v>
      </c>
      <c r="L70" s="417">
        <f>SUMIFS(Adjustments!$G:$G,Adjustments!$H:$H,"3",Adjustments!$I:$I,'Schedule 3 Adjustments'!$K$13,Adjustments!$J:$J,"11c")</f>
        <v>0</v>
      </c>
      <c r="M70" s="419">
        <f>SUM(K70:L70)</f>
        <v>0</v>
      </c>
      <c r="N70" s="90"/>
      <c r="O70" s="355"/>
      <c r="P70" s="88"/>
      <c r="Q70" s="351"/>
      <c r="R70" s="355"/>
      <c r="S70" s="88"/>
      <c r="T70" s="355"/>
      <c r="U70" s="88"/>
      <c r="V70" s="351"/>
      <c r="W70" s="355"/>
      <c r="X70" s="88"/>
      <c r="Y70" s="355"/>
      <c r="Z70" s="88"/>
      <c r="AA70" s="355"/>
      <c r="AB70" s="88"/>
      <c r="AC70" s="355"/>
    </row>
    <row r="71" spans="1:29" x14ac:dyDescent="0.35">
      <c r="J71" s="100"/>
      <c r="N71" s="28"/>
      <c r="O71" s="347"/>
    </row>
    <row r="72" spans="1:29" s="34" customFormat="1" x14ac:dyDescent="0.35">
      <c r="A72" s="84">
        <v>12</v>
      </c>
      <c r="B72" s="524">
        <f>'As-Filed Schedule 3'!B72:C72</f>
        <v>0</v>
      </c>
      <c r="C72" s="525"/>
      <c r="D72" s="365">
        <f>'As-Filed Schedule 3'!D72</f>
        <v>0</v>
      </c>
      <c r="E72" s="365">
        <f>'As-Filed Schedule 3'!E72</f>
        <v>0</v>
      </c>
      <c r="F72" s="364">
        <f>'As-Filed Schedule 3'!F72</f>
        <v>0</v>
      </c>
      <c r="G72" s="363">
        <f>'As-Filed Schedule 3'!G72</f>
        <v>0</v>
      </c>
      <c r="H72" s="363">
        <f>'As-Filed Schedule 3'!H72</f>
        <v>0</v>
      </c>
      <c r="I72" s="139" t="str">
        <f>IF(B72=0,"",IF(AND(G72=0,H72=0),365,IF(AND(G72&gt;0,H72=0),$C$6-G72+1,IF(AND(G72=0,H72&gt;0),H72-($C$6-365),H72-G72+1))))</f>
        <v/>
      </c>
      <c r="J72" s="98"/>
      <c r="K72" s="414">
        <f>SUM(K73:K75)</f>
        <v>0</v>
      </c>
      <c r="L72" s="416">
        <f>SUM(L73:L75)</f>
        <v>0</v>
      </c>
      <c r="M72" s="418">
        <f>SUM(M73:M75)</f>
        <v>0</v>
      </c>
      <c r="N72" s="91" t="str">
        <f>IF(K72&gt;0,K72/(F72*I72),"")</f>
        <v/>
      </c>
      <c r="O72" s="346" t="str">
        <f>IF(M72&gt;0,M72/(F72*I72),"")</f>
        <v/>
      </c>
      <c r="P72" s="126">
        <f>'As-Filed Schedule 3'!M72</f>
        <v>0</v>
      </c>
      <c r="Q72" s="349">
        <f>SUMIFS(Adjustments!$G:$G,Adjustments!$H:$H,"3",Adjustments!$I:$I,'Schedule 3 Adjustments'!$P$13,Adjustments!$J:$J,'As-Filed Schedule 3'!A72)</f>
        <v>0</v>
      </c>
      <c r="R72" s="353">
        <f>SUM(P72:Q72)</f>
        <v>0</v>
      </c>
      <c r="S72" s="85" t="str">
        <f>IFERROR(P72/K72,"")</f>
        <v/>
      </c>
      <c r="T72" s="357" t="str">
        <f>IFERROR(R72/M72,"")</f>
        <v/>
      </c>
      <c r="U72" s="126">
        <f>'As-Filed Schedule 3'!O72</f>
        <v>0</v>
      </c>
      <c r="V72" s="349">
        <f>SUMIFS(Adjustments!$G:$G,Adjustments!$H:$H,"3",Adjustments!$I:$I,'Schedule 3 Adjustments'!$U$13,Adjustments!$J:$J,$A72)</f>
        <v>0</v>
      </c>
      <c r="W72" s="353">
        <f>SUM(U72:V72)</f>
        <v>0</v>
      </c>
      <c r="X72" s="85" t="str">
        <f>IFERROR(U72/K72,"")</f>
        <v/>
      </c>
      <c r="Y72" s="85" t="str">
        <f>IFERROR(W72/M72,"")</f>
        <v/>
      </c>
      <c r="Z72" s="86" t="str">
        <f>IF(P72=0,"",P72-U72)</f>
        <v/>
      </c>
      <c r="AA72" s="359" t="str">
        <f>IF(R72=0,"",R72-W72)</f>
        <v/>
      </c>
      <c r="AB72" s="85" t="str">
        <f>IFERROR(Z72/K72,"")</f>
        <v/>
      </c>
      <c r="AC72" s="357" t="str">
        <f>IFERROR(AA72/M72,"")</f>
        <v/>
      </c>
    </row>
    <row r="73" spans="1:29" x14ac:dyDescent="0.35">
      <c r="A73" s="101" t="s">
        <v>447</v>
      </c>
      <c r="B73" s="87"/>
      <c r="C73" s="87"/>
      <c r="D73" s="87"/>
      <c r="E73" s="87"/>
      <c r="F73" s="132"/>
      <c r="G73" s="135"/>
      <c r="H73" s="135"/>
      <c r="I73" s="104"/>
      <c r="J73" s="369">
        <f>'As-Filed Schedule 3'!J73</f>
        <v>0</v>
      </c>
      <c r="K73" s="415">
        <f>'As-Filed Schedule 3'!K73</f>
        <v>0</v>
      </c>
      <c r="L73" s="417">
        <f>SUMIFS(Adjustments!$G:$G,Adjustments!$H:$H,"3",Adjustments!$I:$I,'Schedule 3 Adjustments'!$K$13,Adjustments!$J:$J,"12a")</f>
        <v>0</v>
      </c>
      <c r="M73" s="419">
        <f>SUM(K73:L73)</f>
        <v>0</v>
      </c>
      <c r="N73" s="89"/>
      <c r="O73" s="354"/>
      <c r="P73" s="87"/>
      <c r="Q73" s="350"/>
      <c r="R73" s="354"/>
      <c r="S73" s="87"/>
      <c r="T73" s="354"/>
      <c r="U73" s="87"/>
      <c r="V73" s="350"/>
      <c r="W73" s="354"/>
      <c r="X73" s="87"/>
      <c r="Y73" s="354"/>
      <c r="Z73" s="87"/>
      <c r="AA73" s="354"/>
      <c r="AB73" s="87"/>
      <c r="AC73" s="354"/>
    </row>
    <row r="74" spans="1:29" x14ac:dyDescent="0.35">
      <c r="A74" s="102" t="s">
        <v>448</v>
      </c>
      <c r="B74" s="88"/>
      <c r="C74" s="88"/>
      <c r="D74" s="88"/>
      <c r="E74" s="88"/>
      <c r="F74" s="133"/>
      <c r="G74" s="136"/>
      <c r="H74" s="136"/>
      <c r="I74" s="105"/>
      <c r="J74" s="369">
        <f>'As-Filed Schedule 3'!J74</f>
        <v>0</v>
      </c>
      <c r="K74" s="415">
        <f>'As-Filed Schedule 3'!K74</f>
        <v>0</v>
      </c>
      <c r="L74" s="417">
        <f>SUMIFS(Adjustments!$G:$G,Adjustments!$H:$H,"3",Adjustments!$I:$I,'Schedule 3 Adjustments'!$K$13,Adjustments!$J:$J,"12b")</f>
        <v>0</v>
      </c>
      <c r="M74" s="419">
        <f>SUM(K74:L74)</f>
        <v>0</v>
      </c>
      <c r="N74" s="90"/>
      <c r="O74" s="355"/>
      <c r="P74" s="88"/>
      <c r="Q74" s="351"/>
      <c r="R74" s="355"/>
      <c r="S74" s="88"/>
      <c r="T74" s="355"/>
      <c r="U74" s="88"/>
      <c r="V74" s="351"/>
      <c r="W74" s="355"/>
      <c r="X74" s="88"/>
      <c r="Y74" s="355"/>
      <c r="Z74" s="88"/>
      <c r="AA74" s="355"/>
      <c r="AB74" s="88"/>
      <c r="AC74" s="355"/>
    </row>
    <row r="75" spans="1:29" x14ac:dyDescent="0.35">
      <c r="A75" s="103" t="s">
        <v>449</v>
      </c>
      <c r="B75" s="88"/>
      <c r="C75" s="88"/>
      <c r="D75" s="88"/>
      <c r="E75" s="88"/>
      <c r="F75" s="133"/>
      <c r="G75" s="136"/>
      <c r="H75" s="136"/>
      <c r="I75" s="105"/>
      <c r="J75" s="369">
        <f>'As-Filed Schedule 3'!J75</f>
        <v>0</v>
      </c>
      <c r="K75" s="415">
        <f>'As-Filed Schedule 3'!K75</f>
        <v>0</v>
      </c>
      <c r="L75" s="417">
        <f>SUMIFS(Adjustments!$G:$G,Adjustments!$H:$H,"3",Adjustments!$I:$I,'Schedule 3 Adjustments'!$K$13,Adjustments!$J:$J,"12c")</f>
        <v>0</v>
      </c>
      <c r="M75" s="419">
        <f>SUM(K75:L75)</f>
        <v>0</v>
      </c>
      <c r="N75" s="90"/>
      <c r="O75" s="355"/>
      <c r="P75" s="88"/>
      <c r="Q75" s="351"/>
      <c r="R75" s="355"/>
      <c r="S75" s="88"/>
      <c r="T75" s="355"/>
      <c r="U75" s="88"/>
      <c r="V75" s="351"/>
      <c r="W75" s="355"/>
      <c r="X75" s="88"/>
      <c r="Y75" s="355"/>
      <c r="Z75" s="88"/>
      <c r="AA75" s="355"/>
      <c r="AB75" s="88"/>
      <c r="AC75" s="355"/>
    </row>
    <row r="76" spans="1:29" x14ac:dyDescent="0.35">
      <c r="J76" s="100"/>
      <c r="N76" s="28"/>
      <c r="O76" s="347"/>
    </row>
    <row r="77" spans="1:29" s="34" customFormat="1" x14ac:dyDescent="0.35">
      <c r="A77" s="84">
        <v>13</v>
      </c>
      <c r="B77" s="524">
        <f>'As-Filed Schedule 3'!B77:C77</f>
        <v>0</v>
      </c>
      <c r="C77" s="525"/>
      <c r="D77" s="365">
        <f>'As-Filed Schedule 3'!D77</f>
        <v>0</v>
      </c>
      <c r="E77" s="365">
        <f>'As-Filed Schedule 3'!E77</f>
        <v>0</v>
      </c>
      <c r="F77" s="364">
        <f>'As-Filed Schedule 3'!F77</f>
        <v>0</v>
      </c>
      <c r="G77" s="363">
        <f>'As-Filed Schedule 3'!G77</f>
        <v>0</v>
      </c>
      <c r="H77" s="363">
        <f>'As-Filed Schedule 3'!H77</f>
        <v>0</v>
      </c>
      <c r="I77" s="139" t="str">
        <f>IF(B77=0,"",IF(AND(G77=0,H77=0),365,IF(AND(G77&gt;0,H77=0),$C$6-G77+1,IF(AND(G77=0,H77&gt;0),H77-($C$6-365),H77-G77+1))))</f>
        <v/>
      </c>
      <c r="J77" s="98"/>
      <c r="K77" s="414">
        <f>SUM(K78:K80)</f>
        <v>0</v>
      </c>
      <c r="L77" s="416">
        <f>SUM(L78:L80)</f>
        <v>0</v>
      </c>
      <c r="M77" s="418">
        <f>SUM(M78:M80)</f>
        <v>0</v>
      </c>
      <c r="N77" s="91" t="str">
        <f>IF(K77&gt;0,K77/(F77*I77),"")</f>
        <v/>
      </c>
      <c r="O77" s="346" t="str">
        <f>IF(M77&gt;0,M77/(F77*I77),"")</f>
        <v/>
      </c>
      <c r="P77" s="126">
        <f>'As-Filed Schedule 3'!M77</f>
        <v>0</v>
      </c>
      <c r="Q77" s="349">
        <f>SUMIFS(Adjustments!$G:$G,Adjustments!$H:$H,"3",Adjustments!$I:$I,'Schedule 3 Adjustments'!$P$13,Adjustments!$J:$J,'As-Filed Schedule 3'!A77)</f>
        <v>0</v>
      </c>
      <c r="R77" s="353">
        <f>SUM(P77:Q77)</f>
        <v>0</v>
      </c>
      <c r="S77" s="85" t="str">
        <f>IFERROR(P77/K77,"")</f>
        <v/>
      </c>
      <c r="T77" s="357" t="str">
        <f>IFERROR(R77/M77,"")</f>
        <v/>
      </c>
      <c r="U77" s="126">
        <f>'As-Filed Schedule 3'!O77</f>
        <v>0</v>
      </c>
      <c r="V77" s="349">
        <f>SUMIFS(Adjustments!$G:$G,Adjustments!$H:$H,"3",Adjustments!$I:$I,'Schedule 3 Adjustments'!$U$13,Adjustments!$J:$J,$A77)</f>
        <v>0</v>
      </c>
      <c r="W77" s="353">
        <f>SUM(U77:V77)</f>
        <v>0</v>
      </c>
      <c r="X77" s="85" t="str">
        <f>IFERROR(U77/K77,"")</f>
        <v/>
      </c>
      <c r="Y77" s="85" t="str">
        <f>IFERROR(W77/M77,"")</f>
        <v/>
      </c>
      <c r="Z77" s="86" t="str">
        <f>IF(P77=0,"",P77-U77)</f>
        <v/>
      </c>
      <c r="AA77" s="359" t="str">
        <f>IF(R77=0,"",R77-W77)</f>
        <v/>
      </c>
      <c r="AB77" s="85" t="str">
        <f>IFERROR(Z77/K77,"")</f>
        <v/>
      </c>
      <c r="AC77" s="357" t="str">
        <f>IFERROR(AA77/M77,"")</f>
        <v/>
      </c>
    </row>
    <row r="78" spans="1:29" x14ac:dyDescent="0.35">
      <c r="A78" s="101" t="s">
        <v>447</v>
      </c>
      <c r="B78" s="87"/>
      <c r="C78" s="87"/>
      <c r="D78" s="87"/>
      <c r="E78" s="87"/>
      <c r="F78" s="132"/>
      <c r="G78" s="135"/>
      <c r="H78" s="135"/>
      <c r="I78" s="104"/>
      <c r="J78" s="369">
        <f>'As-Filed Schedule 3'!J78</f>
        <v>0</v>
      </c>
      <c r="K78" s="415">
        <f>'As-Filed Schedule 3'!K78</f>
        <v>0</v>
      </c>
      <c r="L78" s="417">
        <f>SUMIFS(Adjustments!$G:$G,Adjustments!$H:$H,"3",Adjustments!$I:$I,'Schedule 3 Adjustments'!$K$13,Adjustments!$J:$J,"13a")</f>
        <v>0</v>
      </c>
      <c r="M78" s="419">
        <f>SUM(K78:L78)</f>
        <v>0</v>
      </c>
      <c r="N78" s="89"/>
      <c r="O78" s="354"/>
      <c r="P78" s="87"/>
      <c r="Q78" s="350"/>
      <c r="R78" s="354"/>
      <c r="S78" s="87"/>
      <c r="T78" s="354"/>
      <c r="U78" s="87"/>
      <c r="V78" s="350"/>
      <c r="W78" s="354"/>
      <c r="X78" s="87"/>
      <c r="Y78" s="354"/>
      <c r="Z78" s="87"/>
      <c r="AA78" s="354"/>
      <c r="AB78" s="87"/>
      <c r="AC78" s="354"/>
    </row>
    <row r="79" spans="1:29" x14ac:dyDescent="0.35">
      <c r="A79" s="102" t="s">
        <v>448</v>
      </c>
      <c r="B79" s="88"/>
      <c r="C79" s="88"/>
      <c r="D79" s="88"/>
      <c r="E79" s="88"/>
      <c r="F79" s="133"/>
      <c r="G79" s="136"/>
      <c r="H79" s="136"/>
      <c r="I79" s="105"/>
      <c r="J79" s="369">
        <f>'As-Filed Schedule 3'!J79</f>
        <v>0</v>
      </c>
      <c r="K79" s="415">
        <f>'As-Filed Schedule 3'!K79</f>
        <v>0</v>
      </c>
      <c r="L79" s="417">
        <f>SUMIFS(Adjustments!$G:$G,Adjustments!$H:$H,"3",Adjustments!$I:$I,'Schedule 3 Adjustments'!$K$13,Adjustments!$J:$J,"13b")</f>
        <v>0</v>
      </c>
      <c r="M79" s="419">
        <f>SUM(K79:L79)</f>
        <v>0</v>
      </c>
      <c r="N79" s="90"/>
      <c r="O79" s="355"/>
      <c r="P79" s="88"/>
      <c r="Q79" s="351"/>
      <c r="R79" s="355"/>
      <c r="S79" s="88"/>
      <c r="T79" s="355"/>
      <c r="U79" s="88"/>
      <c r="V79" s="351"/>
      <c r="W79" s="355"/>
      <c r="X79" s="88"/>
      <c r="Y79" s="355"/>
      <c r="Z79" s="88"/>
      <c r="AA79" s="355"/>
      <c r="AB79" s="88"/>
      <c r="AC79" s="355"/>
    </row>
    <row r="80" spans="1:29" x14ac:dyDescent="0.35">
      <c r="A80" s="103" t="s">
        <v>449</v>
      </c>
      <c r="B80" s="88"/>
      <c r="C80" s="88"/>
      <c r="D80" s="88"/>
      <c r="E80" s="88"/>
      <c r="F80" s="133"/>
      <c r="G80" s="136"/>
      <c r="H80" s="136"/>
      <c r="I80" s="105"/>
      <c r="J80" s="369">
        <f>'As-Filed Schedule 3'!J80</f>
        <v>0</v>
      </c>
      <c r="K80" s="415">
        <f>'As-Filed Schedule 3'!K80</f>
        <v>0</v>
      </c>
      <c r="L80" s="417">
        <f>SUMIFS(Adjustments!$G:$G,Adjustments!$H:$H,"3",Adjustments!$I:$I,'Schedule 3 Adjustments'!$K$13,Adjustments!$J:$J,"13c")</f>
        <v>0</v>
      </c>
      <c r="M80" s="419">
        <f>SUM(K80:L80)</f>
        <v>0</v>
      </c>
      <c r="N80" s="90"/>
      <c r="O80" s="355"/>
      <c r="P80" s="88"/>
      <c r="Q80" s="351"/>
      <c r="R80" s="355"/>
      <c r="S80" s="88"/>
      <c r="T80" s="355"/>
      <c r="U80" s="88"/>
      <c r="V80" s="351"/>
      <c r="W80" s="355"/>
      <c r="X80" s="88"/>
      <c r="Y80" s="355"/>
      <c r="Z80" s="88"/>
      <c r="AA80" s="355"/>
      <c r="AB80" s="88"/>
      <c r="AC80" s="355"/>
    </row>
    <row r="81" spans="1:29" x14ac:dyDescent="0.35">
      <c r="J81" s="100"/>
      <c r="N81" s="28"/>
      <c r="O81" s="347"/>
    </row>
    <row r="82" spans="1:29" s="34" customFormat="1" x14ac:dyDescent="0.35">
      <c r="A82" s="84">
        <v>14</v>
      </c>
      <c r="B82" s="524">
        <f>'As-Filed Schedule 3'!B82:C82</f>
        <v>0</v>
      </c>
      <c r="C82" s="525"/>
      <c r="D82" s="365">
        <f>'As-Filed Schedule 3'!D82</f>
        <v>0</v>
      </c>
      <c r="E82" s="365">
        <f>'As-Filed Schedule 3'!E82</f>
        <v>0</v>
      </c>
      <c r="F82" s="364">
        <f>'As-Filed Schedule 3'!F82</f>
        <v>0</v>
      </c>
      <c r="G82" s="363">
        <f>'As-Filed Schedule 3'!G82</f>
        <v>0</v>
      </c>
      <c r="H82" s="363">
        <f>'As-Filed Schedule 3'!H82</f>
        <v>0</v>
      </c>
      <c r="I82" s="139" t="str">
        <f>IF(B82=0,"",IF(AND(G82=0,H82=0),365,IF(AND(G82&gt;0,H82=0),$C$6-G82+1,IF(AND(G82=0,H82&gt;0),H82-($C$6-365),H82-G82+1))))</f>
        <v/>
      </c>
      <c r="J82" s="98"/>
      <c r="K82" s="414">
        <f>SUM(K83:K85)</f>
        <v>0</v>
      </c>
      <c r="L82" s="416">
        <f>SUM(L83:L85)</f>
        <v>0</v>
      </c>
      <c r="M82" s="418">
        <f>SUM(M83:M85)</f>
        <v>0</v>
      </c>
      <c r="N82" s="91" t="str">
        <f>IF(K82&gt;0,K82/(F82*I82),"")</f>
        <v/>
      </c>
      <c r="O82" s="346" t="str">
        <f>IF(M82&gt;0,M82/(F82*I82),"")</f>
        <v/>
      </c>
      <c r="P82" s="126">
        <f>'As-Filed Schedule 3'!M82</f>
        <v>0</v>
      </c>
      <c r="Q82" s="349">
        <f>SUMIFS(Adjustments!$G:$G,Adjustments!$H:$H,"3",Adjustments!$I:$I,'Schedule 3 Adjustments'!$P$13,Adjustments!$J:$J,'As-Filed Schedule 3'!A82)</f>
        <v>0</v>
      </c>
      <c r="R82" s="353">
        <f>SUM(P82:Q82)</f>
        <v>0</v>
      </c>
      <c r="S82" s="85" t="str">
        <f>IFERROR(P82/K82,"")</f>
        <v/>
      </c>
      <c r="T82" s="357" t="str">
        <f>IFERROR(R82/M82,"")</f>
        <v/>
      </c>
      <c r="U82" s="126">
        <f>'As-Filed Schedule 3'!O82</f>
        <v>0</v>
      </c>
      <c r="V82" s="349">
        <f>SUMIFS(Adjustments!$G:$G,Adjustments!$H:$H,"3",Adjustments!$I:$I,'Schedule 3 Adjustments'!$U$13,Adjustments!$J:$J,$A82)</f>
        <v>0</v>
      </c>
      <c r="W82" s="353">
        <f>SUM(U82:V82)</f>
        <v>0</v>
      </c>
      <c r="X82" s="85" t="str">
        <f>IFERROR(U82/K82,"")</f>
        <v/>
      </c>
      <c r="Y82" s="85" t="str">
        <f>IFERROR(W82/M82,"")</f>
        <v/>
      </c>
      <c r="Z82" s="86" t="str">
        <f>IF(P82=0,"",P82-U82)</f>
        <v/>
      </c>
      <c r="AA82" s="359" t="str">
        <f>IF(R82=0,"",R82-W82)</f>
        <v/>
      </c>
      <c r="AB82" s="85" t="str">
        <f>IFERROR(Z82/K82,"")</f>
        <v/>
      </c>
      <c r="AC82" s="357" t="str">
        <f>IFERROR(AA82/M82,"")</f>
        <v/>
      </c>
    </row>
    <row r="83" spans="1:29" x14ac:dyDescent="0.35">
      <c r="A83" s="101" t="s">
        <v>447</v>
      </c>
      <c r="B83" s="87"/>
      <c r="C83" s="87"/>
      <c r="D83" s="87"/>
      <c r="E83" s="87"/>
      <c r="F83" s="132"/>
      <c r="G83" s="135"/>
      <c r="H83" s="135"/>
      <c r="I83" s="104"/>
      <c r="J83" s="369">
        <f>'As-Filed Schedule 3'!J83</f>
        <v>0</v>
      </c>
      <c r="K83" s="415">
        <f>'As-Filed Schedule 3'!K83</f>
        <v>0</v>
      </c>
      <c r="L83" s="417">
        <f>SUMIFS(Adjustments!$G:$G,Adjustments!$H:$H,"3",Adjustments!$I:$I,'Schedule 3 Adjustments'!$K$13,Adjustments!$J:$J,"14a")</f>
        <v>0</v>
      </c>
      <c r="M83" s="419">
        <f>SUM(K83:L83)</f>
        <v>0</v>
      </c>
      <c r="N83" s="89"/>
      <c r="O83" s="354"/>
      <c r="P83" s="87"/>
      <c r="Q83" s="350"/>
      <c r="R83" s="354"/>
      <c r="S83" s="87"/>
      <c r="T83" s="354"/>
      <c r="U83" s="87"/>
      <c r="V83" s="350"/>
      <c r="W83" s="354"/>
      <c r="X83" s="87"/>
      <c r="Y83" s="354"/>
      <c r="Z83" s="87"/>
      <c r="AA83" s="354"/>
      <c r="AB83" s="87"/>
      <c r="AC83" s="354"/>
    </row>
    <row r="84" spans="1:29" x14ac:dyDescent="0.35">
      <c r="A84" s="102" t="s">
        <v>448</v>
      </c>
      <c r="B84" s="88"/>
      <c r="C84" s="88"/>
      <c r="D84" s="88"/>
      <c r="E84" s="88"/>
      <c r="F84" s="133"/>
      <c r="G84" s="136"/>
      <c r="H84" s="136"/>
      <c r="I84" s="105"/>
      <c r="J84" s="369">
        <f>'As-Filed Schedule 3'!J84</f>
        <v>0</v>
      </c>
      <c r="K84" s="415">
        <f>'As-Filed Schedule 3'!K84</f>
        <v>0</v>
      </c>
      <c r="L84" s="417">
        <f>SUMIFS(Adjustments!$G:$G,Adjustments!$H:$H,"3",Adjustments!$I:$I,'Schedule 3 Adjustments'!$K$13,Adjustments!$J:$J,"14b")</f>
        <v>0</v>
      </c>
      <c r="M84" s="419">
        <f>SUM(K84:L84)</f>
        <v>0</v>
      </c>
      <c r="N84" s="90"/>
      <c r="O84" s="355"/>
      <c r="P84" s="88"/>
      <c r="Q84" s="351"/>
      <c r="R84" s="355"/>
      <c r="S84" s="88"/>
      <c r="T84" s="355"/>
      <c r="U84" s="88"/>
      <c r="V84" s="351"/>
      <c r="W84" s="355"/>
      <c r="X84" s="88"/>
      <c r="Y84" s="355"/>
      <c r="Z84" s="88"/>
      <c r="AA84" s="355"/>
      <c r="AB84" s="88"/>
      <c r="AC84" s="355"/>
    </row>
    <row r="85" spans="1:29" x14ac:dyDescent="0.35">
      <c r="A85" s="103" t="s">
        <v>449</v>
      </c>
      <c r="B85" s="88"/>
      <c r="C85" s="88"/>
      <c r="D85" s="88"/>
      <c r="E85" s="88"/>
      <c r="F85" s="133"/>
      <c r="G85" s="136"/>
      <c r="H85" s="136"/>
      <c r="I85" s="105"/>
      <c r="J85" s="369">
        <f>'As-Filed Schedule 3'!J85</f>
        <v>0</v>
      </c>
      <c r="K85" s="415">
        <f>'As-Filed Schedule 3'!K85</f>
        <v>0</v>
      </c>
      <c r="L85" s="417">
        <f>SUMIFS(Adjustments!$G:$G,Adjustments!$H:$H,"3",Adjustments!$I:$I,'Schedule 3 Adjustments'!$K$13,Adjustments!$J:$J,"14c")</f>
        <v>0</v>
      </c>
      <c r="M85" s="419">
        <f>SUM(K85:L85)</f>
        <v>0</v>
      </c>
      <c r="N85" s="90"/>
      <c r="O85" s="355"/>
      <c r="P85" s="88"/>
      <c r="Q85" s="351"/>
      <c r="R85" s="355"/>
      <c r="S85" s="88"/>
      <c r="T85" s="355"/>
      <c r="U85" s="88"/>
      <c r="V85" s="351"/>
      <c r="W85" s="355"/>
      <c r="X85" s="88"/>
      <c r="Y85" s="355"/>
      <c r="Z85" s="88"/>
      <c r="AA85" s="355"/>
      <c r="AB85" s="88"/>
      <c r="AC85" s="355"/>
    </row>
    <row r="86" spans="1:29" x14ac:dyDescent="0.35">
      <c r="J86" s="100"/>
      <c r="N86" s="28"/>
      <c r="O86" s="347"/>
    </row>
    <row r="87" spans="1:29" s="34" customFormat="1" x14ac:dyDescent="0.35">
      <c r="A87" s="84">
        <v>15</v>
      </c>
      <c r="B87" s="524">
        <f>'As-Filed Schedule 3'!B87:C87</f>
        <v>0</v>
      </c>
      <c r="C87" s="525"/>
      <c r="D87" s="365">
        <f>'As-Filed Schedule 3'!D87</f>
        <v>0</v>
      </c>
      <c r="E87" s="365">
        <f>'As-Filed Schedule 3'!E87</f>
        <v>0</v>
      </c>
      <c r="F87" s="364">
        <f>'As-Filed Schedule 3'!F87</f>
        <v>0</v>
      </c>
      <c r="G87" s="363">
        <f>'As-Filed Schedule 3'!G87</f>
        <v>0</v>
      </c>
      <c r="H87" s="363">
        <f>'As-Filed Schedule 3'!H87</f>
        <v>0</v>
      </c>
      <c r="I87" s="139" t="str">
        <f>IF(B87=0,"",IF(AND(G87=0,H87=0),365,IF(AND(G87&gt;0,H87=0),$C$6-G87+1,IF(AND(G87=0,H87&gt;0),H87-($C$6-365),H87-G87+1))))</f>
        <v/>
      </c>
      <c r="J87" s="98"/>
      <c r="K87" s="414">
        <f>SUM(K88:K90)</f>
        <v>0</v>
      </c>
      <c r="L87" s="416">
        <f>SUM(L88:L90)</f>
        <v>0</v>
      </c>
      <c r="M87" s="418">
        <f>SUM(M88:M90)</f>
        <v>0</v>
      </c>
      <c r="N87" s="91" t="str">
        <f>IF(K87&gt;0,K87/(F87*I87),"")</f>
        <v/>
      </c>
      <c r="O87" s="346" t="str">
        <f>IF(M87&gt;0,M87/(F87*I87),"")</f>
        <v/>
      </c>
      <c r="P87" s="126">
        <f>'As-Filed Schedule 3'!M87</f>
        <v>0</v>
      </c>
      <c r="Q87" s="349">
        <f>SUMIFS(Adjustments!$G:$G,Adjustments!$H:$H,"3",Adjustments!$I:$I,'Schedule 3 Adjustments'!$P$13,Adjustments!$J:$J,'As-Filed Schedule 3'!A87)</f>
        <v>0</v>
      </c>
      <c r="R87" s="353">
        <f>SUM(P87:Q87)</f>
        <v>0</v>
      </c>
      <c r="S87" s="85" t="str">
        <f>IFERROR(P87/K87,"")</f>
        <v/>
      </c>
      <c r="T87" s="357" t="str">
        <f>IFERROR(R87/M87,"")</f>
        <v/>
      </c>
      <c r="U87" s="126">
        <f>'As-Filed Schedule 3'!O87</f>
        <v>0</v>
      </c>
      <c r="V87" s="349">
        <f>SUMIFS(Adjustments!$G:$G,Adjustments!$H:$H,"3",Adjustments!$I:$I,'Schedule 3 Adjustments'!$U$13,Adjustments!$J:$J,$A87)</f>
        <v>0</v>
      </c>
      <c r="W87" s="353">
        <f>SUM(U87:V87)</f>
        <v>0</v>
      </c>
      <c r="X87" s="85" t="str">
        <f>IFERROR(U87/K87,"")</f>
        <v/>
      </c>
      <c r="Y87" s="85" t="str">
        <f>IFERROR(W87/M87,"")</f>
        <v/>
      </c>
      <c r="Z87" s="86" t="str">
        <f>IF(P87=0,"",P87-U87)</f>
        <v/>
      </c>
      <c r="AA87" s="359" t="str">
        <f>IF(R87=0,"",R87-W87)</f>
        <v/>
      </c>
      <c r="AB87" s="85" t="str">
        <f>IFERROR(Z87/K87,"")</f>
        <v/>
      </c>
      <c r="AC87" s="357" t="str">
        <f>IFERROR(AA87/M87,"")</f>
        <v/>
      </c>
    </row>
    <row r="88" spans="1:29" x14ac:dyDescent="0.35">
      <c r="A88" s="101" t="s">
        <v>447</v>
      </c>
      <c r="B88" s="87"/>
      <c r="C88" s="87"/>
      <c r="D88" s="87"/>
      <c r="E88" s="87"/>
      <c r="F88" s="132"/>
      <c r="G88" s="135"/>
      <c r="H88" s="135"/>
      <c r="I88" s="104"/>
      <c r="J88" s="369">
        <f>'As-Filed Schedule 3'!J88</f>
        <v>0</v>
      </c>
      <c r="K88" s="415">
        <f>'As-Filed Schedule 3'!K88</f>
        <v>0</v>
      </c>
      <c r="L88" s="417">
        <f>SUMIFS(Adjustments!$G:$G,Adjustments!$H:$H,"3",Adjustments!$I:$I,'Schedule 3 Adjustments'!$K$13,Adjustments!$J:$J,"15a")</f>
        <v>0</v>
      </c>
      <c r="M88" s="419">
        <f>SUM(K88:L88)</f>
        <v>0</v>
      </c>
      <c r="N88" s="89"/>
      <c r="O88" s="354"/>
      <c r="P88" s="87"/>
      <c r="Q88" s="350"/>
      <c r="R88" s="354"/>
      <c r="S88" s="87"/>
      <c r="T88" s="354"/>
      <c r="U88" s="87"/>
      <c r="V88" s="350"/>
      <c r="W88" s="354"/>
      <c r="X88" s="87"/>
      <c r="Y88" s="354"/>
      <c r="Z88" s="87"/>
      <c r="AA88" s="354"/>
      <c r="AB88" s="87"/>
      <c r="AC88" s="354"/>
    </row>
    <row r="89" spans="1:29" x14ac:dyDescent="0.35">
      <c r="A89" s="102" t="s">
        <v>448</v>
      </c>
      <c r="B89" s="88"/>
      <c r="C89" s="88"/>
      <c r="D89" s="88"/>
      <c r="E89" s="88"/>
      <c r="F89" s="133"/>
      <c r="G89" s="136"/>
      <c r="H89" s="136"/>
      <c r="I89" s="105"/>
      <c r="J89" s="369">
        <f>'As-Filed Schedule 3'!J89</f>
        <v>0</v>
      </c>
      <c r="K89" s="415">
        <f>'As-Filed Schedule 3'!K89</f>
        <v>0</v>
      </c>
      <c r="L89" s="417">
        <f>SUMIFS(Adjustments!$G:$G,Adjustments!$H:$H,"3",Adjustments!$I:$I,'Schedule 3 Adjustments'!$K$13,Adjustments!$J:$J,"15b")</f>
        <v>0</v>
      </c>
      <c r="M89" s="419">
        <f>SUM(K89:L89)</f>
        <v>0</v>
      </c>
      <c r="N89" s="90"/>
      <c r="O89" s="355"/>
      <c r="P89" s="88"/>
      <c r="Q89" s="351"/>
      <c r="R89" s="355"/>
      <c r="S89" s="88"/>
      <c r="T89" s="355"/>
      <c r="U89" s="88"/>
      <c r="V89" s="351"/>
      <c r="W89" s="355"/>
      <c r="X89" s="88"/>
      <c r="Y89" s="355"/>
      <c r="Z89" s="88"/>
      <c r="AA89" s="355"/>
      <c r="AB89" s="88"/>
      <c r="AC89" s="355"/>
    </row>
    <row r="90" spans="1:29" x14ac:dyDescent="0.35">
      <c r="A90" s="103" t="s">
        <v>449</v>
      </c>
      <c r="B90" s="88"/>
      <c r="C90" s="88"/>
      <c r="D90" s="88"/>
      <c r="E90" s="88"/>
      <c r="F90" s="133"/>
      <c r="G90" s="136"/>
      <c r="H90" s="136"/>
      <c r="I90" s="105"/>
      <c r="J90" s="369">
        <f>'As-Filed Schedule 3'!J90</f>
        <v>0</v>
      </c>
      <c r="K90" s="415">
        <f>'As-Filed Schedule 3'!K90</f>
        <v>0</v>
      </c>
      <c r="L90" s="417">
        <f>SUMIFS(Adjustments!$G:$G,Adjustments!$H:$H,"3",Adjustments!$I:$I,'Schedule 3 Adjustments'!$K$13,Adjustments!$J:$J,"15c")</f>
        <v>0</v>
      </c>
      <c r="M90" s="419">
        <f>SUM(K90:L90)</f>
        <v>0</v>
      </c>
      <c r="N90" s="90"/>
      <c r="O90" s="355"/>
      <c r="P90" s="88"/>
      <c r="Q90" s="351"/>
      <c r="R90" s="355"/>
      <c r="S90" s="88"/>
      <c r="T90" s="355"/>
      <c r="U90" s="88"/>
      <c r="V90" s="351"/>
      <c r="W90" s="355"/>
      <c r="X90" s="88"/>
      <c r="Y90" s="355"/>
      <c r="Z90" s="88"/>
      <c r="AA90" s="355"/>
      <c r="AB90" s="88"/>
      <c r="AC90" s="355"/>
    </row>
    <row r="91" spans="1:29" x14ac:dyDescent="0.35">
      <c r="J91" s="100"/>
      <c r="N91" s="28"/>
      <c r="O91" s="347"/>
    </row>
    <row r="92" spans="1:29" s="34" customFormat="1" x14ac:dyDescent="0.35">
      <c r="A92" s="84">
        <v>16</v>
      </c>
      <c r="B92" s="524">
        <f>'As-Filed Schedule 3'!B92:C92</f>
        <v>0</v>
      </c>
      <c r="C92" s="525"/>
      <c r="D92" s="365">
        <f>'As-Filed Schedule 3'!D92</f>
        <v>0</v>
      </c>
      <c r="E92" s="365">
        <f>'As-Filed Schedule 3'!E92</f>
        <v>0</v>
      </c>
      <c r="F92" s="364">
        <f>'As-Filed Schedule 3'!F92</f>
        <v>0</v>
      </c>
      <c r="G92" s="363">
        <f>'As-Filed Schedule 3'!G92</f>
        <v>0</v>
      </c>
      <c r="H92" s="363">
        <f>'As-Filed Schedule 3'!H92</f>
        <v>0</v>
      </c>
      <c r="I92" s="139" t="str">
        <f>IF(B92=0,"",IF(AND(G92=0,H92=0),365,IF(AND(G92&gt;0,H92=0),$C$6-G92+1,IF(AND(G92=0,H92&gt;0),H92-($C$6-365),H92-G92+1))))</f>
        <v/>
      </c>
      <c r="J92" s="98"/>
      <c r="K92" s="414">
        <f>SUM(K93:K95)</f>
        <v>0</v>
      </c>
      <c r="L92" s="416">
        <f>SUM(L93:L95)</f>
        <v>0</v>
      </c>
      <c r="M92" s="418">
        <f>SUM(M93:M95)</f>
        <v>0</v>
      </c>
      <c r="N92" s="91" t="str">
        <f>IF(K92&gt;0,K92/(F92*I92),"")</f>
        <v/>
      </c>
      <c r="O92" s="346" t="str">
        <f>IF(M92&gt;0,M92/(F92*I92),"")</f>
        <v/>
      </c>
      <c r="P92" s="126">
        <f>'As-Filed Schedule 3'!M92</f>
        <v>0</v>
      </c>
      <c r="Q92" s="349">
        <f>SUMIFS(Adjustments!$G:$G,Adjustments!$H:$H,"3",Adjustments!$I:$I,'Schedule 3 Adjustments'!$P$13,Adjustments!$J:$J,'As-Filed Schedule 3'!A92)</f>
        <v>0</v>
      </c>
      <c r="R92" s="353">
        <f>SUM(P92:Q92)</f>
        <v>0</v>
      </c>
      <c r="S92" s="85" t="str">
        <f>IFERROR(P92/K92,"")</f>
        <v/>
      </c>
      <c r="T92" s="357" t="str">
        <f>IFERROR(R92/M92,"")</f>
        <v/>
      </c>
      <c r="U92" s="126">
        <f>'As-Filed Schedule 3'!O92</f>
        <v>0</v>
      </c>
      <c r="V92" s="349">
        <f>SUMIFS(Adjustments!$G:$G,Adjustments!$H:$H,"3",Adjustments!$I:$I,'Schedule 3 Adjustments'!$U$13,Adjustments!$J:$J,$A92)</f>
        <v>0</v>
      </c>
      <c r="W92" s="353">
        <f>SUM(U92:V92)</f>
        <v>0</v>
      </c>
      <c r="X92" s="85" t="str">
        <f>IFERROR(U92/K92,"")</f>
        <v/>
      </c>
      <c r="Y92" s="85" t="str">
        <f>IFERROR(W92/M92,"")</f>
        <v/>
      </c>
      <c r="Z92" s="86" t="str">
        <f>IF(P92=0,"",P92-U92)</f>
        <v/>
      </c>
      <c r="AA92" s="359" t="str">
        <f>IF(R92=0,"",R92-W92)</f>
        <v/>
      </c>
      <c r="AB92" s="85" t="str">
        <f>IFERROR(Z92/K92,"")</f>
        <v/>
      </c>
      <c r="AC92" s="357" t="str">
        <f>IFERROR(AA92/M92,"")</f>
        <v/>
      </c>
    </row>
    <row r="93" spans="1:29" x14ac:dyDescent="0.35">
      <c r="A93" s="101" t="s">
        <v>447</v>
      </c>
      <c r="B93" s="87"/>
      <c r="C93" s="87"/>
      <c r="D93" s="87"/>
      <c r="E93" s="87"/>
      <c r="F93" s="132"/>
      <c r="G93" s="135"/>
      <c r="H93" s="135"/>
      <c r="I93" s="104"/>
      <c r="J93" s="369">
        <f>'As-Filed Schedule 3'!J93</f>
        <v>0</v>
      </c>
      <c r="K93" s="415">
        <f>'As-Filed Schedule 3'!K93</f>
        <v>0</v>
      </c>
      <c r="L93" s="417">
        <f>SUMIFS(Adjustments!$G:$G,Adjustments!$H:$H,"3",Adjustments!$I:$I,'Schedule 3 Adjustments'!$K$13,Adjustments!$J:$J,"16a")</f>
        <v>0</v>
      </c>
      <c r="M93" s="419">
        <f>SUM(K93:L93)</f>
        <v>0</v>
      </c>
      <c r="N93" s="89"/>
      <c r="O93" s="354"/>
      <c r="P93" s="87"/>
      <c r="Q93" s="350"/>
      <c r="R93" s="354"/>
      <c r="S93" s="87"/>
      <c r="T93" s="354"/>
      <c r="U93" s="87"/>
      <c r="V93" s="350"/>
      <c r="W93" s="354"/>
      <c r="X93" s="87"/>
      <c r="Y93" s="354"/>
      <c r="Z93" s="87"/>
      <c r="AA93" s="354"/>
      <c r="AB93" s="87"/>
      <c r="AC93" s="354"/>
    </row>
    <row r="94" spans="1:29" x14ac:dyDescent="0.35">
      <c r="A94" s="102" t="s">
        <v>448</v>
      </c>
      <c r="B94" s="88"/>
      <c r="C94" s="88"/>
      <c r="D94" s="88"/>
      <c r="E94" s="88"/>
      <c r="F94" s="133"/>
      <c r="G94" s="136"/>
      <c r="H94" s="136"/>
      <c r="I94" s="105"/>
      <c r="J94" s="369">
        <f>'As-Filed Schedule 3'!J94</f>
        <v>0</v>
      </c>
      <c r="K94" s="415">
        <f>'As-Filed Schedule 3'!K94</f>
        <v>0</v>
      </c>
      <c r="L94" s="417">
        <f>SUMIFS(Adjustments!$G:$G,Adjustments!$H:$H,"3",Adjustments!$I:$I,'Schedule 3 Adjustments'!$K$13,Adjustments!$J:$J,"16b")</f>
        <v>0</v>
      </c>
      <c r="M94" s="419">
        <f>SUM(K94:L94)</f>
        <v>0</v>
      </c>
      <c r="N94" s="90"/>
      <c r="O94" s="355"/>
      <c r="P94" s="88"/>
      <c r="Q94" s="351"/>
      <c r="R94" s="355"/>
      <c r="S94" s="88"/>
      <c r="T94" s="355"/>
      <c r="U94" s="88"/>
      <c r="V94" s="351"/>
      <c r="W94" s="355"/>
      <c r="X94" s="88"/>
      <c r="Y94" s="355"/>
      <c r="Z94" s="88"/>
      <c r="AA94" s="355"/>
      <c r="AB94" s="88"/>
      <c r="AC94" s="355"/>
    </row>
    <row r="95" spans="1:29" x14ac:dyDescent="0.35">
      <c r="A95" s="103" t="s">
        <v>449</v>
      </c>
      <c r="B95" s="88"/>
      <c r="C95" s="88"/>
      <c r="D95" s="88"/>
      <c r="E95" s="88"/>
      <c r="F95" s="133"/>
      <c r="G95" s="136"/>
      <c r="H95" s="136"/>
      <c r="I95" s="105"/>
      <c r="J95" s="369">
        <f>'As-Filed Schedule 3'!J95</f>
        <v>0</v>
      </c>
      <c r="K95" s="415">
        <f>'As-Filed Schedule 3'!K95</f>
        <v>0</v>
      </c>
      <c r="L95" s="417">
        <f>SUMIFS(Adjustments!$G:$G,Adjustments!$H:$H,"3",Adjustments!$I:$I,'Schedule 3 Adjustments'!$K$13,Adjustments!$J:$J,"16c")</f>
        <v>0</v>
      </c>
      <c r="M95" s="419">
        <f>SUM(K95:L95)</f>
        <v>0</v>
      </c>
      <c r="N95" s="90"/>
      <c r="O95" s="355"/>
      <c r="P95" s="88"/>
      <c r="Q95" s="351"/>
      <c r="R95" s="355"/>
      <c r="S95" s="88"/>
      <c r="T95" s="355"/>
      <c r="U95" s="88"/>
      <c r="V95" s="351"/>
      <c r="W95" s="355"/>
      <c r="X95" s="88"/>
      <c r="Y95" s="355"/>
      <c r="Z95" s="88"/>
      <c r="AA95" s="355"/>
      <c r="AB95" s="88"/>
      <c r="AC95" s="355"/>
    </row>
    <row r="96" spans="1:29" x14ac:dyDescent="0.35">
      <c r="J96" s="100"/>
      <c r="N96" s="28"/>
      <c r="O96" s="347"/>
    </row>
    <row r="97" spans="1:29" s="34" customFormat="1" x14ac:dyDescent="0.35">
      <c r="A97" s="84">
        <v>17</v>
      </c>
      <c r="B97" s="524">
        <f>'As-Filed Schedule 3'!B97:C97</f>
        <v>0</v>
      </c>
      <c r="C97" s="525"/>
      <c r="D97" s="365">
        <f>'As-Filed Schedule 3'!D97</f>
        <v>0</v>
      </c>
      <c r="E97" s="365">
        <f>'As-Filed Schedule 3'!E97</f>
        <v>0</v>
      </c>
      <c r="F97" s="364">
        <f>'As-Filed Schedule 3'!F97</f>
        <v>0</v>
      </c>
      <c r="G97" s="363">
        <f>'As-Filed Schedule 3'!G97</f>
        <v>0</v>
      </c>
      <c r="H97" s="363">
        <f>'As-Filed Schedule 3'!H97</f>
        <v>0</v>
      </c>
      <c r="I97" s="139" t="str">
        <f>IF(B97=0,"",IF(AND(G97=0,H97=0),365,IF(AND(G97&gt;0,H97=0),$C$6-G97+1,IF(AND(G97=0,H97&gt;0),H97-($C$6-365),H97-G97+1))))</f>
        <v/>
      </c>
      <c r="J97" s="98"/>
      <c r="K97" s="414">
        <f>SUM(K98:K100)</f>
        <v>0</v>
      </c>
      <c r="L97" s="416">
        <f>SUM(L98:L100)</f>
        <v>0</v>
      </c>
      <c r="M97" s="418">
        <f>SUM(M98:M100)</f>
        <v>0</v>
      </c>
      <c r="N97" s="91" t="str">
        <f>IF(K97&gt;0,K97/(F97*I97),"")</f>
        <v/>
      </c>
      <c r="O97" s="346" t="str">
        <f>IF(M97&gt;0,M97/(F97*I97),"")</f>
        <v/>
      </c>
      <c r="P97" s="126">
        <f>'As-Filed Schedule 3'!M97</f>
        <v>0</v>
      </c>
      <c r="Q97" s="349">
        <f>SUMIFS(Adjustments!$G:$G,Adjustments!$H:$H,"3",Adjustments!$I:$I,'Schedule 3 Adjustments'!$P$13,Adjustments!$J:$J,'As-Filed Schedule 3'!A97)</f>
        <v>0</v>
      </c>
      <c r="R97" s="353">
        <f>SUM(P97:Q97)</f>
        <v>0</v>
      </c>
      <c r="S97" s="85" t="str">
        <f>IFERROR(P97/K97,"")</f>
        <v/>
      </c>
      <c r="T97" s="357" t="str">
        <f>IFERROR(R97/M97,"")</f>
        <v/>
      </c>
      <c r="U97" s="126">
        <f>'As-Filed Schedule 3'!O97</f>
        <v>0</v>
      </c>
      <c r="V97" s="349">
        <f>SUMIFS(Adjustments!$G:$G,Adjustments!$H:$H,"3",Adjustments!$I:$I,'Schedule 3 Adjustments'!$U$13,Adjustments!$J:$J,$A97)</f>
        <v>0</v>
      </c>
      <c r="W97" s="353">
        <f>SUM(U97:V97)</f>
        <v>0</v>
      </c>
      <c r="X97" s="85" t="str">
        <f>IFERROR(U97/K97,"")</f>
        <v/>
      </c>
      <c r="Y97" s="85" t="str">
        <f>IFERROR(W97/M97,"")</f>
        <v/>
      </c>
      <c r="Z97" s="86" t="str">
        <f>IF(P97=0,"",P97-U97)</f>
        <v/>
      </c>
      <c r="AA97" s="359" t="str">
        <f>IF(R97=0,"",R97-W97)</f>
        <v/>
      </c>
      <c r="AB97" s="85" t="str">
        <f>IFERROR(Z97/K97,"")</f>
        <v/>
      </c>
      <c r="AC97" s="357" t="str">
        <f>IFERROR(AA97/M97,"")</f>
        <v/>
      </c>
    </row>
    <row r="98" spans="1:29" x14ac:dyDescent="0.35">
      <c r="A98" s="101" t="s">
        <v>447</v>
      </c>
      <c r="B98" s="87"/>
      <c r="C98" s="87"/>
      <c r="D98" s="87"/>
      <c r="E98" s="87"/>
      <c r="F98" s="132"/>
      <c r="G98" s="135"/>
      <c r="H98" s="135"/>
      <c r="I98" s="104"/>
      <c r="J98" s="369">
        <f>'As-Filed Schedule 3'!J98</f>
        <v>0</v>
      </c>
      <c r="K98" s="415">
        <f>'As-Filed Schedule 3'!K98</f>
        <v>0</v>
      </c>
      <c r="L98" s="417">
        <f>SUMIFS(Adjustments!$G:$G,Adjustments!$H:$H,"3",Adjustments!$I:$I,'Schedule 3 Adjustments'!$K$13,Adjustments!$J:$J,"17a")</f>
        <v>0</v>
      </c>
      <c r="M98" s="419">
        <f>SUM(K98:L98)</f>
        <v>0</v>
      </c>
      <c r="N98" s="89"/>
      <c r="O98" s="354"/>
      <c r="P98" s="87"/>
      <c r="Q98" s="350"/>
      <c r="R98" s="354"/>
      <c r="S98" s="87"/>
      <c r="T98" s="354"/>
      <c r="U98" s="87"/>
      <c r="V98" s="350"/>
      <c r="W98" s="354"/>
      <c r="X98" s="87"/>
      <c r="Y98" s="354"/>
      <c r="Z98" s="87"/>
      <c r="AA98" s="354"/>
      <c r="AB98" s="87"/>
      <c r="AC98" s="354"/>
    </row>
    <row r="99" spans="1:29" x14ac:dyDescent="0.35">
      <c r="A99" s="102" t="s">
        <v>448</v>
      </c>
      <c r="B99" s="88"/>
      <c r="C99" s="88"/>
      <c r="D99" s="88"/>
      <c r="E99" s="88"/>
      <c r="F99" s="133"/>
      <c r="G99" s="136"/>
      <c r="H99" s="136"/>
      <c r="I99" s="105"/>
      <c r="J99" s="369">
        <f>'As-Filed Schedule 3'!J99</f>
        <v>0</v>
      </c>
      <c r="K99" s="415">
        <f>'As-Filed Schedule 3'!K99</f>
        <v>0</v>
      </c>
      <c r="L99" s="417">
        <f>SUMIFS(Adjustments!$G:$G,Adjustments!$H:$H,"3",Adjustments!$I:$I,'Schedule 3 Adjustments'!$K$13,Adjustments!$J:$J,"17b")</f>
        <v>0</v>
      </c>
      <c r="M99" s="419">
        <f>SUM(K99:L99)</f>
        <v>0</v>
      </c>
      <c r="N99" s="90"/>
      <c r="O99" s="355"/>
      <c r="P99" s="88"/>
      <c r="Q99" s="351"/>
      <c r="R99" s="355"/>
      <c r="S99" s="88"/>
      <c r="T99" s="355"/>
      <c r="U99" s="88"/>
      <c r="V99" s="351"/>
      <c r="W99" s="355"/>
      <c r="X99" s="88"/>
      <c r="Y99" s="355"/>
      <c r="Z99" s="88"/>
      <c r="AA99" s="355"/>
      <c r="AB99" s="88"/>
      <c r="AC99" s="355"/>
    </row>
    <row r="100" spans="1:29" x14ac:dyDescent="0.35">
      <c r="A100" s="103" t="s">
        <v>449</v>
      </c>
      <c r="B100" s="88"/>
      <c r="C100" s="88"/>
      <c r="D100" s="88"/>
      <c r="E100" s="88"/>
      <c r="F100" s="133"/>
      <c r="G100" s="136"/>
      <c r="H100" s="136"/>
      <c r="I100" s="105"/>
      <c r="J100" s="369">
        <f>'As-Filed Schedule 3'!J100</f>
        <v>0</v>
      </c>
      <c r="K100" s="415">
        <f>'As-Filed Schedule 3'!K100</f>
        <v>0</v>
      </c>
      <c r="L100" s="417">
        <f>SUMIFS(Adjustments!$G:$G,Adjustments!$H:$H,"3",Adjustments!$I:$I,'Schedule 3 Adjustments'!$K$13,Adjustments!$J:$J,"17c")</f>
        <v>0</v>
      </c>
      <c r="M100" s="419">
        <f>SUM(K100:L100)</f>
        <v>0</v>
      </c>
      <c r="N100" s="90"/>
      <c r="O100" s="355"/>
      <c r="P100" s="88"/>
      <c r="Q100" s="351"/>
      <c r="R100" s="355"/>
      <c r="S100" s="88"/>
      <c r="T100" s="355"/>
      <c r="U100" s="88"/>
      <c r="V100" s="351"/>
      <c r="W100" s="355"/>
      <c r="X100" s="88"/>
      <c r="Y100" s="355"/>
      <c r="Z100" s="88"/>
      <c r="AA100" s="355"/>
      <c r="AB100" s="88"/>
      <c r="AC100" s="355"/>
    </row>
    <row r="101" spans="1:29" x14ac:dyDescent="0.35">
      <c r="J101" s="100"/>
      <c r="N101" s="28"/>
      <c r="O101" s="347"/>
    </row>
    <row r="102" spans="1:29" s="34" customFormat="1" x14ac:dyDescent="0.35">
      <c r="A102" s="84">
        <v>18</v>
      </c>
      <c r="B102" s="524">
        <f>'As-Filed Schedule 3'!B102:C102</f>
        <v>0</v>
      </c>
      <c r="C102" s="525"/>
      <c r="D102" s="365">
        <f>'As-Filed Schedule 3'!D102</f>
        <v>0</v>
      </c>
      <c r="E102" s="365">
        <f>'As-Filed Schedule 3'!E102</f>
        <v>0</v>
      </c>
      <c r="F102" s="364">
        <f>'As-Filed Schedule 3'!F102</f>
        <v>0</v>
      </c>
      <c r="G102" s="363">
        <f>'As-Filed Schedule 3'!G102</f>
        <v>0</v>
      </c>
      <c r="H102" s="363">
        <f>'As-Filed Schedule 3'!H102</f>
        <v>0</v>
      </c>
      <c r="I102" s="139" t="str">
        <f>IF(B102=0,"",IF(AND(G102=0,H102=0),365,IF(AND(G102&gt;0,H102=0),$C$6-G102+1,IF(AND(G102=0,H102&gt;0),H102-($C$6-365),H102-G102+1))))</f>
        <v/>
      </c>
      <c r="J102" s="98"/>
      <c r="K102" s="414">
        <f>SUM(K103:K105)</f>
        <v>0</v>
      </c>
      <c r="L102" s="416">
        <f>SUM(L103:L105)</f>
        <v>0</v>
      </c>
      <c r="M102" s="418">
        <f>SUM(M103:M105)</f>
        <v>0</v>
      </c>
      <c r="N102" s="91" t="str">
        <f>IF(K102&gt;0,K102/(F102*I102),"")</f>
        <v/>
      </c>
      <c r="O102" s="346" t="str">
        <f>IF(M102&gt;0,M102/(F102*I102),"")</f>
        <v/>
      </c>
      <c r="P102" s="126">
        <f>'As-Filed Schedule 3'!M102</f>
        <v>0</v>
      </c>
      <c r="Q102" s="349">
        <f>SUMIFS(Adjustments!$G:$G,Adjustments!$H:$H,"3",Adjustments!$I:$I,'Schedule 3 Adjustments'!$P$13,Adjustments!$J:$J,'As-Filed Schedule 3'!A102)</f>
        <v>0</v>
      </c>
      <c r="R102" s="353">
        <f>SUM(P102:Q102)</f>
        <v>0</v>
      </c>
      <c r="S102" s="85" t="str">
        <f>IFERROR(P102/K102,"")</f>
        <v/>
      </c>
      <c r="T102" s="357" t="str">
        <f>IFERROR(R102/M102,"")</f>
        <v/>
      </c>
      <c r="U102" s="126">
        <f>'As-Filed Schedule 3'!O102</f>
        <v>0</v>
      </c>
      <c r="V102" s="349">
        <f>SUMIFS(Adjustments!$G:$G,Adjustments!$H:$H,"3",Adjustments!$I:$I,'Schedule 3 Adjustments'!$U$13,Adjustments!$J:$J,$A102)</f>
        <v>0</v>
      </c>
      <c r="W102" s="353">
        <f>SUM(U102:V102)</f>
        <v>0</v>
      </c>
      <c r="X102" s="85" t="str">
        <f>IFERROR(U102/K102,"")</f>
        <v/>
      </c>
      <c r="Y102" s="85" t="str">
        <f>IFERROR(W102/M102,"")</f>
        <v/>
      </c>
      <c r="Z102" s="86" t="str">
        <f>IF(P102=0,"",P102-U102)</f>
        <v/>
      </c>
      <c r="AA102" s="359" t="str">
        <f>IF(R102=0,"",R102-W102)</f>
        <v/>
      </c>
      <c r="AB102" s="85" t="str">
        <f>IFERROR(Z102/K102,"")</f>
        <v/>
      </c>
      <c r="AC102" s="357" t="str">
        <f>IFERROR(AA102/M102,"")</f>
        <v/>
      </c>
    </row>
    <row r="103" spans="1:29" x14ac:dyDescent="0.35">
      <c r="A103" s="101" t="s">
        <v>447</v>
      </c>
      <c r="B103" s="87"/>
      <c r="C103" s="87"/>
      <c r="D103" s="87"/>
      <c r="E103" s="87"/>
      <c r="F103" s="132"/>
      <c r="G103" s="135"/>
      <c r="H103" s="135"/>
      <c r="I103" s="104"/>
      <c r="J103" s="369">
        <f>'As-Filed Schedule 3'!J103</f>
        <v>0</v>
      </c>
      <c r="K103" s="415">
        <f>'As-Filed Schedule 3'!K103</f>
        <v>0</v>
      </c>
      <c r="L103" s="417">
        <f>SUMIFS(Adjustments!$G:$G,Adjustments!$H:$H,"3",Adjustments!$I:$I,'Schedule 3 Adjustments'!$K$13,Adjustments!$J:$J,"18a")</f>
        <v>0</v>
      </c>
      <c r="M103" s="419">
        <f>SUM(K103:L103)</f>
        <v>0</v>
      </c>
      <c r="N103" s="89"/>
      <c r="O103" s="354"/>
      <c r="P103" s="87"/>
      <c r="Q103" s="350"/>
      <c r="R103" s="354"/>
      <c r="S103" s="87"/>
      <c r="T103" s="354"/>
      <c r="U103" s="87"/>
      <c r="V103" s="350"/>
      <c r="W103" s="354"/>
      <c r="X103" s="87"/>
      <c r="Y103" s="354"/>
      <c r="Z103" s="87"/>
      <c r="AA103" s="354"/>
      <c r="AB103" s="87"/>
      <c r="AC103" s="354"/>
    </row>
    <row r="104" spans="1:29" x14ac:dyDescent="0.35">
      <c r="A104" s="102" t="s">
        <v>448</v>
      </c>
      <c r="B104" s="88"/>
      <c r="C104" s="88"/>
      <c r="D104" s="88"/>
      <c r="E104" s="88"/>
      <c r="F104" s="133"/>
      <c r="G104" s="136"/>
      <c r="H104" s="136"/>
      <c r="I104" s="105"/>
      <c r="J104" s="369">
        <f>'As-Filed Schedule 3'!J104</f>
        <v>0</v>
      </c>
      <c r="K104" s="415">
        <f>'As-Filed Schedule 3'!K104</f>
        <v>0</v>
      </c>
      <c r="L104" s="417">
        <f>SUMIFS(Adjustments!$G:$G,Adjustments!$H:$H,"3",Adjustments!$I:$I,'Schedule 3 Adjustments'!$K$13,Adjustments!$J:$J,"18b")</f>
        <v>0</v>
      </c>
      <c r="M104" s="419">
        <f>SUM(K104:L104)</f>
        <v>0</v>
      </c>
      <c r="N104" s="90"/>
      <c r="O104" s="355"/>
      <c r="P104" s="88"/>
      <c r="Q104" s="351"/>
      <c r="R104" s="355"/>
      <c r="S104" s="88"/>
      <c r="T104" s="355"/>
      <c r="U104" s="88"/>
      <c r="V104" s="351"/>
      <c r="W104" s="355"/>
      <c r="X104" s="88"/>
      <c r="Y104" s="355"/>
      <c r="Z104" s="88"/>
      <c r="AA104" s="355"/>
      <c r="AB104" s="88"/>
      <c r="AC104" s="355"/>
    </row>
    <row r="105" spans="1:29" x14ac:dyDescent="0.35">
      <c r="A105" s="103" t="s">
        <v>449</v>
      </c>
      <c r="B105" s="88"/>
      <c r="C105" s="88"/>
      <c r="D105" s="88"/>
      <c r="E105" s="88"/>
      <c r="F105" s="133"/>
      <c r="G105" s="136"/>
      <c r="H105" s="136"/>
      <c r="I105" s="105"/>
      <c r="J105" s="369">
        <f>'As-Filed Schedule 3'!J105</f>
        <v>0</v>
      </c>
      <c r="K105" s="415">
        <f>'As-Filed Schedule 3'!K105</f>
        <v>0</v>
      </c>
      <c r="L105" s="417">
        <f>SUMIFS(Adjustments!$G:$G,Adjustments!$H:$H,"3",Adjustments!$I:$I,'Schedule 3 Adjustments'!$K$13,Adjustments!$J:$J,"18c")</f>
        <v>0</v>
      </c>
      <c r="M105" s="419">
        <f>SUM(K105:L105)</f>
        <v>0</v>
      </c>
      <c r="N105" s="90"/>
      <c r="O105" s="355"/>
      <c r="P105" s="88"/>
      <c r="Q105" s="351"/>
      <c r="R105" s="355"/>
      <c r="S105" s="88"/>
      <c r="T105" s="355"/>
      <c r="U105" s="88"/>
      <c r="V105" s="351"/>
      <c r="W105" s="355"/>
      <c r="X105" s="88"/>
      <c r="Y105" s="355"/>
      <c r="Z105" s="88"/>
      <c r="AA105" s="355"/>
      <c r="AB105" s="88"/>
      <c r="AC105" s="355"/>
    </row>
    <row r="106" spans="1:29" x14ac:dyDescent="0.35">
      <c r="J106" s="100"/>
      <c r="K106" s="392"/>
      <c r="L106" s="395"/>
      <c r="M106" s="396"/>
      <c r="N106" s="28"/>
      <c r="O106" s="347"/>
    </row>
    <row r="107" spans="1:29" s="34" customFormat="1" x14ac:dyDescent="0.35">
      <c r="A107" s="84">
        <v>19</v>
      </c>
      <c r="B107" s="524">
        <f>'As-Filed Schedule 3'!B107:C107</f>
        <v>0</v>
      </c>
      <c r="C107" s="525"/>
      <c r="D107" s="365">
        <f>'As-Filed Schedule 3'!D107</f>
        <v>0</v>
      </c>
      <c r="E107" s="365">
        <f>'As-Filed Schedule 3'!E107</f>
        <v>0</v>
      </c>
      <c r="F107" s="364">
        <f>'As-Filed Schedule 3'!F107</f>
        <v>0</v>
      </c>
      <c r="G107" s="363">
        <f>'As-Filed Schedule 3'!G107</f>
        <v>0</v>
      </c>
      <c r="H107" s="363">
        <f>'As-Filed Schedule 3'!H107</f>
        <v>0</v>
      </c>
      <c r="I107" s="139" t="str">
        <f>IF(B107=0,"",IF(AND(G107=0,H107=0),365,IF(AND(G107&gt;0,H107=0),$C$6-G107+1,IF(AND(G107=0,H107&gt;0),H107-($C$6-365),H107-G107+1))))</f>
        <v/>
      </c>
      <c r="J107" s="98"/>
      <c r="K107" s="414">
        <f>SUM(K108:K110)</f>
        <v>0</v>
      </c>
      <c r="L107" s="416">
        <f>SUM(L108:L110)</f>
        <v>0</v>
      </c>
      <c r="M107" s="418">
        <f>SUM(M108:M110)</f>
        <v>0</v>
      </c>
      <c r="N107" s="91" t="str">
        <f>IF(K107&gt;0,K107/(F107*I107),"")</f>
        <v/>
      </c>
      <c r="O107" s="346" t="str">
        <f>IF(M107&gt;0,M107/(F107*I107),"")</f>
        <v/>
      </c>
      <c r="P107" s="126">
        <f>'As-Filed Schedule 3'!M107</f>
        <v>0</v>
      </c>
      <c r="Q107" s="349">
        <f>SUMIFS(Adjustments!$G:$G,Adjustments!$H:$H,"3",Adjustments!$I:$I,'Schedule 3 Adjustments'!$P$13,Adjustments!$J:$J,'As-Filed Schedule 3'!A107)</f>
        <v>0</v>
      </c>
      <c r="R107" s="353">
        <f>SUM(P107:Q107)</f>
        <v>0</v>
      </c>
      <c r="S107" s="85" t="str">
        <f>IFERROR(P107/K107,"")</f>
        <v/>
      </c>
      <c r="T107" s="357" t="str">
        <f>IFERROR(R107/M107,"")</f>
        <v/>
      </c>
      <c r="U107" s="126">
        <f>'As-Filed Schedule 3'!O107</f>
        <v>0</v>
      </c>
      <c r="V107" s="349">
        <f>SUMIFS(Adjustments!$G:$G,Adjustments!$H:$H,"3",Adjustments!$I:$I,'Schedule 3 Adjustments'!$U$13,Adjustments!$J:$J,$A107)</f>
        <v>0</v>
      </c>
      <c r="W107" s="353">
        <f>SUM(U107:V107)</f>
        <v>0</v>
      </c>
      <c r="X107" s="85" t="str">
        <f>IFERROR(U107/K107,"")</f>
        <v/>
      </c>
      <c r="Y107" s="85" t="str">
        <f>IFERROR(W107/M107,"")</f>
        <v/>
      </c>
      <c r="Z107" s="86" t="str">
        <f>IF(P107=0,"",P107-U107)</f>
        <v/>
      </c>
      <c r="AA107" s="359" t="str">
        <f>IF(R107=0,"",R107-W107)</f>
        <v/>
      </c>
      <c r="AB107" s="85" t="str">
        <f>IFERROR(Z107/K107,"")</f>
        <v/>
      </c>
      <c r="AC107" s="357" t="str">
        <f>IFERROR(AA107/M107,"")</f>
        <v/>
      </c>
    </row>
    <row r="108" spans="1:29" x14ac:dyDescent="0.35">
      <c r="A108" s="101" t="s">
        <v>447</v>
      </c>
      <c r="B108" s="87"/>
      <c r="C108" s="87"/>
      <c r="D108" s="87"/>
      <c r="E108" s="87"/>
      <c r="F108" s="132"/>
      <c r="G108" s="135"/>
      <c r="H108" s="135"/>
      <c r="I108" s="104"/>
      <c r="J108" s="369">
        <f>'As-Filed Schedule 3'!J108</f>
        <v>0</v>
      </c>
      <c r="K108" s="415">
        <f>'As-Filed Schedule 3'!K108</f>
        <v>0</v>
      </c>
      <c r="L108" s="417">
        <f>SUMIFS(Adjustments!$G:$G,Adjustments!$H:$H,"3",Adjustments!$I:$I,'Schedule 3 Adjustments'!$K$13,Adjustments!$J:$J,"19a")</f>
        <v>0</v>
      </c>
      <c r="M108" s="419">
        <f>SUM(K108:L108)</f>
        <v>0</v>
      </c>
      <c r="N108" s="89"/>
      <c r="O108" s="354"/>
      <c r="P108" s="87"/>
      <c r="Q108" s="350"/>
      <c r="R108" s="354"/>
      <c r="S108" s="87"/>
      <c r="T108" s="354"/>
      <c r="U108" s="87"/>
      <c r="V108" s="350"/>
      <c r="W108" s="354"/>
      <c r="X108" s="87"/>
      <c r="Y108" s="354"/>
      <c r="Z108" s="87"/>
      <c r="AA108" s="354"/>
      <c r="AB108" s="87"/>
      <c r="AC108" s="354"/>
    </row>
    <row r="109" spans="1:29" x14ac:dyDescent="0.35">
      <c r="A109" s="102" t="s">
        <v>448</v>
      </c>
      <c r="B109" s="88"/>
      <c r="C109" s="88"/>
      <c r="D109" s="88"/>
      <c r="E109" s="88"/>
      <c r="F109" s="133"/>
      <c r="G109" s="136"/>
      <c r="H109" s="136"/>
      <c r="I109" s="105"/>
      <c r="J109" s="369">
        <f>'As-Filed Schedule 3'!J109</f>
        <v>0</v>
      </c>
      <c r="K109" s="415">
        <f>'As-Filed Schedule 3'!K109</f>
        <v>0</v>
      </c>
      <c r="L109" s="417">
        <f>SUMIFS(Adjustments!$G:$G,Adjustments!$H:$H,"3",Adjustments!$I:$I,'Schedule 3 Adjustments'!$K$13,Adjustments!$J:$J,"19b")</f>
        <v>0</v>
      </c>
      <c r="M109" s="419">
        <f>SUM(K109:L109)</f>
        <v>0</v>
      </c>
      <c r="N109" s="90"/>
      <c r="O109" s="355"/>
      <c r="P109" s="88"/>
      <c r="Q109" s="351"/>
      <c r="R109" s="355"/>
      <c r="S109" s="88"/>
      <c r="T109" s="355"/>
      <c r="U109" s="88"/>
      <c r="V109" s="351"/>
      <c r="W109" s="355"/>
      <c r="X109" s="88"/>
      <c r="Y109" s="355"/>
      <c r="Z109" s="88"/>
      <c r="AA109" s="355"/>
      <c r="AB109" s="88"/>
      <c r="AC109" s="355"/>
    </row>
    <row r="110" spans="1:29" x14ac:dyDescent="0.35">
      <c r="A110" s="103" t="s">
        <v>449</v>
      </c>
      <c r="B110" s="88"/>
      <c r="C110" s="88"/>
      <c r="D110" s="88"/>
      <c r="E110" s="88"/>
      <c r="F110" s="133"/>
      <c r="G110" s="136"/>
      <c r="H110" s="136"/>
      <c r="I110" s="105"/>
      <c r="J110" s="369">
        <f>'As-Filed Schedule 3'!J110</f>
        <v>0</v>
      </c>
      <c r="K110" s="415">
        <f>'As-Filed Schedule 3'!K110</f>
        <v>0</v>
      </c>
      <c r="L110" s="417">
        <f>SUMIFS(Adjustments!$G:$G,Adjustments!$H:$H,"3",Adjustments!$I:$I,'Schedule 3 Adjustments'!$K$13,Adjustments!$J:$J,"19c")</f>
        <v>0</v>
      </c>
      <c r="M110" s="419">
        <f>SUM(K110:L110)</f>
        <v>0</v>
      </c>
      <c r="N110" s="90"/>
      <c r="O110" s="355"/>
      <c r="P110" s="88"/>
      <c r="Q110" s="351"/>
      <c r="R110" s="355"/>
      <c r="S110" s="88"/>
      <c r="T110" s="355"/>
      <c r="U110" s="88"/>
      <c r="V110" s="351"/>
      <c r="W110" s="355"/>
      <c r="X110" s="88"/>
      <c r="Y110" s="355"/>
      <c r="Z110" s="88"/>
      <c r="AA110" s="355"/>
      <c r="AB110" s="88"/>
      <c r="AC110" s="355"/>
    </row>
    <row r="111" spans="1:29" x14ac:dyDescent="0.35">
      <c r="J111" s="100"/>
      <c r="N111" s="28"/>
      <c r="O111" s="347"/>
    </row>
    <row r="112" spans="1:29" s="34" customFormat="1" x14ac:dyDescent="0.35">
      <c r="A112" s="84">
        <v>20</v>
      </c>
      <c r="B112" s="524">
        <f>'As-Filed Schedule 3'!B112:C112</f>
        <v>0</v>
      </c>
      <c r="C112" s="525"/>
      <c r="D112" s="365">
        <f>'As-Filed Schedule 3'!D112</f>
        <v>0</v>
      </c>
      <c r="E112" s="365">
        <f>'As-Filed Schedule 3'!E112</f>
        <v>0</v>
      </c>
      <c r="F112" s="364">
        <f>'As-Filed Schedule 3'!F112</f>
        <v>0</v>
      </c>
      <c r="G112" s="363">
        <f>'As-Filed Schedule 3'!G112</f>
        <v>0</v>
      </c>
      <c r="H112" s="363">
        <f>'As-Filed Schedule 3'!H112</f>
        <v>0</v>
      </c>
      <c r="I112" s="139" t="str">
        <f>IF(B112=0,"",IF(AND(G112=0,H112=0),365,IF(AND(G112&gt;0,H112=0),$C$6-G112+1,IF(AND(G112=0,H112&gt;0),H112-($C$6-365),H112-G112+1))))</f>
        <v/>
      </c>
      <c r="J112" s="98"/>
      <c r="K112" s="414">
        <f>SUM(K113:K115)</f>
        <v>0</v>
      </c>
      <c r="L112" s="416">
        <f>SUM(L113:L115)</f>
        <v>0</v>
      </c>
      <c r="M112" s="418">
        <f>SUM(M113:M115)</f>
        <v>0</v>
      </c>
      <c r="N112" s="91" t="str">
        <f>IF(K112&gt;0,K112/(F112*I112),"")</f>
        <v/>
      </c>
      <c r="O112" s="346" t="str">
        <f>IF(M112&gt;0,M112/(F112*I112),"")</f>
        <v/>
      </c>
      <c r="P112" s="126">
        <f>'As-Filed Schedule 3'!M112</f>
        <v>0</v>
      </c>
      <c r="Q112" s="349">
        <f>SUMIFS(Adjustments!$G:$G,Adjustments!$H:$H,"3",Adjustments!$I:$I,'Schedule 3 Adjustments'!$P$13,Adjustments!$J:$J,'As-Filed Schedule 3'!A112)</f>
        <v>0</v>
      </c>
      <c r="R112" s="353">
        <f>SUM(P112:Q112)</f>
        <v>0</v>
      </c>
      <c r="S112" s="85" t="str">
        <f>IFERROR(P112/K112,"")</f>
        <v/>
      </c>
      <c r="T112" s="357" t="str">
        <f>IFERROR(R112/M112,"")</f>
        <v/>
      </c>
      <c r="U112" s="126">
        <f>'As-Filed Schedule 3'!O112</f>
        <v>0</v>
      </c>
      <c r="V112" s="349">
        <f>SUMIFS(Adjustments!$G:$G,Adjustments!$H:$H,"3",Adjustments!$I:$I,'Schedule 3 Adjustments'!$U$13,Adjustments!$J:$J,$A112)</f>
        <v>0</v>
      </c>
      <c r="W112" s="353">
        <f>SUM(U112:V112)</f>
        <v>0</v>
      </c>
      <c r="X112" s="85" t="str">
        <f>IFERROR(U112/K112,"")</f>
        <v/>
      </c>
      <c r="Y112" s="85" t="str">
        <f>IFERROR(W112/M112,"")</f>
        <v/>
      </c>
      <c r="Z112" s="86" t="str">
        <f>IF(P112=0,"",P112-U112)</f>
        <v/>
      </c>
      <c r="AA112" s="359" t="str">
        <f>IF(R112=0,"",R112-W112)</f>
        <v/>
      </c>
      <c r="AB112" s="85" t="str">
        <f>IFERROR(Z112/K112,"")</f>
        <v/>
      </c>
      <c r="AC112" s="357" t="str">
        <f>IFERROR(AA112/M112,"")</f>
        <v/>
      </c>
    </row>
    <row r="113" spans="1:29" x14ac:dyDescent="0.35">
      <c r="A113" s="101" t="s">
        <v>447</v>
      </c>
      <c r="B113" s="87"/>
      <c r="C113" s="87"/>
      <c r="D113" s="87"/>
      <c r="E113" s="87"/>
      <c r="F113" s="132"/>
      <c r="G113" s="135"/>
      <c r="H113" s="135"/>
      <c r="I113" s="104"/>
      <c r="J113" s="369">
        <f>'As-Filed Schedule 3'!J113</f>
        <v>0</v>
      </c>
      <c r="K113" s="415">
        <f>'As-Filed Schedule 3'!K113</f>
        <v>0</v>
      </c>
      <c r="L113" s="417">
        <f>SUMIFS(Adjustments!$G:$G,Adjustments!$H:$H,"3",Adjustments!$I:$I,'Schedule 3 Adjustments'!$K$13,Adjustments!$J:$J,"20a")</f>
        <v>0</v>
      </c>
      <c r="M113" s="419">
        <f>SUM(K113:L113)</f>
        <v>0</v>
      </c>
      <c r="N113" s="89"/>
      <c r="O113" s="354"/>
      <c r="P113" s="87"/>
      <c r="Q113" s="350"/>
      <c r="R113" s="354"/>
      <c r="S113" s="87"/>
      <c r="T113" s="354"/>
      <c r="U113" s="87"/>
      <c r="V113" s="350"/>
      <c r="W113" s="354"/>
      <c r="X113" s="87"/>
      <c r="Y113" s="354"/>
      <c r="Z113" s="87"/>
      <c r="AA113" s="354"/>
      <c r="AB113" s="87"/>
      <c r="AC113" s="354"/>
    </row>
    <row r="114" spans="1:29" x14ac:dyDescent="0.35">
      <c r="A114" s="102" t="s">
        <v>448</v>
      </c>
      <c r="B114" s="88"/>
      <c r="C114" s="88"/>
      <c r="D114" s="88"/>
      <c r="E114" s="88"/>
      <c r="F114" s="133"/>
      <c r="G114" s="136"/>
      <c r="H114" s="136"/>
      <c r="I114" s="105"/>
      <c r="J114" s="369">
        <f>'As-Filed Schedule 3'!J114</f>
        <v>0</v>
      </c>
      <c r="K114" s="415">
        <f>'As-Filed Schedule 3'!K114</f>
        <v>0</v>
      </c>
      <c r="L114" s="417">
        <f>SUMIFS(Adjustments!$G:$G,Adjustments!$H:$H,"3",Adjustments!$I:$I,'Schedule 3 Adjustments'!$K$13,Adjustments!$J:$J,"20b")</f>
        <v>0</v>
      </c>
      <c r="M114" s="419">
        <f>SUM(K114:L114)</f>
        <v>0</v>
      </c>
      <c r="N114" s="90"/>
      <c r="O114" s="355"/>
      <c r="P114" s="88"/>
      <c r="Q114" s="351"/>
      <c r="R114" s="355"/>
      <c r="S114" s="88"/>
      <c r="T114" s="355"/>
      <c r="U114" s="88"/>
      <c r="V114" s="351"/>
      <c r="W114" s="355"/>
      <c r="X114" s="88"/>
      <c r="Y114" s="355"/>
      <c r="Z114" s="88"/>
      <c r="AA114" s="355"/>
      <c r="AB114" s="88"/>
      <c r="AC114" s="355"/>
    </row>
    <row r="115" spans="1:29" x14ac:dyDescent="0.35">
      <c r="A115" s="103" t="s">
        <v>449</v>
      </c>
      <c r="B115" s="88"/>
      <c r="C115" s="88"/>
      <c r="D115" s="88"/>
      <c r="E115" s="88"/>
      <c r="F115" s="133"/>
      <c r="G115" s="136"/>
      <c r="H115" s="136"/>
      <c r="I115" s="105"/>
      <c r="J115" s="369">
        <f>'As-Filed Schedule 3'!J115</f>
        <v>0</v>
      </c>
      <c r="K115" s="415">
        <f>'As-Filed Schedule 3'!K115</f>
        <v>0</v>
      </c>
      <c r="L115" s="417">
        <f>SUMIFS(Adjustments!$G:$G,Adjustments!$H:$H,"3",Adjustments!$I:$I,'Schedule 3 Adjustments'!$K$13,Adjustments!$J:$J,"20c")</f>
        <v>0</v>
      </c>
      <c r="M115" s="419">
        <f>SUM(K115:L115)</f>
        <v>0</v>
      </c>
      <c r="N115" s="90"/>
      <c r="O115" s="355"/>
      <c r="P115" s="88"/>
      <c r="Q115" s="351"/>
      <c r="R115" s="355"/>
      <c r="S115" s="88"/>
      <c r="T115" s="355"/>
      <c r="U115" s="88"/>
      <c r="V115" s="351"/>
      <c r="W115" s="355"/>
      <c r="X115" s="88"/>
      <c r="Y115" s="355"/>
      <c r="Z115" s="88"/>
      <c r="AA115" s="355"/>
      <c r="AB115" s="88"/>
      <c r="AC115" s="355"/>
    </row>
    <row r="116" spans="1:29" x14ac:dyDescent="0.35">
      <c r="J116" s="100"/>
      <c r="N116" s="28"/>
      <c r="O116" s="347"/>
    </row>
    <row r="117" spans="1:29" s="34" customFormat="1" x14ac:dyDescent="0.35">
      <c r="A117" s="84">
        <v>21</v>
      </c>
      <c r="B117" s="524">
        <f>'As-Filed Schedule 3'!B117:C117</f>
        <v>0</v>
      </c>
      <c r="C117" s="525"/>
      <c r="D117" s="365">
        <f>'As-Filed Schedule 3'!D117</f>
        <v>0</v>
      </c>
      <c r="E117" s="365">
        <f>'As-Filed Schedule 3'!E117</f>
        <v>0</v>
      </c>
      <c r="F117" s="364">
        <f>'As-Filed Schedule 3'!F117</f>
        <v>0</v>
      </c>
      <c r="G117" s="363">
        <f>'As-Filed Schedule 3'!G117</f>
        <v>0</v>
      </c>
      <c r="H117" s="363">
        <f>'As-Filed Schedule 3'!H117</f>
        <v>0</v>
      </c>
      <c r="I117" s="139" t="str">
        <f>IF(B117=0,"",IF(AND(G117=0,H117=0),365,IF(AND(G117&gt;0,H117=0),$C$6-G117+1,IF(AND(G117=0,H117&gt;0),H117-($C$6-365),H117-G117+1))))</f>
        <v/>
      </c>
      <c r="J117" s="98"/>
      <c r="K117" s="414">
        <f>SUM(K118:K120)</f>
        <v>0</v>
      </c>
      <c r="L117" s="416">
        <f>SUM(L118:L120)</f>
        <v>0</v>
      </c>
      <c r="M117" s="418">
        <f>SUM(M118:M120)</f>
        <v>0</v>
      </c>
      <c r="N117" s="91" t="str">
        <f>IF(K117&gt;0,K117/(F117*I117),"")</f>
        <v/>
      </c>
      <c r="O117" s="346" t="str">
        <f>IF(M117&gt;0,M117/(F117*I117),"")</f>
        <v/>
      </c>
      <c r="P117" s="126">
        <f>'As-Filed Schedule 3'!M117</f>
        <v>0</v>
      </c>
      <c r="Q117" s="349">
        <f>SUMIFS(Adjustments!$G:$G,Adjustments!$H:$H,"3",Adjustments!$I:$I,'Schedule 3 Adjustments'!$P$13,Adjustments!$J:$J,'As-Filed Schedule 3'!A117)</f>
        <v>0</v>
      </c>
      <c r="R117" s="353">
        <f>SUM(P117:Q117)</f>
        <v>0</v>
      </c>
      <c r="S117" s="85" t="str">
        <f>IFERROR(P117/K117,"")</f>
        <v/>
      </c>
      <c r="T117" s="357" t="str">
        <f>IFERROR(R117/M117,"")</f>
        <v/>
      </c>
      <c r="U117" s="126">
        <f>'As-Filed Schedule 3'!O117</f>
        <v>0</v>
      </c>
      <c r="V117" s="349">
        <f>SUMIFS(Adjustments!$G:$G,Adjustments!$H:$H,"3",Adjustments!$I:$I,'Schedule 3 Adjustments'!$U$13,Adjustments!$J:$J,$A117)</f>
        <v>0</v>
      </c>
      <c r="W117" s="353">
        <f>SUM(U117:V117)</f>
        <v>0</v>
      </c>
      <c r="X117" s="85" t="str">
        <f>IFERROR(U117/K117,"")</f>
        <v/>
      </c>
      <c r="Y117" s="85" t="str">
        <f>IFERROR(W117/M117,"")</f>
        <v/>
      </c>
      <c r="Z117" s="86" t="str">
        <f>IF(P117=0,"",P117-U117)</f>
        <v/>
      </c>
      <c r="AA117" s="359" t="str">
        <f>IF(R117=0,"",R117-W117)</f>
        <v/>
      </c>
      <c r="AB117" s="85" t="str">
        <f>IFERROR(Z117/K117,"")</f>
        <v/>
      </c>
      <c r="AC117" s="357" t="str">
        <f>IFERROR(AA117/M117,"")</f>
        <v/>
      </c>
    </row>
    <row r="118" spans="1:29" x14ac:dyDescent="0.35">
      <c r="A118" s="101" t="s">
        <v>447</v>
      </c>
      <c r="B118" s="87"/>
      <c r="C118" s="87"/>
      <c r="D118" s="87"/>
      <c r="E118" s="87"/>
      <c r="F118" s="132"/>
      <c r="G118" s="135"/>
      <c r="H118" s="135"/>
      <c r="I118" s="104"/>
      <c r="J118" s="369">
        <f>'As-Filed Schedule 3'!J118</f>
        <v>0</v>
      </c>
      <c r="K118" s="415">
        <f>'As-Filed Schedule 3'!K118</f>
        <v>0</v>
      </c>
      <c r="L118" s="417">
        <f>SUMIFS(Adjustments!$G:$G,Adjustments!$H:$H,"3",Adjustments!$I:$I,'Schedule 3 Adjustments'!$K$13,Adjustments!$J:$J,"21a")</f>
        <v>0</v>
      </c>
      <c r="M118" s="419">
        <f>SUM(K118:L118)</f>
        <v>0</v>
      </c>
      <c r="N118" s="89"/>
      <c r="O118" s="354"/>
      <c r="P118" s="87"/>
      <c r="Q118" s="350"/>
      <c r="R118" s="354"/>
      <c r="S118" s="87"/>
      <c r="T118" s="354"/>
      <c r="U118" s="87"/>
      <c r="V118" s="350"/>
      <c r="W118" s="354"/>
      <c r="X118" s="87"/>
      <c r="Y118" s="354"/>
      <c r="Z118" s="87"/>
      <c r="AA118" s="354"/>
      <c r="AB118" s="87"/>
      <c r="AC118" s="354"/>
    </row>
    <row r="119" spans="1:29" x14ac:dyDescent="0.35">
      <c r="A119" s="102" t="s">
        <v>448</v>
      </c>
      <c r="B119" s="88"/>
      <c r="C119" s="88"/>
      <c r="D119" s="88"/>
      <c r="E119" s="88"/>
      <c r="F119" s="133"/>
      <c r="G119" s="136"/>
      <c r="H119" s="136"/>
      <c r="I119" s="105"/>
      <c r="J119" s="369">
        <f>'As-Filed Schedule 3'!J119</f>
        <v>0</v>
      </c>
      <c r="K119" s="415">
        <f>'As-Filed Schedule 3'!K119</f>
        <v>0</v>
      </c>
      <c r="L119" s="417">
        <f>SUMIFS(Adjustments!$G:$G,Adjustments!$H:$H,"3",Adjustments!$I:$I,'Schedule 3 Adjustments'!$K$13,Adjustments!$J:$J,"21b")</f>
        <v>0</v>
      </c>
      <c r="M119" s="419">
        <f>SUM(K119:L119)</f>
        <v>0</v>
      </c>
      <c r="N119" s="90"/>
      <c r="O119" s="355"/>
      <c r="P119" s="88"/>
      <c r="Q119" s="351"/>
      <c r="R119" s="355"/>
      <c r="S119" s="88"/>
      <c r="T119" s="355"/>
      <c r="U119" s="88"/>
      <c r="V119" s="351"/>
      <c r="W119" s="355"/>
      <c r="X119" s="88"/>
      <c r="Y119" s="355"/>
      <c r="Z119" s="88"/>
      <c r="AA119" s="355"/>
      <c r="AB119" s="88"/>
      <c r="AC119" s="355"/>
    </row>
    <row r="120" spans="1:29" x14ac:dyDescent="0.35">
      <c r="A120" s="103" t="s">
        <v>449</v>
      </c>
      <c r="B120" s="88"/>
      <c r="C120" s="88"/>
      <c r="D120" s="88"/>
      <c r="E120" s="88"/>
      <c r="F120" s="133"/>
      <c r="G120" s="136"/>
      <c r="H120" s="136"/>
      <c r="I120" s="105"/>
      <c r="J120" s="369">
        <f>'As-Filed Schedule 3'!J120</f>
        <v>0</v>
      </c>
      <c r="K120" s="415">
        <f>'As-Filed Schedule 3'!K120</f>
        <v>0</v>
      </c>
      <c r="L120" s="417">
        <f>SUMIFS(Adjustments!$G:$G,Adjustments!$H:$H,"3",Adjustments!$I:$I,'Schedule 3 Adjustments'!$K$13,Adjustments!$J:$J,"21c")</f>
        <v>0</v>
      </c>
      <c r="M120" s="419">
        <f>SUM(K120:L120)</f>
        <v>0</v>
      </c>
      <c r="N120" s="90"/>
      <c r="O120" s="355"/>
      <c r="P120" s="88"/>
      <c r="Q120" s="351"/>
      <c r="R120" s="355"/>
      <c r="S120" s="88"/>
      <c r="T120" s="355"/>
      <c r="U120" s="88"/>
      <c r="V120" s="351"/>
      <c r="W120" s="355"/>
      <c r="X120" s="88"/>
      <c r="Y120" s="355"/>
      <c r="Z120" s="88"/>
      <c r="AA120" s="355"/>
      <c r="AB120" s="88"/>
      <c r="AC120" s="355"/>
    </row>
    <row r="121" spans="1:29" x14ac:dyDescent="0.35">
      <c r="J121" s="100"/>
      <c r="N121" s="28"/>
      <c r="O121" s="347"/>
    </row>
    <row r="122" spans="1:29" s="34" customFormat="1" x14ac:dyDescent="0.35">
      <c r="A122" s="84">
        <v>22</v>
      </c>
      <c r="B122" s="524">
        <f>'As-Filed Schedule 3'!B122:C122</f>
        <v>0</v>
      </c>
      <c r="C122" s="525"/>
      <c r="D122" s="365">
        <f>'As-Filed Schedule 3'!D122</f>
        <v>0</v>
      </c>
      <c r="E122" s="365">
        <f>'As-Filed Schedule 3'!E122</f>
        <v>0</v>
      </c>
      <c r="F122" s="364">
        <f>'As-Filed Schedule 3'!F122</f>
        <v>0</v>
      </c>
      <c r="G122" s="363">
        <f>'As-Filed Schedule 3'!G122</f>
        <v>0</v>
      </c>
      <c r="H122" s="363">
        <f>'As-Filed Schedule 3'!H122</f>
        <v>0</v>
      </c>
      <c r="I122" s="139" t="str">
        <f>IF(B122=0,"",IF(AND(G122=0,H122=0),365,IF(AND(G122&gt;0,H122=0),$C$6-G122+1,IF(AND(G122=0,H122&gt;0),H122-($C$6-365),H122-G122+1))))</f>
        <v/>
      </c>
      <c r="J122" s="98"/>
      <c r="K122" s="414">
        <f>SUM(K123:K125)</f>
        <v>0</v>
      </c>
      <c r="L122" s="416">
        <f>SUM(L123:L125)</f>
        <v>0</v>
      </c>
      <c r="M122" s="418">
        <f>SUM(M123:M125)</f>
        <v>0</v>
      </c>
      <c r="N122" s="91" t="str">
        <f>IF(K122&gt;0,K122/(F122*I122),"")</f>
        <v/>
      </c>
      <c r="O122" s="346" t="str">
        <f>IF(M122&gt;0,M122/(F122*I122),"")</f>
        <v/>
      </c>
      <c r="P122" s="126">
        <f>'As-Filed Schedule 3'!M122</f>
        <v>0</v>
      </c>
      <c r="Q122" s="349">
        <f>SUMIFS(Adjustments!$G:$G,Adjustments!$H:$H,"3",Adjustments!$I:$I,'Schedule 3 Adjustments'!$P$13,Adjustments!$J:$J,'As-Filed Schedule 3'!A122)</f>
        <v>0</v>
      </c>
      <c r="R122" s="353">
        <f>SUM(P122:Q122)</f>
        <v>0</v>
      </c>
      <c r="S122" s="85" t="str">
        <f>IFERROR(P122/K122,"")</f>
        <v/>
      </c>
      <c r="T122" s="357" t="str">
        <f>IFERROR(R122/M122,"")</f>
        <v/>
      </c>
      <c r="U122" s="126">
        <f>'As-Filed Schedule 3'!O122</f>
        <v>0</v>
      </c>
      <c r="V122" s="349">
        <f>SUMIFS(Adjustments!$G:$G,Adjustments!$H:$H,"3",Adjustments!$I:$I,'Schedule 3 Adjustments'!$U$13,Adjustments!$J:$J,$A122)</f>
        <v>0</v>
      </c>
      <c r="W122" s="353">
        <f>SUM(U122:V122)</f>
        <v>0</v>
      </c>
      <c r="X122" s="85" t="str">
        <f>IFERROR(U122/K122,"")</f>
        <v/>
      </c>
      <c r="Y122" s="85" t="str">
        <f>IFERROR(W122/M122,"")</f>
        <v/>
      </c>
      <c r="Z122" s="86" t="str">
        <f>IF(P122=0,"",P122-U122)</f>
        <v/>
      </c>
      <c r="AA122" s="359" t="str">
        <f>IF(R122=0,"",R122-W122)</f>
        <v/>
      </c>
      <c r="AB122" s="85" t="str">
        <f>IFERROR(Z122/K122,"")</f>
        <v/>
      </c>
      <c r="AC122" s="357" t="str">
        <f>IFERROR(AA122/M122,"")</f>
        <v/>
      </c>
    </row>
    <row r="123" spans="1:29" x14ac:dyDescent="0.35">
      <c r="A123" s="101" t="s">
        <v>447</v>
      </c>
      <c r="B123" s="87"/>
      <c r="C123" s="87"/>
      <c r="D123" s="87"/>
      <c r="E123" s="87"/>
      <c r="F123" s="132"/>
      <c r="G123" s="135"/>
      <c r="H123" s="135"/>
      <c r="I123" s="104"/>
      <c r="J123" s="369">
        <f>'As-Filed Schedule 3'!J123</f>
        <v>0</v>
      </c>
      <c r="K123" s="415">
        <f>'As-Filed Schedule 3'!K123</f>
        <v>0</v>
      </c>
      <c r="L123" s="417">
        <f>SUMIFS(Adjustments!$G:$G,Adjustments!$H:$H,"3",Adjustments!$I:$I,'Schedule 3 Adjustments'!$K$13,Adjustments!$J:$J,"22a")</f>
        <v>0</v>
      </c>
      <c r="M123" s="419">
        <f>SUM(K123:L123)</f>
        <v>0</v>
      </c>
      <c r="N123" s="89"/>
      <c r="O123" s="354"/>
      <c r="P123" s="87"/>
      <c r="Q123" s="350"/>
      <c r="R123" s="354"/>
      <c r="S123" s="87"/>
      <c r="T123" s="354"/>
      <c r="U123" s="87"/>
      <c r="V123" s="350"/>
      <c r="W123" s="354"/>
      <c r="X123" s="87"/>
      <c r="Y123" s="354"/>
      <c r="Z123" s="87"/>
      <c r="AA123" s="354"/>
      <c r="AB123" s="87"/>
      <c r="AC123" s="354"/>
    </row>
    <row r="124" spans="1:29" x14ac:dyDescent="0.35">
      <c r="A124" s="102" t="s">
        <v>448</v>
      </c>
      <c r="B124" s="88"/>
      <c r="C124" s="88"/>
      <c r="D124" s="88"/>
      <c r="E124" s="88"/>
      <c r="F124" s="133"/>
      <c r="G124" s="136"/>
      <c r="H124" s="136"/>
      <c r="I124" s="105"/>
      <c r="J124" s="369">
        <f>'As-Filed Schedule 3'!J124</f>
        <v>0</v>
      </c>
      <c r="K124" s="415">
        <f>'As-Filed Schedule 3'!K124</f>
        <v>0</v>
      </c>
      <c r="L124" s="417">
        <f>SUMIFS(Adjustments!$G:$G,Adjustments!$H:$H,"3",Adjustments!$I:$I,'Schedule 3 Adjustments'!$K$13,Adjustments!$J:$J,"22b")</f>
        <v>0</v>
      </c>
      <c r="M124" s="419">
        <f>SUM(K124:L124)</f>
        <v>0</v>
      </c>
      <c r="N124" s="90"/>
      <c r="O124" s="355"/>
      <c r="P124" s="88"/>
      <c r="Q124" s="351"/>
      <c r="R124" s="355"/>
      <c r="S124" s="88"/>
      <c r="T124" s="355"/>
      <c r="U124" s="88"/>
      <c r="V124" s="351"/>
      <c r="W124" s="355"/>
      <c r="X124" s="88"/>
      <c r="Y124" s="355"/>
      <c r="Z124" s="88"/>
      <c r="AA124" s="355"/>
      <c r="AB124" s="88"/>
      <c r="AC124" s="355"/>
    </row>
    <row r="125" spans="1:29" x14ac:dyDescent="0.35">
      <c r="A125" s="103" t="s">
        <v>449</v>
      </c>
      <c r="B125" s="88"/>
      <c r="C125" s="88"/>
      <c r="D125" s="88"/>
      <c r="E125" s="88"/>
      <c r="F125" s="133"/>
      <c r="G125" s="136"/>
      <c r="H125" s="136"/>
      <c r="I125" s="105"/>
      <c r="J125" s="369">
        <f>'As-Filed Schedule 3'!J125</f>
        <v>0</v>
      </c>
      <c r="K125" s="415">
        <f>'As-Filed Schedule 3'!K125</f>
        <v>0</v>
      </c>
      <c r="L125" s="417">
        <f>SUMIFS(Adjustments!$G:$G,Adjustments!$H:$H,"3",Adjustments!$I:$I,'Schedule 3 Adjustments'!$K$13,Adjustments!$J:$J,"22c")</f>
        <v>0</v>
      </c>
      <c r="M125" s="419">
        <f>SUM(K125:L125)</f>
        <v>0</v>
      </c>
      <c r="N125" s="90"/>
      <c r="O125" s="355"/>
      <c r="P125" s="88"/>
      <c r="Q125" s="351"/>
      <c r="R125" s="355"/>
      <c r="S125" s="88"/>
      <c r="T125" s="355"/>
      <c r="U125" s="88"/>
      <c r="V125" s="351"/>
      <c r="W125" s="355"/>
      <c r="X125" s="88"/>
      <c r="Y125" s="355"/>
      <c r="Z125" s="88"/>
      <c r="AA125" s="355"/>
      <c r="AB125" s="88"/>
      <c r="AC125" s="355"/>
    </row>
    <row r="126" spans="1:29" x14ac:dyDescent="0.35">
      <c r="J126" s="100"/>
      <c r="N126" s="28"/>
      <c r="O126" s="347"/>
    </row>
    <row r="127" spans="1:29" s="34" customFormat="1" x14ac:dyDescent="0.35">
      <c r="A127" s="84">
        <v>23</v>
      </c>
      <c r="B127" s="524">
        <f>'As-Filed Schedule 3'!B127:C127</f>
        <v>0</v>
      </c>
      <c r="C127" s="525"/>
      <c r="D127" s="365">
        <f>'As-Filed Schedule 3'!D127</f>
        <v>0</v>
      </c>
      <c r="E127" s="365">
        <f>'As-Filed Schedule 3'!E127</f>
        <v>0</v>
      </c>
      <c r="F127" s="364">
        <f>'As-Filed Schedule 3'!F127</f>
        <v>0</v>
      </c>
      <c r="G127" s="363">
        <f>'As-Filed Schedule 3'!G127</f>
        <v>0</v>
      </c>
      <c r="H127" s="363">
        <f>'As-Filed Schedule 3'!H127</f>
        <v>0</v>
      </c>
      <c r="I127" s="139" t="str">
        <f>IF(B127=0,"",IF(AND(G127=0,H127=0),365,IF(AND(G127&gt;0,H127=0),$C$6-G127+1,IF(AND(G127=0,H127&gt;0),H127-($C$6-365),H127-G127+1))))</f>
        <v/>
      </c>
      <c r="J127" s="98"/>
      <c r="K127" s="414">
        <f>SUM(K128:K130)</f>
        <v>0</v>
      </c>
      <c r="L127" s="416">
        <f>SUM(L128:L130)</f>
        <v>0</v>
      </c>
      <c r="M127" s="418">
        <f>SUM(M128:M130)</f>
        <v>0</v>
      </c>
      <c r="N127" s="91" t="str">
        <f>IF(K127&gt;0,K127/(F127*I127),"")</f>
        <v/>
      </c>
      <c r="O127" s="346" t="str">
        <f>IF(M127&gt;0,M127/(F127*I127),"")</f>
        <v/>
      </c>
      <c r="P127" s="126">
        <f>'As-Filed Schedule 3'!M127</f>
        <v>0</v>
      </c>
      <c r="Q127" s="349">
        <f>SUMIFS(Adjustments!$G:$G,Adjustments!$H:$H,"3",Adjustments!$I:$I,'Schedule 3 Adjustments'!$P$13,Adjustments!$J:$J,'As-Filed Schedule 3'!A127)</f>
        <v>0</v>
      </c>
      <c r="R127" s="353">
        <f>SUM(P127:Q127)</f>
        <v>0</v>
      </c>
      <c r="S127" s="85" t="str">
        <f>IFERROR(P127/K127,"")</f>
        <v/>
      </c>
      <c r="T127" s="357" t="str">
        <f>IFERROR(R127/M127,"")</f>
        <v/>
      </c>
      <c r="U127" s="126">
        <f>'As-Filed Schedule 3'!O127</f>
        <v>0</v>
      </c>
      <c r="V127" s="349">
        <f>SUMIFS(Adjustments!$G:$G,Adjustments!$H:$H,"3",Adjustments!$I:$I,'Schedule 3 Adjustments'!$U$13,Adjustments!$J:$J,$A127)</f>
        <v>0</v>
      </c>
      <c r="W127" s="353">
        <f>SUM(U127:V127)</f>
        <v>0</v>
      </c>
      <c r="X127" s="85" t="str">
        <f>IFERROR(U127/K127,"")</f>
        <v/>
      </c>
      <c r="Y127" s="85" t="str">
        <f>IFERROR(W127/M127,"")</f>
        <v/>
      </c>
      <c r="Z127" s="86" t="str">
        <f>IF(P127=0,"",P127-U127)</f>
        <v/>
      </c>
      <c r="AA127" s="359" t="str">
        <f>IF(R127=0,"",R127-W127)</f>
        <v/>
      </c>
      <c r="AB127" s="85" t="str">
        <f>IFERROR(Z127/K127,"")</f>
        <v/>
      </c>
      <c r="AC127" s="357" t="str">
        <f>IFERROR(AA127/M127,"")</f>
        <v/>
      </c>
    </row>
    <row r="128" spans="1:29" x14ac:dyDescent="0.35">
      <c r="A128" s="101" t="s">
        <v>447</v>
      </c>
      <c r="B128" s="87"/>
      <c r="C128" s="87"/>
      <c r="D128" s="87"/>
      <c r="E128" s="87"/>
      <c r="F128" s="132"/>
      <c r="G128" s="135"/>
      <c r="H128" s="135"/>
      <c r="I128" s="104"/>
      <c r="J128" s="369">
        <f>'As-Filed Schedule 3'!J128</f>
        <v>0</v>
      </c>
      <c r="K128" s="415">
        <f>'As-Filed Schedule 3'!K128</f>
        <v>0</v>
      </c>
      <c r="L128" s="417">
        <f>SUMIFS(Adjustments!$G:$G,Adjustments!$H:$H,"3",Adjustments!$I:$I,'Schedule 3 Adjustments'!$K$13,Adjustments!$J:$J,"23a")</f>
        <v>0</v>
      </c>
      <c r="M128" s="419">
        <f>SUM(K128:L128)</f>
        <v>0</v>
      </c>
      <c r="N128" s="89"/>
      <c r="O128" s="354"/>
      <c r="P128" s="87"/>
      <c r="Q128" s="350"/>
      <c r="R128" s="354"/>
      <c r="S128" s="87"/>
      <c r="T128" s="354"/>
      <c r="U128" s="87"/>
      <c r="V128" s="350"/>
      <c r="W128" s="354"/>
      <c r="X128" s="87"/>
      <c r="Y128" s="354"/>
      <c r="Z128" s="87"/>
      <c r="AA128" s="354"/>
      <c r="AB128" s="87"/>
      <c r="AC128" s="354"/>
    </row>
    <row r="129" spans="1:29" x14ac:dyDescent="0.35">
      <c r="A129" s="102" t="s">
        <v>448</v>
      </c>
      <c r="B129" s="88"/>
      <c r="C129" s="88"/>
      <c r="D129" s="88"/>
      <c r="E129" s="88"/>
      <c r="F129" s="133"/>
      <c r="G129" s="136"/>
      <c r="H129" s="136"/>
      <c r="I129" s="105"/>
      <c r="J129" s="369">
        <f>'As-Filed Schedule 3'!J129</f>
        <v>0</v>
      </c>
      <c r="K129" s="415">
        <f>'As-Filed Schedule 3'!K129</f>
        <v>0</v>
      </c>
      <c r="L129" s="417">
        <f>SUMIFS(Adjustments!$G:$G,Adjustments!$H:$H,"3",Adjustments!$I:$I,'Schedule 3 Adjustments'!$K$13,Adjustments!$J:$J,"23b")</f>
        <v>0</v>
      </c>
      <c r="M129" s="419">
        <f>SUM(K129:L129)</f>
        <v>0</v>
      </c>
      <c r="N129" s="90"/>
      <c r="O129" s="355"/>
      <c r="P129" s="88"/>
      <c r="Q129" s="351"/>
      <c r="R129" s="355"/>
      <c r="S129" s="88"/>
      <c r="T129" s="355"/>
      <c r="U129" s="88"/>
      <c r="V129" s="351"/>
      <c r="W129" s="355"/>
      <c r="X129" s="88"/>
      <c r="Y129" s="355"/>
      <c r="Z129" s="88"/>
      <c r="AA129" s="355"/>
      <c r="AB129" s="88"/>
      <c r="AC129" s="355"/>
    </row>
    <row r="130" spans="1:29" x14ac:dyDescent="0.35">
      <c r="A130" s="103" t="s">
        <v>449</v>
      </c>
      <c r="B130" s="88"/>
      <c r="C130" s="88"/>
      <c r="D130" s="88"/>
      <c r="E130" s="88"/>
      <c r="F130" s="133"/>
      <c r="G130" s="136"/>
      <c r="H130" s="136"/>
      <c r="I130" s="105"/>
      <c r="J130" s="369">
        <f>'As-Filed Schedule 3'!J130</f>
        <v>0</v>
      </c>
      <c r="K130" s="415">
        <f>'As-Filed Schedule 3'!K130</f>
        <v>0</v>
      </c>
      <c r="L130" s="417">
        <f>SUMIFS(Adjustments!$G:$G,Adjustments!$H:$H,"3",Adjustments!$I:$I,'Schedule 3 Adjustments'!$K$13,Adjustments!$J:$J,"23c")</f>
        <v>0</v>
      </c>
      <c r="M130" s="419">
        <f>SUM(K130:L130)</f>
        <v>0</v>
      </c>
      <c r="N130" s="90"/>
      <c r="O130" s="355"/>
      <c r="P130" s="88"/>
      <c r="Q130" s="351"/>
      <c r="R130" s="355"/>
      <c r="S130" s="88"/>
      <c r="T130" s="355"/>
      <c r="U130" s="88"/>
      <c r="V130" s="351"/>
      <c r="W130" s="355"/>
      <c r="X130" s="88"/>
      <c r="Y130" s="355"/>
      <c r="Z130" s="88"/>
      <c r="AA130" s="355"/>
      <c r="AB130" s="88"/>
      <c r="AC130" s="355"/>
    </row>
    <row r="131" spans="1:29" x14ac:dyDescent="0.35">
      <c r="J131" s="100"/>
      <c r="N131" s="28"/>
      <c r="O131" s="347"/>
    </row>
    <row r="132" spans="1:29" s="34" customFormat="1" x14ac:dyDescent="0.35">
      <c r="A132" s="84">
        <v>24</v>
      </c>
      <c r="B132" s="524">
        <f>'As-Filed Schedule 3'!B132:C132</f>
        <v>0</v>
      </c>
      <c r="C132" s="525"/>
      <c r="D132" s="365">
        <f>'As-Filed Schedule 3'!D132</f>
        <v>0</v>
      </c>
      <c r="E132" s="365">
        <f>'As-Filed Schedule 3'!E132</f>
        <v>0</v>
      </c>
      <c r="F132" s="364">
        <f>'As-Filed Schedule 3'!F132</f>
        <v>0</v>
      </c>
      <c r="G132" s="363">
        <f>'As-Filed Schedule 3'!G132</f>
        <v>0</v>
      </c>
      <c r="H132" s="363">
        <f>'As-Filed Schedule 3'!H132</f>
        <v>0</v>
      </c>
      <c r="I132" s="139" t="str">
        <f>IF(B132=0,"",IF(AND(G132=0,H132=0),365,IF(AND(G132&gt;0,H132=0),$C$6-G132+1,IF(AND(G132=0,H132&gt;0),H132-($C$6-365),H132-G132+1))))</f>
        <v/>
      </c>
      <c r="J132" s="98"/>
      <c r="K132" s="414">
        <f>SUM(K133:K135)</f>
        <v>0</v>
      </c>
      <c r="L132" s="416">
        <f>SUM(L133:L135)</f>
        <v>0</v>
      </c>
      <c r="M132" s="418">
        <f>SUM(M133:M135)</f>
        <v>0</v>
      </c>
      <c r="N132" s="91" t="str">
        <f>IF(K132&gt;0,K132/(F132*I132),"")</f>
        <v/>
      </c>
      <c r="O132" s="346" t="str">
        <f>IF(M132&gt;0,M132/(F132*I132),"")</f>
        <v/>
      </c>
      <c r="P132" s="126">
        <f>'As-Filed Schedule 3'!M132</f>
        <v>0</v>
      </c>
      <c r="Q132" s="349">
        <f>SUMIFS(Adjustments!$G:$G,Adjustments!$H:$H,"3",Adjustments!$I:$I,'Schedule 3 Adjustments'!$P$13,Adjustments!$J:$J,'As-Filed Schedule 3'!A132)</f>
        <v>0</v>
      </c>
      <c r="R132" s="353">
        <f>SUM(P132:Q132)</f>
        <v>0</v>
      </c>
      <c r="S132" s="85" t="str">
        <f>IFERROR(P132/K132,"")</f>
        <v/>
      </c>
      <c r="T132" s="357" t="str">
        <f>IFERROR(R132/M132,"")</f>
        <v/>
      </c>
      <c r="U132" s="126">
        <f>'As-Filed Schedule 3'!O132</f>
        <v>0</v>
      </c>
      <c r="V132" s="349">
        <f>SUMIFS(Adjustments!$G:$G,Adjustments!$H:$H,"3",Adjustments!$I:$I,'Schedule 3 Adjustments'!$U$13,Adjustments!$J:$J,$A132)</f>
        <v>0</v>
      </c>
      <c r="W132" s="353">
        <f>SUM(U132:V132)</f>
        <v>0</v>
      </c>
      <c r="X132" s="85" t="str">
        <f>IFERROR(U132/K132,"")</f>
        <v/>
      </c>
      <c r="Y132" s="85" t="str">
        <f>IFERROR(W132/M132,"")</f>
        <v/>
      </c>
      <c r="Z132" s="86" t="str">
        <f>IF(P132=0,"",P132-U132)</f>
        <v/>
      </c>
      <c r="AA132" s="359" t="str">
        <f>IF(R132=0,"",R132-W132)</f>
        <v/>
      </c>
      <c r="AB132" s="85" t="str">
        <f>IFERROR(Z132/K132,"")</f>
        <v/>
      </c>
      <c r="AC132" s="357" t="str">
        <f>IFERROR(AA132/M132,"")</f>
        <v/>
      </c>
    </row>
    <row r="133" spans="1:29" x14ac:dyDescent="0.35">
      <c r="A133" s="101" t="s">
        <v>447</v>
      </c>
      <c r="B133" s="87"/>
      <c r="C133" s="87"/>
      <c r="D133" s="87"/>
      <c r="E133" s="87"/>
      <c r="F133" s="132"/>
      <c r="G133" s="135"/>
      <c r="H133" s="135"/>
      <c r="I133" s="104"/>
      <c r="J133" s="369">
        <f>'As-Filed Schedule 3'!J133</f>
        <v>0</v>
      </c>
      <c r="K133" s="415">
        <f>'As-Filed Schedule 3'!K133</f>
        <v>0</v>
      </c>
      <c r="L133" s="417">
        <f>SUMIFS(Adjustments!$G:$G,Adjustments!$H:$H,"3",Adjustments!$I:$I,'Schedule 3 Adjustments'!$K$13,Adjustments!$J:$J,"24a")</f>
        <v>0</v>
      </c>
      <c r="M133" s="419">
        <f>SUM(K133:L133)</f>
        <v>0</v>
      </c>
      <c r="N133" s="89"/>
      <c r="O133" s="354"/>
      <c r="P133" s="87"/>
      <c r="Q133" s="350"/>
      <c r="R133" s="354"/>
      <c r="S133" s="87"/>
      <c r="T133" s="354"/>
      <c r="U133" s="87"/>
      <c r="V133" s="350"/>
      <c r="W133" s="354"/>
      <c r="X133" s="87"/>
      <c r="Y133" s="354"/>
      <c r="Z133" s="87"/>
      <c r="AA133" s="354"/>
      <c r="AB133" s="87"/>
      <c r="AC133" s="354"/>
    </row>
    <row r="134" spans="1:29" x14ac:dyDescent="0.35">
      <c r="A134" s="102" t="s">
        <v>448</v>
      </c>
      <c r="B134" s="88"/>
      <c r="C134" s="88"/>
      <c r="D134" s="88"/>
      <c r="E134" s="88"/>
      <c r="F134" s="133"/>
      <c r="G134" s="136"/>
      <c r="H134" s="136"/>
      <c r="I134" s="105"/>
      <c r="J134" s="369">
        <f>'As-Filed Schedule 3'!J134</f>
        <v>0</v>
      </c>
      <c r="K134" s="415">
        <f>'As-Filed Schedule 3'!K134</f>
        <v>0</v>
      </c>
      <c r="L134" s="417">
        <f>SUMIFS(Adjustments!$G:$G,Adjustments!$H:$H,"3",Adjustments!$I:$I,'Schedule 3 Adjustments'!$K$13,Adjustments!$J:$J,"24b")</f>
        <v>0</v>
      </c>
      <c r="M134" s="419">
        <f>SUM(K134:L134)</f>
        <v>0</v>
      </c>
      <c r="N134" s="90"/>
      <c r="O134" s="355"/>
      <c r="P134" s="88"/>
      <c r="Q134" s="351"/>
      <c r="R134" s="355"/>
      <c r="S134" s="88"/>
      <c r="T134" s="355"/>
      <c r="U134" s="88"/>
      <c r="V134" s="351"/>
      <c r="W134" s="355"/>
      <c r="X134" s="88"/>
      <c r="Y134" s="355"/>
      <c r="Z134" s="88"/>
      <c r="AA134" s="355"/>
      <c r="AB134" s="88"/>
      <c r="AC134" s="355"/>
    </row>
    <row r="135" spans="1:29" x14ac:dyDescent="0.35">
      <c r="A135" s="103" t="s">
        <v>449</v>
      </c>
      <c r="B135" s="88"/>
      <c r="C135" s="88"/>
      <c r="D135" s="88"/>
      <c r="E135" s="88"/>
      <c r="F135" s="133"/>
      <c r="G135" s="136"/>
      <c r="H135" s="136"/>
      <c r="I135" s="105"/>
      <c r="J135" s="369">
        <f>'As-Filed Schedule 3'!J135</f>
        <v>0</v>
      </c>
      <c r="K135" s="415">
        <f>'As-Filed Schedule 3'!K135</f>
        <v>0</v>
      </c>
      <c r="L135" s="417">
        <f>SUMIFS(Adjustments!$G:$G,Adjustments!$H:$H,"3",Adjustments!$I:$I,'Schedule 3 Adjustments'!$K$13,Adjustments!$J:$J,"24c")</f>
        <v>0</v>
      </c>
      <c r="M135" s="419">
        <f>SUM(K135:L135)</f>
        <v>0</v>
      </c>
      <c r="N135" s="90"/>
      <c r="O135" s="355"/>
      <c r="P135" s="88"/>
      <c r="Q135" s="351"/>
      <c r="R135" s="355"/>
      <c r="S135" s="88"/>
      <c r="T135" s="355"/>
      <c r="U135" s="88"/>
      <c r="V135" s="351"/>
      <c r="W135" s="355"/>
      <c r="X135" s="88"/>
      <c r="Y135" s="355"/>
      <c r="Z135" s="88"/>
      <c r="AA135" s="355"/>
      <c r="AB135" s="88"/>
      <c r="AC135" s="355"/>
    </row>
    <row r="136" spans="1:29" x14ac:dyDescent="0.35">
      <c r="J136" s="100"/>
      <c r="N136" s="28"/>
      <c r="O136" s="347"/>
    </row>
    <row r="137" spans="1:29" s="34" customFormat="1" x14ac:dyDescent="0.35">
      <c r="A137" s="84">
        <v>25</v>
      </c>
      <c r="B137" s="524">
        <f>'As-Filed Schedule 3'!B137:C137</f>
        <v>0</v>
      </c>
      <c r="C137" s="525"/>
      <c r="D137" s="365">
        <f>'As-Filed Schedule 3'!D137</f>
        <v>0</v>
      </c>
      <c r="E137" s="365">
        <f>'As-Filed Schedule 3'!E137</f>
        <v>0</v>
      </c>
      <c r="F137" s="364">
        <f>'As-Filed Schedule 3'!F137</f>
        <v>0</v>
      </c>
      <c r="G137" s="363">
        <f>'As-Filed Schedule 3'!G137</f>
        <v>0</v>
      </c>
      <c r="H137" s="363">
        <f>'As-Filed Schedule 3'!H137</f>
        <v>0</v>
      </c>
      <c r="I137" s="139" t="str">
        <f>IF(B137=0,"",IF(AND(G137=0,H137=0),365,IF(AND(G137&gt;0,H137=0),$C$6-G137+1,IF(AND(G137=0,H137&gt;0),H137-($C$6-365),H137-G137+1))))</f>
        <v/>
      </c>
      <c r="J137" s="98"/>
      <c r="K137" s="414">
        <f>SUM(K138:K140)</f>
        <v>0</v>
      </c>
      <c r="L137" s="416">
        <f>SUM(L138:L140)</f>
        <v>0</v>
      </c>
      <c r="M137" s="418">
        <f>SUM(M138:M140)</f>
        <v>0</v>
      </c>
      <c r="N137" s="91" t="str">
        <f>IF(K137&gt;0,K137/(F137*I137),"")</f>
        <v/>
      </c>
      <c r="O137" s="346" t="str">
        <f>IF(M137&gt;0,M137/(F137*I137),"")</f>
        <v/>
      </c>
      <c r="P137" s="126">
        <f>'As-Filed Schedule 3'!M137</f>
        <v>0</v>
      </c>
      <c r="Q137" s="349">
        <f>SUMIFS(Adjustments!$G:$G,Adjustments!$H:$H,"3",Adjustments!$I:$I,'Schedule 3 Adjustments'!$P$13,Adjustments!$J:$J,'As-Filed Schedule 3'!A137)</f>
        <v>0</v>
      </c>
      <c r="R137" s="353">
        <f>SUM(P137:Q137)</f>
        <v>0</v>
      </c>
      <c r="S137" s="85" t="str">
        <f>IFERROR(P137/K137,"")</f>
        <v/>
      </c>
      <c r="T137" s="357" t="str">
        <f>IFERROR(R137/M137,"")</f>
        <v/>
      </c>
      <c r="U137" s="126">
        <f>'As-Filed Schedule 3'!O137</f>
        <v>0</v>
      </c>
      <c r="V137" s="349">
        <f>SUMIFS(Adjustments!$G:$G,Adjustments!$H:$H,"3",Adjustments!$I:$I,'Schedule 3 Adjustments'!$U$13,Adjustments!$J:$J,$A137)</f>
        <v>0</v>
      </c>
      <c r="W137" s="353">
        <f>SUM(U137:V137)</f>
        <v>0</v>
      </c>
      <c r="X137" s="85" t="str">
        <f>IFERROR(U137/K137,"")</f>
        <v/>
      </c>
      <c r="Y137" s="85" t="str">
        <f>IFERROR(W137/M137,"")</f>
        <v/>
      </c>
      <c r="Z137" s="86" t="str">
        <f>IF(P137=0,"",P137-U137)</f>
        <v/>
      </c>
      <c r="AA137" s="359" t="str">
        <f>IF(R137=0,"",R137-W137)</f>
        <v/>
      </c>
      <c r="AB137" s="85" t="str">
        <f>IFERROR(Z137/K137,"")</f>
        <v/>
      </c>
      <c r="AC137" s="357" t="str">
        <f>IFERROR(AA137/M137,"")</f>
        <v/>
      </c>
    </row>
    <row r="138" spans="1:29" x14ac:dyDescent="0.35">
      <c r="A138" s="101" t="s">
        <v>447</v>
      </c>
      <c r="B138" s="87"/>
      <c r="C138" s="87"/>
      <c r="D138" s="87"/>
      <c r="E138" s="87"/>
      <c r="F138" s="132"/>
      <c r="G138" s="135"/>
      <c r="H138" s="135"/>
      <c r="I138" s="104"/>
      <c r="J138" s="369">
        <f>'As-Filed Schedule 3'!J138</f>
        <v>0</v>
      </c>
      <c r="K138" s="415">
        <f>'As-Filed Schedule 3'!K138</f>
        <v>0</v>
      </c>
      <c r="L138" s="417">
        <f>SUMIFS(Adjustments!$G:$G,Adjustments!$H:$H,"3",Adjustments!$I:$I,'Schedule 3 Adjustments'!$K$13,Adjustments!$J:$J,"25a")</f>
        <v>0</v>
      </c>
      <c r="M138" s="419">
        <f>SUM(K138:L138)</f>
        <v>0</v>
      </c>
      <c r="N138" s="89"/>
      <c r="O138" s="354"/>
      <c r="P138" s="87"/>
      <c r="Q138" s="350"/>
      <c r="R138" s="354"/>
      <c r="S138" s="87"/>
      <c r="T138" s="354"/>
      <c r="U138" s="87"/>
      <c r="V138" s="350"/>
      <c r="W138" s="354"/>
      <c r="X138" s="87"/>
      <c r="Y138" s="354"/>
      <c r="Z138" s="87"/>
      <c r="AA138" s="354"/>
      <c r="AB138" s="87"/>
      <c r="AC138" s="354"/>
    </row>
    <row r="139" spans="1:29" x14ac:dyDescent="0.35">
      <c r="A139" s="102" t="s">
        <v>448</v>
      </c>
      <c r="B139" s="88"/>
      <c r="C139" s="88"/>
      <c r="D139" s="88"/>
      <c r="E139" s="88"/>
      <c r="F139" s="133"/>
      <c r="G139" s="136"/>
      <c r="H139" s="136"/>
      <c r="I139" s="105"/>
      <c r="J139" s="369">
        <f>'As-Filed Schedule 3'!J139</f>
        <v>0</v>
      </c>
      <c r="K139" s="415">
        <f>'As-Filed Schedule 3'!K139</f>
        <v>0</v>
      </c>
      <c r="L139" s="417">
        <f>SUMIFS(Adjustments!$G:$G,Adjustments!$H:$H,"3",Adjustments!$I:$I,'Schedule 3 Adjustments'!$K$13,Adjustments!$J:$J,"25b")</f>
        <v>0</v>
      </c>
      <c r="M139" s="419">
        <f>SUM(K139:L139)</f>
        <v>0</v>
      </c>
      <c r="N139" s="90"/>
      <c r="O139" s="355"/>
      <c r="P139" s="88"/>
      <c r="Q139" s="351"/>
      <c r="R139" s="355"/>
      <c r="S139" s="88"/>
      <c r="T139" s="355"/>
      <c r="U139" s="88"/>
      <c r="V139" s="351"/>
      <c r="W139" s="355"/>
      <c r="X139" s="88"/>
      <c r="Y139" s="355"/>
      <c r="Z139" s="88"/>
      <c r="AA139" s="355"/>
      <c r="AB139" s="88"/>
      <c r="AC139" s="355"/>
    </row>
    <row r="140" spans="1:29" x14ac:dyDescent="0.35">
      <c r="A140" s="103" t="s">
        <v>449</v>
      </c>
      <c r="B140" s="88"/>
      <c r="C140" s="88"/>
      <c r="D140" s="88"/>
      <c r="E140" s="88"/>
      <c r="F140" s="133"/>
      <c r="G140" s="136"/>
      <c r="H140" s="136"/>
      <c r="I140" s="105"/>
      <c r="J140" s="369">
        <f>'As-Filed Schedule 3'!J140</f>
        <v>0</v>
      </c>
      <c r="K140" s="415">
        <f>'As-Filed Schedule 3'!K140</f>
        <v>0</v>
      </c>
      <c r="L140" s="417">
        <f>SUMIFS(Adjustments!$G:$G,Adjustments!$H:$H,"3",Adjustments!$I:$I,'Schedule 3 Adjustments'!$K$13,Adjustments!$J:$J,"25c")</f>
        <v>0</v>
      </c>
      <c r="M140" s="419">
        <f>SUM(K140:L140)</f>
        <v>0</v>
      </c>
      <c r="N140" s="90"/>
      <c r="O140" s="355"/>
      <c r="P140" s="88"/>
      <c r="Q140" s="351"/>
      <c r="R140" s="355"/>
      <c r="S140" s="88"/>
      <c r="T140" s="355"/>
      <c r="U140" s="88"/>
      <c r="V140" s="351"/>
      <c r="W140" s="355"/>
      <c r="X140" s="88"/>
      <c r="Y140" s="355"/>
      <c r="Z140" s="88"/>
      <c r="AA140" s="355"/>
      <c r="AB140" s="88"/>
      <c r="AC140" s="355"/>
    </row>
    <row r="141" spans="1:29" x14ac:dyDescent="0.35">
      <c r="J141" s="100"/>
      <c r="N141" s="28"/>
      <c r="O141" s="347"/>
    </row>
    <row r="142" spans="1:29" s="34" customFormat="1" x14ac:dyDescent="0.35">
      <c r="A142" s="84">
        <v>26</v>
      </c>
      <c r="B142" s="524">
        <f>'As-Filed Schedule 3'!B142:C142</f>
        <v>0</v>
      </c>
      <c r="C142" s="525"/>
      <c r="D142" s="365">
        <f>'As-Filed Schedule 3'!D142</f>
        <v>0</v>
      </c>
      <c r="E142" s="365">
        <f>'As-Filed Schedule 3'!E142</f>
        <v>0</v>
      </c>
      <c r="F142" s="364">
        <f>'As-Filed Schedule 3'!F142</f>
        <v>0</v>
      </c>
      <c r="G142" s="363">
        <f>'As-Filed Schedule 3'!G142</f>
        <v>0</v>
      </c>
      <c r="H142" s="363">
        <f>'As-Filed Schedule 3'!H142</f>
        <v>0</v>
      </c>
      <c r="I142" s="139" t="str">
        <f>IF(B142=0,"",IF(AND(G142=0,H142=0),365,IF(AND(G142&gt;0,H142=0),$C$6-G142+1,IF(AND(G142=0,H142&gt;0),H142-($C$6-365),H142-G142+1))))</f>
        <v/>
      </c>
      <c r="J142" s="98"/>
      <c r="K142" s="414">
        <f>SUM(K143:K145)</f>
        <v>0</v>
      </c>
      <c r="L142" s="416">
        <f>SUM(L143:L145)</f>
        <v>0</v>
      </c>
      <c r="M142" s="418">
        <f>SUM(M143:M145)</f>
        <v>0</v>
      </c>
      <c r="N142" s="91" t="str">
        <f>IF(K142&gt;0,K142/(F142*I142),"")</f>
        <v/>
      </c>
      <c r="O142" s="346" t="str">
        <f>IF(M142&gt;0,M142/(F142*I142),"")</f>
        <v/>
      </c>
      <c r="P142" s="126">
        <f>'As-Filed Schedule 3'!M142</f>
        <v>0</v>
      </c>
      <c r="Q142" s="349">
        <f>SUMIFS(Adjustments!$G:$G,Adjustments!$H:$H,"3",Adjustments!$I:$I,'Schedule 3 Adjustments'!$P$13,Adjustments!$J:$J,'As-Filed Schedule 3'!A142)</f>
        <v>0</v>
      </c>
      <c r="R142" s="353">
        <f>SUM(P142:Q142)</f>
        <v>0</v>
      </c>
      <c r="S142" s="85" t="str">
        <f>IFERROR(P142/K142,"")</f>
        <v/>
      </c>
      <c r="T142" s="357" t="str">
        <f>IFERROR(R142/M142,"")</f>
        <v/>
      </c>
      <c r="U142" s="126">
        <f>'As-Filed Schedule 3'!O142</f>
        <v>0</v>
      </c>
      <c r="V142" s="349">
        <f>SUMIFS(Adjustments!$G:$G,Adjustments!$H:$H,"3",Adjustments!$I:$I,'Schedule 3 Adjustments'!$U$13,Adjustments!$J:$J,$A142)</f>
        <v>0</v>
      </c>
      <c r="W142" s="353">
        <f>SUM(U142:V142)</f>
        <v>0</v>
      </c>
      <c r="X142" s="85" t="str">
        <f>IFERROR(U142/K142,"")</f>
        <v/>
      </c>
      <c r="Y142" s="85" t="str">
        <f>IFERROR(W142/M142,"")</f>
        <v/>
      </c>
      <c r="Z142" s="86" t="str">
        <f>IF(P142=0,"",P142-U142)</f>
        <v/>
      </c>
      <c r="AA142" s="359" t="str">
        <f>IF(R142=0,"",R142-W142)</f>
        <v/>
      </c>
      <c r="AB142" s="85" t="str">
        <f>IFERROR(Z142/K142,"")</f>
        <v/>
      </c>
      <c r="AC142" s="357" t="str">
        <f>IFERROR(AA142/M142,"")</f>
        <v/>
      </c>
    </row>
    <row r="143" spans="1:29" x14ac:dyDescent="0.35">
      <c r="A143" s="101" t="s">
        <v>447</v>
      </c>
      <c r="B143" s="87"/>
      <c r="C143" s="87"/>
      <c r="D143" s="87"/>
      <c r="E143" s="87"/>
      <c r="F143" s="132"/>
      <c r="G143" s="135"/>
      <c r="H143" s="135"/>
      <c r="I143" s="104"/>
      <c r="J143" s="369">
        <f>'As-Filed Schedule 3'!J143</f>
        <v>0</v>
      </c>
      <c r="K143" s="415">
        <f>'As-Filed Schedule 3'!K143</f>
        <v>0</v>
      </c>
      <c r="L143" s="417">
        <f>SUMIFS(Adjustments!$G:$G,Adjustments!$H:$H,"3",Adjustments!$I:$I,'Schedule 3 Adjustments'!$K$13,Adjustments!$J:$J,"26a")</f>
        <v>0</v>
      </c>
      <c r="M143" s="419">
        <f>SUM(K143:L143)</f>
        <v>0</v>
      </c>
      <c r="N143" s="89"/>
      <c r="O143" s="354"/>
      <c r="P143" s="87"/>
      <c r="Q143" s="350"/>
      <c r="R143" s="354"/>
      <c r="S143" s="87"/>
      <c r="T143" s="354"/>
      <c r="U143" s="87"/>
      <c r="V143" s="350"/>
      <c r="W143" s="354"/>
      <c r="X143" s="87"/>
      <c r="Y143" s="354"/>
      <c r="Z143" s="87"/>
      <c r="AA143" s="354"/>
      <c r="AB143" s="87"/>
      <c r="AC143" s="354"/>
    </row>
    <row r="144" spans="1:29" x14ac:dyDescent="0.35">
      <c r="A144" s="102" t="s">
        <v>448</v>
      </c>
      <c r="B144" s="88"/>
      <c r="C144" s="88"/>
      <c r="D144" s="88"/>
      <c r="E144" s="88"/>
      <c r="F144" s="133"/>
      <c r="G144" s="136"/>
      <c r="H144" s="136"/>
      <c r="I144" s="105"/>
      <c r="J144" s="369">
        <f>'As-Filed Schedule 3'!J144</f>
        <v>0</v>
      </c>
      <c r="K144" s="415">
        <f>'As-Filed Schedule 3'!K144</f>
        <v>0</v>
      </c>
      <c r="L144" s="417">
        <f>SUMIFS(Adjustments!$G:$G,Adjustments!$H:$H,"3",Adjustments!$I:$I,'Schedule 3 Adjustments'!$K$13,Adjustments!$J:$J,"26b")</f>
        <v>0</v>
      </c>
      <c r="M144" s="419">
        <f>SUM(K144:L144)</f>
        <v>0</v>
      </c>
      <c r="N144" s="90"/>
      <c r="O144" s="355"/>
      <c r="P144" s="88"/>
      <c r="Q144" s="351"/>
      <c r="R144" s="355"/>
      <c r="S144" s="88"/>
      <c r="T144" s="355"/>
      <c r="U144" s="88"/>
      <c r="V144" s="351"/>
      <c r="W144" s="355"/>
      <c r="X144" s="88"/>
      <c r="Y144" s="355"/>
      <c r="Z144" s="88"/>
      <c r="AA144" s="355"/>
      <c r="AB144" s="88"/>
      <c r="AC144" s="355"/>
    </row>
    <row r="145" spans="1:29" x14ac:dyDescent="0.35">
      <c r="A145" s="103" t="s">
        <v>449</v>
      </c>
      <c r="B145" s="88"/>
      <c r="C145" s="88"/>
      <c r="D145" s="88"/>
      <c r="E145" s="88"/>
      <c r="F145" s="133"/>
      <c r="G145" s="136"/>
      <c r="H145" s="136"/>
      <c r="I145" s="105"/>
      <c r="J145" s="369">
        <f>'As-Filed Schedule 3'!J145</f>
        <v>0</v>
      </c>
      <c r="K145" s="415">
        <f>'As-Filed Schedule 3'!K145</f>
        <v>0</v>
      </c>
      <c r="L145" s="417">
        <f>SUMIFS(Adjustments!$G:$G,Adjustments!$H:$H,"3",Adjustments!$I:$I,'Schedule 3 Adjustments'!$K$13,Adjustments!$J:$J,"26c")</f>
        <v>0</v>
      </c>
      <c r="M145" s="419">
        <f>SUM(K145:L145)</f>
        <v>0</v>
      </c>
      <c r="N145" s="90"/>
      <c r="O145" s="355"/>
      <c r="P145" s="88"/>
      <c r="Q145" s="351"/>
      <c r="R145" s="355"/>
      <c r="S145" s="88"/>
      <c r="T145" s="355"/>
      <c r="U145" s="88"/>
      <c r="V145" s="351"/>
      <c r="W145" s="355"/>
      <c r="X145" s="88"/>
      <c r="Y145" s="355"/>
      <c r="Z145" s="88"/>
      <c r="AA145" s="355"/>
      <c r="AB145" s="88"/>
      <c r="AC145" s="355"/>
    </row>
    <row r="146" spans="1:29" x14ac:dyDescent="0.35">
      <c r="J146" s="100"/>
      <c r="N146" s="28"/>
      <c r="O146" s="347"/>
    </row>
    <row r="147" spans="1:29" s="34" customFormat="1" x14ac:dyDescent="0.35">
      <c r="A147" s="84">
        <v>27</v>
      </c>
      <c r="B147" s="524">
        <f>'As-Filed Schedule 3'!B147:C147</f>
        <v>0</v>
      </c>
      <c r="C147" s="525"/>
      <c r="D147" s="365">
        <f>'As-Filed Schedule 3'!D147</f>
        <v>0</v>
      </c>
      <c r="E147" s="365">
        <f>'As-Filed Schedule 3'!E147</f>
        <v>0</v>
      </c>
      <c r="F147" s="364">
        <f>'As-Filed Schedule 3'!F147</f>
        <v>0</v>
      </c>
      <c r="G147" s="363">
        <f>'As-Filed Schedule 3'!G147</f>
        <v>0</v>
      </c>
      <c r="H147" s="363">
        <f>'As-Filed Schedule 3'!H147</f>
        <v>0</v>
      </c>
      <c r="I147" s="139" t="str">
        <f>IF(B147=0,"",IF(AND(G147=0,H147=0),365,IF(AND(G147&gt;0,H147=0),$C$6-G147+1,IF(AND(G147=0,H147&gt;0),H147-($C$6-365),H147-G147+1))))</f>
        <v/>
      </c>
      <c r="J147" s="98"/>
      <c r="K147" s="414">
        <f>SUM(K148:K150)</f>
        <v>0</v>
      </c>
      <c r="L147" s="416">
        <f>SUM(L148:L150)</f>
        <v>0</v>
      </c>
      <c r="M147" s="418">
        <f>SUM(M148:M150)</f>
        <v>0</v>
      </c>
      <c r="N147" s="91" t="str">
        <f>IF(K147&gt;0,K147/(F147*I147),"")</f>
        <v/>
      </c>
      <c r="O147" s="346" t="str">
        <f>IF(M147&gt;0,M147/(F147*I147),"")</f>
        <v/>
      </c>
      <c r="P147" s="126">
        <f>'As-Filed Schedule 3'!M147</f>
        <v>0</v>
      </c>
      <c r="Q147" s="349">
        <f>SUMIFS(Adjustments!$G:$G,Adjustments!$H:$H,"3",Adjustments!$I:$I,'Schedule 3 Adjustments'!$P$13,Adjustments!$J:$J,'As-Filed Schedule 3'!A147)</f>
        <v>0</v>
      </c>
      <c r="R147" s="353">
        <f>SUM(P147:Q147)</f>
        <v>0</v>
      </c>
      <c r="S147" s="85" t="str">
        <f>IFERROR(P147/K147,"")</f>
        <v/>
      </c>
      <c r="T147" s="357" t="str">
        <f>IFERROR(R147/M147,"")</f>
        <v/>
      </c>
      <c r="U147" s="126">
        <f>'As-Filed Schedule 3'!O147</f>
        <v>0</v>
      </c>
      <c r="V147" s="349">
        <f>SUMIFS(Adjustments!$G:$G,Adjustments!$H:$H,"3",Adjustments!$I:$I,'Schedule 3 Adjustments'!$U$13,Adjustments!$J:$J,$A147)</f>
        <v>0</v>
      </c>
      <c r="W147" s="353">
        <f>SUM(U147:V147)</f>
        <v>0</v>
      </c>
      <c r="X147" s="85" t="str">
        <f>IFERROR(U147/K147,"")</f>
        <v/>
      </c>
      <c r="Y147" s="85" t="str">
        <f>IFERROR(W147/M147,"")</f>
        <v/>
      </c>
      <c r="Z147" s="86" t="str">
        <f>IF(P147=0,"",P147-U147)</f>
        <v/>
      </c>
      <c r="AA147" s="359" t="str">
        <f>IF(R147=0,"",R147-W147)</f>
        <v/>
      </c>
      <c r="AB147" s="85" t="str">
        <f>IFERROR(Z147/K147,"")</f>
        <v/>
      </c>
      <c r="AC147" s="357" t="str">
        <f>IFERROR(AA147/M147,"")</f>
        <v/>
      </c>
    </row>
    <row r="148" spans="1:29" x14ac:dyDescent="0.35">
      <c r="A148" s="101" t="s">
        <v>447</v>
      </c>
      <c r="B148" s="87"/>
      <c r="C148" s="87"/>
      <c r="D148" s="87"/>
      <c r="E148" s="87"/>
      <c r="F148" s="132"/>
      <c r="G148" s="135"/>
      <c r="H148" s="135"/>
      <c r="I148" s="104"/>
      <c r="J148" s="369">
        <f>'As-Filed Schedule 3'!J148</f>
        <v>0</v>
      </c>
      <c r="K148" s="415">
        <f>'As-Filed Schedule 3'!K148</f>
        <v>0</v>
      </c>
      <c r="L148" s="417">
        <f>SUMIFS(Adjustments!$G:$G,Adjustments!$H:$H,"3",Adjustments!$I:$I,'Schedule 3 Adjustments'!$K$13,Adjustments!$J:$J,"27a")</f>
        <v>0</v>
      </c>
      <c r="M148" s="419">
        <f>SUM(K148:L148)</f>
        <v>0</v>
      </c>
      <c r="N148" s="89"/>
      <c r="O148" s="354"/>
      <c r="P148" s="87"/>
      <c r="Q148" s="350"/>
      <c r="R148" s="354"/>
      <c r="S148" s="87"/>
      <c r="T148" s="354"/>
      <c r="U148" s="87"/>
      <c r="V148" s="350"/>
      <c r="W148" s="354"/>
      <c r="X148" s="87"/>
      <c r="Y148" s="354"/>
      <c r="Z148" s="87"/>
      <c r="AA148" s="354"/>
      <c r="AB148" s="87"/>
      <c r="AC148" s="354"/>
    </row>
    <row r="149" spans="1:29" x14ac:dyDescent="0.35">
      <c r="A149" s="102" t="s">
        <v>448</v>
      </c>
      <c r="B149" s="88"/>
      <c r="C149" s="88"/>
      <c r="D149" s="88"/>
      <c r="E149" s="88"/>
      <c r="F149" s="133"/>
      <c r="G149" s="136"/>
      <c r="H149" s="136"/>
      <c r="I149" s="105"/>
      <c r="J149" s="369">
        <f>'As-Filed Schedule 3'!J149</f>
        <v>0</v>
      </c>
      <c r="K149" s="415">
        <f>'As-Filed Schedule 3'!K149</f>
        <v>0</v>
      </c>
      <c r="L149" s="417">
        <f>SUMIFS(Adjustments!$G:$G,Adjustments!$H:$H,"3",Adjustments!$I:$I,'Schedule 3 Adjustments'!$K$13,Adjustments!$J:$J,"27b")</f>
        <v>0</v>
      </c>
      <c r="M149" s="419">
        <f>SUM(K149:L149)</f>
        <v>0</v>
      </c>
      <c r="N149" s="90"/>
      <c r="O149" s="355"/>
      <c r="P149" s="88"/>
      <c r="Q149" s="351"/>
      <c r="R149" s="355"/>
      <c r="S149" s="88"/>
      <c r="T149" s="355"/>
      <c r="U149" s="88"/>
      <c r="V149" s="351"/>
      <c r="W149" s="355"/>
      <c r="X149" s="88"/>
      <c r="Y149" s="355"/>
      <c r="Z149" s="88"/>
      <c r="AA149" s="355"/>
      <c r="AB149" s="88"/>
      <c r="AC149" s="355"/>
    </row>
    <row r="150" spans="1:29" x14ac:dyDescent="0.35">
      <c r="A150" s="103" t="s">
        <v>449</v>
      </c>
      <c r="B150" s="88"/>
      <c r="C150" s="88"/>
      <c r="D150" s="88"/>
      <c r="E150" s="88"/>
      <c r="F150" s="133"/>
      <c r="G150" s="136"/>
      <c r="H150" s="136"/>
      <c r="I150" s="105"/>
      <c r="J150" s="369">
        <f>'As-Filed Schedule 3'!J150</f>
        <v>0</v>
      </c>
      <c r="K150" s="415">
        <f>'As-Filed Schedule 3'!K150</f>
        <v>0</v>
      </c>
      <c r="L150" s="417">
        <f>SUMIFS(Adjustments!$G:$G,Adjustments!$H:$H,"3",Adjustments!$I:$I,'Schedule 3 Adjustments'!$K$13,Adjustments!$J:$J,"27c")</f>
        <v>0</v>
      </c>
      <c r="M150" s="419">
        <f>SUM(K150:L150)</f>
        <v>0</v>
      </c>
      <c r="N150" s="90"/>
      <c r="O150" s="355"/>
      <c r="P150" s="88"/>
      <c r="Q150" s="351"/>
      <c r="R150" s="355"/>
      <c r="S150" s="88"/>
      <c r="T150" s="355"/>
      <c r="U150" s="88"/>
      <c r="V150" s="351"/>
      <c r="W150" s="355"/>
      <c r="X150" s="88"/>
      <c r="Y150" s="355"/>
      <c r="Z150" s="88"/>
      <c r="AA150" s="355"/>
      <c r="AB150" s="88"/>
      <c r="AC150" s="355"/>
    </row>
    <row r="151" spans="1:29" x14ac:dyDescent="0.35">
      <c r="J151" s="100"/>
      <c r="N151" s="28"/>
      <c r="O151" s="347"/>
    </row>
    <row r="152" spans="1:29" s="34" customFormat="1" x14ac:dyDescent="0.35">
      <c r="A152" s="84">
        <v>28</v>
      </c>
      <c r="B152" s="524">
        <f>'As-Filed Schedule 3'!B152:C152</f>
        <v>0</v>
      </c>
      <c r="C152" s="525"/>
      <c r="D152" s="365">
        <f>'As-Filed Schedule 3'!D152</f>
        <v>0</v>
      </c>
      <c r="E152" s="365">
        <f>'As-Filed Schedule 3'!E152</f>
        <v>0</v>
      </c>
      <c r="F152" s="364">
        <f>'As-Filed Schedule 3'!F152</f>
        <v>0</v>
      </c>
      <c r="G152" s="363">
        <f>'As-Filed Schedule 3'!G152</f>
        <v>0</v>
      </c>
      <c r="H152" s="363">
        <f>'As-Filed Schedule 3'!H152</f>
        <v>0</v>
      </c>
      <c r="I152" s="139" t="str">
        <f>IF(B152=0,"",IF(AND(G152=0,H152=0),365,IF(AND(G152&gt;0,H152=0),$C$6-G152+1,IF(AND(G152=0,H152&gt;0),H152-($C$6-365),H152-G152+1))))</f>
        <v/>
      </c>
      <c r="J152" s="98"/>
      <c r="K152" s="414">
        <f>SUM(K153:K155)</f>
        <v>0</v>
      </c>
      <c r="L152" s="416">
        <f>SUM(L153:L155)</f>
        <v>0</v>
      </c>
      <c r="M152" s="418">
        <f>SUM(M153:M155)</f>
        <v>0</v>
      </c>
      <c r="N152" s="91" t="str">
        <f>IF(K152&gt;0,K152/(F152*I152),"")</f>
        <v/>
      </c>
      <c r="O152" s="346" t="str">
        <f>IF(M152&gt;0,M152/(F152*I152),"")</f>
        <v/>
      </c>
      <c r="P152" s="126">
        <f>'As-Filed Schedule 3'!M152</f>
        <v>0</v>
      </c>
      <c r="Q152" s="349">
        <f>SUMIFS(Adjustments!$G:$G,Adjustments!$H:$H,"3",Adjustments!$I:$I,'Schedule 3 Adjustments'!$P$13,Adjustments!$J:$J,'As-Filed Schedule 3'!A152)</f>
        <v>0</v>
      </c>
      <c r="R152" s="353">
        <f>SUM(P152:Q152)</f>
        <v>0</v>
      </c>
      <c r="S152" s="85" t="str">
        <f>IFERROR(P152/K152,"")</f>
        <v/>
      </c>
      <c r="T152" s="357" t="str">
        <f>IFERROR(R152/M152,"")</f>
        <v/>
      </c>
      <c r="U152" s="126">
        <f>'As-Filed Schedule 3'!O152</f>
        <v>0</v>
      </c>
      <c r="V152" s="349">
        <f>SUMIFS(Adjustments!$G:$G,Adjustments!$H:$H,"3",Adjustments!$I:$I,'Schedule 3 Adjustments'!$U$13,Adjustments!$J:$J,$A152)</f>
        <v>0</v>
      </c>
      <c r="W152" s="353">
        <f>SUM(U152:V152)</f>
        <v>0</v>
      </c>
      <c r="X152" s="85" t="str">
        <f>IFERROR(U152/K152,"")</f>
        <v/>
      </c>
      <c r="Y152" s="85" t="str">
        <f>IFERROR(W152/M152,"")</f>
        <v/>
      </c>
      <c r="Z152" s="86" t="str">
        <f>IF(P152=0,"",P152-U152)</f>
        <v/>
      </c>
      <c r="AA152" s="359" t="str">
        <f>IF(R152=0,"",R152-W152)</f>
        <v/>
      </c>
      <c r="AB152" s="85" t="str">
        <f>IFERROR(Z152/K152,"")</f>
        <v/>
      </c>
      <c r="AC152" s="357" t="str">
        <f>IFERROR(AA152/M152,"")</f>
        <v/>
      </c>
    </row>
    <row r="153" spans="1:29" x14ac:dyDescent="0.35">
      <c r="A153" s="101" t="s">
        <v>447</v>
      </c>
      <c r="B153" s="87"/>
      <c r="C153" s="87"/>
      <c r="D153" s="87"/>
      <c r="E153" s="87"/>
      <c r="F153" s="132"/>
      <c r="G153" s="135"/>
      <c r="H153" s="135"/>
      <c r="I153" s="104"/>
      <c r="J153" s="369">
        <f>'As-Filed Schedule 3'!J153</f>
        <v>0</v>
      </c>
      <c r="K153" s="415">
        <f>'As-Filed Schedule 3'!K153</f>
        <v>0</v>
      </c>
      <c r="L153" s="417">
        <f>SUMIFS(Adjustments!$G:$G,Adjustments!$H:$H,"3",Adjustments!$I:$I,'Schedule 3 Adjustments'!$K$13,Adjustments!$J:$J,"28a")</f>
        <v>0</v>
      </c>
      <c r="M153" s="419">
        <f>SUM(K153:L153)</f>
        <v>0</v>
      </c>
      <c r="N153" s="89"/>
      <c r="O153" s="354"/>
      <c r="P153" s="87"/>
      <c r="Q153" s="350"/>
      <c r="R153" s="354"/>
      <c r="S153" s="87"/>
      <c r="T153" s="354"/>
      <c r="U153" s="87"/>
      <c r="V153" s="350"/>
      <c r="W153" s="354"/>
      <c r="X153" s="87"/>
      <c r="Y153" s="354"/>
      <c r="Z153" s="87"/>
      <c r="AA153" s="354"/>
      <c r="AB153" s="87"/>
      <c r="AC153" s="354"/>
    </row>
    <row r="154" spans="1:29" x14ac:dyDescent="0.35">
      <c r="A154" s="102" t="s">
        <v>448</v>
      </c>
      <c r="B154" s="88"/>
      <c r="C154" s="88"/>
      <c r="D154" s="88"/>
      <c r="E154" s="88"/>
      <c r="F154" s="133"/>
      <c r="G154" s="136"/>
      <c r="H154" s="136"/>
      <c r="I154" s="105"/>
      <c r="J154" s="369">
        <f>'As-Filed Schedule 3'!J154</f>
        <v>0</v>
      </c>
      <c r="K154" s="415">
        <f>'As-Filed Schedule 3'!K154</f>
        <v>0</v>
      </c>
      <c r="L154" s="417">
        <f>SUMIFS(Adjustments!$G:$G,Adjustments!$H:$H,"3",Adjustments!$I:$I,'Schedule 3 Adjustments'!$K$13,Adjustments!$J:$J,"28b")</f>
        <v>0</v>
      </c>
      <c r="M154" s="419">
        <f>SUM(K154:L154)</f>
        <v>0</v>
      </c>
      <c r="N154" s="90"/>
      <c r="O154" s="355"/>
      <c r="P154" s="88"/>
      <c r="Q154" s="351"/>
      <c r="R154" s="355"/>
      <c r="S154" s="88"/>
      <c r="T154" s="355"/>
      <c r="U154" s="88"/>
      <c r="V154" s="351"/>
      <c r="W154" s="355"/>
      <c r="X154" s="88"/>
      <c r="Y154" s="355"/>
      <c r="Z154" s="88"/>
      <c r="AA154" s="355"/>
      <c r="AB154" s="88"/>
      <c r="AC154" s="355"/>
    </row>
    <row r="155" spans="1:29" x14ac:dyDescent="0.35">
      <c r="A155" s="103" t="s">
        <v>449</v>
      </c>
      <c r="B155" s="88"/>
      <c r="C155" s="88"/>
      <c r="D155" s="88"/>
      <c r="E155" s="88"/>
      <c r="F155" s="133"/>
      <c r="G155" s="136"/>
      <c r="H155" s="136"/>
      <c r="I155" s="105"/>
      <c r="J155" s="369">
        <f>'As-Filed Schedule 3'!J155</f>
        <v>0</v>
      </c>
      <c r="K155" s="415">
        <f>'As-Filed Schedule 3'!K155</f>
        <v>0</v>
      </c>
      <c r="L155" s="417">
        <f>SUMIFS(Adjustments!$G:$G,Adjustments!$H:$H,"3",Adjustments!$I:$I,'Schedule 3 Adjustments'!$K$13,Adjustments!$J:$J,"28c")</f>
        <v>0</v>
      </c>
      <c r="M155" s="419">
        <f>SUM(K155:L155)</f>
        <v>0</v>
      </c>
      <c r="N155" s="90"/>
      <c r="O155" s="355"/>
      <c r="P155" s="88"/>
      <c r="Q155" s="351"/>
      <c r="R155" s="355"/>
      <c r="S155" s="88"/>
      <c r="T155" s="355"/>
      <c r="U155" s="88"/>
      <c r="V155" s="351"/>
      <c r="W155" s="355"/>
      <c r="X155" s="88"/>
      <c r="Y155" s="355"/>
      <c r="Z155" s="88"/>
      <c r="AA155" s="355"/>
      <c r="AB155" s="88"/>
      <c r="AC155" s="355"/>
    </row>
    <row r="156" spans="1:29" x14ac:dyDescent="0.35">
      <c r="J156" s="100"/>
      <c r="N156" s="28"/>
      <c r="O156" s="347"/>
    </row>
    <row r="157" spans="1:29" s="34" customFormat="1" x14ac:dyDescent="0.35">
      <c r="A157" s="84">
        <v>29</v>
      </c>
      <c r="B157" s="524">
        <f>'As-Filed Schedule 3'!B157:C157</f>
        <v>0</v>
      </c>
      <c r="C157" s="525"/>
      <c r="D157" s="365">
        <f>'As-Filed Schedule 3'!D157</f>
        <v>0</v>
      </c>
      <c r="E157" s="365">
        <f>'As-Filed Schedule 3'!E157</f>
        <v>0</v>
      </c>
      <c r="F157" s="364">
        <f>'As-Filed Schedule 3'!F157</f>
        <v>0</v>
      </c>
      <c r="G157" s="363">
        <f>'As-Filed Schedule 3'!G157</f>
        <v>0</v>
      </c>
      <c r="H157" s="363">
        <f>'As-Filed Schedule 3'!H157</f>
        <v>0</v>
      </c>
      <c r="I157" s="139" t="str">
        <f>IF(B157=0,"",IF(AND(G157=0,H157=0),365,IF(AND(G157&gt;0,H157=0),$C$6-G157+1,IF(AND(G157=0,H157&gt;0),H157-($C$6-365),H157-G157+1))))</f>
        <v/>
      </c>
      <c r="J157" s="98"/>
      <c r="K157" s="414">
        <f>SUM(K158:K160)</f>
        <v>0</v>
      </c>
      <c r="L157" s="416">
        <f>SUM(L158:L160)</f>
        <v>0</v>
      </c>
      <c r="M157" s="418">
        <f>SUM(M158:M160)</f>
        <v>0</v>
      </c>
      <c r="N157" s="91" t="str">
        <f>IF(K157&gt;0,K157/(F157*I157),"")</f>
        <v/>
      </c>
      <c r="O157" s="346" t="str">
        <f>IF(M157&gt;0,M157/(F157*I157),"")</f>
        <v/>
      </c>
      <c r="P157" s="126">
        <f>'As-Filed Schedule 3'!M157</f>
        <v>0</v>
      </c>
      <c r="Q157" s="349">
        <f>SUMIFS(Adjustments!$G:$G,Adjustments!$H:$H,"3",Adjustments!$I:$I,'Schedule 3 Adjustments'!$P$13,Adjustments!$J:$J,'As-Filed Schedule 3'!A157)</f>
        <v>0</v>
      </c>
      <c r="R157" s="353">
        <f>SUM(P157:Q157)</f>
        <v>0</v>
      </c>
      <c r="S157" s="85" t="str">
        <f>IFERROR(P157/K157,"")</f>
        <v/>
      </c>
      <c r="T157" s="357" t="str">
        <f>IFERROR(R157/M157,"")</f>
        <v/>
      </c>
      <c r="U157" s="126">
        <f>'As-Filed Schedule 3'!O157</f>
        <v>0</v>
      </c>
      <c r="V157" s="349">
        <f>SUMIFS(Adjustments!$G:$G,Adjustments!$H:$H,"3",Adjustments!$I:$I,'Schedule 3 Adjustments'!$U$13,Adjustments!$J:$J,$A157)</f>
        <v>0</v>
      </c>
      <c r="W157" s="353">
        <f>SUM(U157:V157)</f>
        <v>0</v>
      </c>
      <c r="X157" s="85" t="str">
        <f>IFERROR(U157/K157,"")</f>
        <v/>
      </c>
      <c r="Y157" s="85" t="str">
        <f>IFERROR(W157/M157,"")</f>
        <v/>
      </c>
      <c r="Z157" s="86" t="str">
        <f>IF(P157=0,"",P157-U157)</f>
        <v/>
      </c>
      <c r="AA157" s="359" t="str">
        <f>IF(R157=0,"",R157-W157)</f>
        <v/>
      </c>
      <c r="AB157" s="85" t="str">
        <f>IFERROR(Z157/K157,"")</f>
        <v/>
      </c>
      <c r="AC157" s="357" t="str">
        <f>IFERROR(AA157/M157,"")</f>
        <v/>
      </c>
    </row>
    <row r="158" spans="1:29" x14ac:dyDescent="0.35">
      <c r="A158" s="101" t="s">
        <v>447</v>
      </c>
      <c r="B158" s="87"/>
      <c r="C158" s="87"/>
      <c r="D158" s="87"/>
      <c r="E158" s="87"/>
      <c r="F158" s="132"/>
      <c r="G158" s="135"/>
      <c r="H158" s="135"/>
      <c r="I158" s="104"/>
      <c r="J158" s="369">
        <f>'As-Filed Schedule 3'!J158</f>
        <v>0</v>
      </c>
      <c r="K158" s="415">
        <f>'As-Filed Schedule 3'!K158</f>
        <v>0</v>
      </c>
      <c r="L158" s="417">
        <f>SUMIFS(Adjustments!$G:$G,Adjustments!$H:$H,"3",Adjustments!$I:$I,'Schedule 3 Adjustments'!$K$13,Adjustments!$J:$J,"29a")</f>
        <v>0</v>
      </c>
      <c r="M158" s="419">
        <f>SUM(K158:L158)</f>
        <v>0</v>
      </c>
      <c r="N158" s="89"/>
      <c r="O158" s="354"/>
      <c r="P158" s="87"/>
      <c r="Q158" s="350"/>
      <c r="R158" s="354"/>
      <c r="S158" s="87"/>
      <c r="T158" s="354"/>
      <c r="U158" s="87"/>
      <c r="V158" s="350"/>
      <c r="W158" s="354"/>
      <c r="X158" s="87"/>
      <c r="Y158" s="354"/>
      <c r="Z158" s="87"/>
      <c r="AA158" s="354"/>
      <c r="AB158" s="87"/>
      <c r="AC158" s="354"/>
    </row>
    <row r="159" spans="1:29" x14ac:dyDescent="0.35">
      <c r="A159" s="102" t="s">
        <v>448</v>
      </c>
      <c r="B159" s="88"/>
      <c r="C159" s="88"/>
      <c r="D159" s="88"/>
      <c r="E159" s="88"/>
      <c r="F159" s="133"/>
      <c r="G159" s="136"/>
      <c r="H159" s="136"/>
      <c r="I159" s="105"/>
      <c r="J159" s="369">
        <f>'As-Filed Schedule 3'!J159</f>
        <v>0</v>
      </c>
      <c r="K159" s="415">
        <f>'As-Filed Schedule 3'!K159</f>
        <v>0</v>
      </c>
      <c r="L159" s="417">
        <f>SUMIFS(Adjustments!$G:$G,Adjustments!$H:$H,"3",Adjustments!$I:$I,'Schedule 3 Adjustments'!$K$13,Adjustments!$J:$J,"29b")</f>
        <v>0</v>
      </c>
      <c r="M159" s="419">
        <f>SUM(K159:L159)</f>
        <v>0</v>
      </c>
      <c r="N159" s="90"/>
      <c r="O159" s="355"/>
      <c r="P159" s="88"/>
      <c r="Q159" s="351"/>
      <c r="R159" s="355"/>
      <c r="S159" s="88"/>
      <c r="T159" s="355"/>
      <c r="U159" s="88"/>
      <c r="V159" s="351"/>
      <c r="W159" s="355"/>
      <c r="X159" s="88"/>
      <c r="Y159" s="355"/>
      <c r="Z159" s="88"/>
      <c r="AA159" s="355"/>
      <c r="AB159" s="88"/>
      <c r="AC159" s="355"/>
    </row>
    <row r="160" spans="1:29" x14ac:dyDescent="0.35">
      <c r="A160" s="103" t="s">
        <v>449</v>
      </c>
      <c r="B160" s="88"/>
      <c r="C160" s="88"/>
      <c r="D160" s="88"/>
      <c r="E160" s="88"/>
      <c r="F160" s="133"/>
      <c r="G160" s="136"/>
      <c r="H160" s="136"/>
      <c r="I160" s="105"/>
      <c r="J160" s="369">
        <f>'As-Filed Schedule 3'!J160</f>
        <v>0</v>
      </c>
      <c r="K160" s="415">
        <f>'As-Filed Schedule 3'!K160</f>
        <v>0</v>
      </c>
      <c r="L160" s="417">
        <f>SUMIFS(Adjustments!$G:$G,Adjustments!$H:$H,"3",Adjustments!$I:$I,'Schedule 3 Adjustments'!$K$13,Adjustments!$J:$J,"29c")</f>
        <v>0</v>
      </c>
      <c r="M160" s="419">
        <f>SUM(K160:L160)</f>
        <v>0</v>
      </c>
      <c r="N160" s="90"/>
      <c r="O160" s="355"/>
      <c r="P160" s="88"/>
      <c r="Q160" s="351"/>
      <c r="R160" s="355"/>
      <c r="S160" s="88"/>
      <c r="T160" s="355"/>
      <c r="U160" s="88"/>
      <c r="V160" s="351"/>
      <c r="W160" s="355"/>
      <c r="X160" s="88"/>
      <c r="Y160" s="355"/>
      <c r="Z160" s="88"/>
      <c r="AA160" s="355"/>
      <c r="AB160" s="88"/>
      <c r="AC160" s="355"/>
    </row>
    <row r="161" spans="1:29" x14ac:dyDescent="0.35">
      <c r="J161" s="100"/>
      <c r="N161" s="28"/>
      <c r="O161" s="347"/>
    </row>
    <row r="162" spans="1:29" s="34" customFormat="1" x14ac:dyDescent="0.35">
      <c r="A162" s="84">
        <v>30</v>
      </c>
      <c r="B162" s="524">
        <f>'As-Filed Schedule 3'!B162:C162</f>
        <v>0</v>
      </c>
      <c r="C162" s="525"/>
      <c r="D162" s="365">
        <f>'As-Filed Schedule 3'!D162</f>
        <v>0</v>
      </c>
      <c r="E162" s="365">
        <f>'As-Filed Schedule 3'!E162</f>
        <v>0</v>
      </c>
      <c r="F162" s="364">
        <f>'As-Filed Schedule 3'!F162</f>
        <v>0</v>
      </c>
      <c r="G162" s="363">
        <f>'As-Filed Schedule 3'!G162</f>
        <v>0</v>
      </c>
      <c r="H162" s="363">
        <f>'As-Filed Schedule 3'!H162</f>
        <v>0</v>
      </c>
      <c r="I162" s="139" t="str">
        <f>IF(B162=0,"",IF(AND(G162=0,H162=0),365,IF(AND(G162&gt;0,H162=0),$C$6-G162+1,IF(AND(G162=0,H162&gt;0),H162-($C$6-365),H162-G162+1))))</f>
        <v/>
      </c>
      <c r="J162" s="98"/>
      <c r="K162" s="414">
        <f>SUM(K163:K165)</f>
        <v>0</v>
      </c>
      <c r="L162" s="416">
        <f>SUM(L163:L165)</f>
        <v>0</v>
      </c>
      <c r="M162" s="418">
        <f>SUM(M163:M165)</f>
        <v>0</v>
      </c>
      <c r="N162" s="91" t="str">
        <f>IF(K162&gt;0,K162/(F162*I162),"")</f>
        <v/>
      </c>
      <c r="O162" s="346" t="str">
        <f>IF(M162&gt;0,M162/(F162*I162),"")</f>
        <v/>
      </c>
      <c r="P162" s="126">
        <f>'As-Filed Schedule 3'!M162</f>
        <v>0</v>
      </c>
      <c r="Q162" s="349">
        <f>SUMIFS(Adjustments!$G:$G,Adjustments!$H:$H,"3",Adjustments!$I:$I,'Schedule 3 Adjustments'!$P$13,Adjustments!$J:$J,'As-Filed Schedule 3'!A162)</f>
        <v>0</v>
      </c>
      <c r="R162" s="353">
        <f>SUM(P162:Q162)</f>
        <v>0</v>
      </c>
      <c r="S162" s="85" t="str">
        <f>IFERROR(P162/K162,"")</f>
        <v/>
      </c>
      <c r="T162" s="357" t="str">
        <f>IFERROR(R162/M162,"")</f>
        <v/>
      </c>
      <c r="U162" s="126">
        <f>'As-Filed Schedule 3'!O162</f>
        <v>0</v>
      </c>
      <c r="V162" s="349">
        <f>SUMIFS(Adjustments!$G:$G,Adjustments!$H:$H,"3",Adjustments!$I:$I,'Schedule 3 Adjustments'!$U$13,Adjustments!$J:$J,$A162)</f>
        <v>0</v>
      </c>
      <c r="W162" s="353">
        <f>SUM(U162:V162)</f>
        <v>0</v>
      </c>
      <c r="X162" s="85" t="str">
        <f>IFERROR(U162/K162,"")</f>
        <v/>
      </c>
      <c r="Y162" s="85" t="str">
        <f>IFERROR(W162/M162,"")</f>
        <v/>
      </c>
      <c r="Z162" s="86" t="str">
        <f>IF(P162=0,"",P162-U162)</f>
        <v/>
      </c>
      <c r="AA162" s="359" t="str">
        <f>IF(R162=0,"",R162-W162)</f>
        <v/>
      </c>
      <c r="AB162" s="85" t="str">
        <f>IFERROR(Z162/K162,"")</f>
        <v/>
      </c>
      <c r="AC162" s="357" t="str">
        <f>IFERROR(AA162/M162,"")</f>
        <v/>
      </c>
    </row>
    <row r="163" spans="1:29" x14ac:dyDescent="0.35">
      <c r="A163" s="101" t="s">
        <v>447</v>
      </c>
      <c r="B163" s="87"/>
      <c r="C163" s="87"/>
      <c r="D163" s="87"/>
      <c r="E163" s="87"/>
      <c r="F163" s="132"/>
      <c r="G163" s="135"/>
      <c r="H163" s="135"/>
      <c r="I163" s="104"/>
      <c r="J163" s="369">
        <f>'As-Filed Schedule 3'!J163</f>
        <v>0</v>
      </c>
      <c r="K163" s="415">
        <f>'As-Filed Schedule 3'!K163</f>
        <v>0</v>
      </c>
      <c r="L163" s="417">
        <f>SUMIFS(Adjustments!$G:$G,Adjustments!$H:$H,"3",Adjustments!$I:$I,'Schedule 3 Adjustments'!$K$13,Adjustments!$J:$J,"30a")</f>
        <v>0</v>
      </c>
      <c r="M163" s="419">
        <f>SUM(K163:L163)</f>
        <v>0</v>
      </c>
      <c r="N163" s="89"/>
      <c r="O163" s="354"/>
      <c r="P163" s="87"/>
      <c r="Q163" s="350"/>
      <c r="R163" s="354"/>
      <c r="S163" s="87"/>
      <c r="T163" s="354"/>
      <c r="U163" s="87"/>
      <c r="V163" s="350"/>
      <c r="W163" s="354"/>
      <c r="X163" s="87"/>
      <c r="Y163" s="354"/>
      <c r="Z163" s="87"/>
      <c r="AA163" s="354"/>
      <c r="AB163" s="87"/>
      <c r="AC163" s="354"/>
    </row>
    <row r="164" spans="1:29" x14ac:dyDescent="0.35">
      <c r="A164" s="102" t="s">
        <v>448</v>
      </c>
      <c r="B164" s="88"/>
      <c r="C164" s="88"/>
      <c r="D164" s="88"/>
      <c r="E164" s="88"/>
      <c r="F164" s="133"/>
      <c r="G164" s="136"/>
      <c r="H164" s="136"/>
      <c r="I164" s="105"/>
      <c r="J164" s="369">
        <f>'As-Filed Schedule 3'!J164</f>
        <v>0</v>
      </c>
      <c r="K164" s="415">
        <f>'As-Filed Schedule 3'!K164</f>
        <v>0</v>
      </c>
      <c r="L164" s="417">
        <f>SUMIFS(Adjustments!$G:$G,Adjustments!$H:$H,"3",Adjustments!$I:$I,'Schedule 3 Adjustments'!$K$13,Adjustments!$J:$J,"30b")</f>
        <v>0</v>
      </c>
      <c r="M164" s="419">
        <f>SUM(K164:L164)</f>
        <v>0</v>
      </c>
      <c r="N164" s="90"/>
      <c r="O164" s="355"/>
      <c r="P164" s="88"/>
      <c r="Q164" s="351"/>
      <c r="R164" s="355"/>
      <c r="S164" s="88"/>
      <c r="T164" s="355"/>
      <c r="U164" s="88"/>
      <c r="V164" s="351"/>
      <c r="W164" s="355"/>
      <c r="X164" s="88"/>
      <c r="Y164" s="355"/>
      <c r="Z164" s="88"/>
      <c r="AA164" s="355"/>
      <c r="AB164" s="88"/>
      <c r="AC164" s="355"/>
    </row>
    <row r="165" spans="1:29" x14ac:dyDescent="0.35">
      <c r="A165" s="103" t="s">
        <v>449</v>
      </c>
      <c r="B165" s="88"/>
      <c r="C165" s="88"/>
      <c r="D165" s="88"/>
      <c r="E165" s="88"/>
      <c r="F165" s="133"/>
      <c r="G165" s="136"/>
      <c r="H165" s="136"/>
      <c r="I165" s="105"/>
      <c r="J165" s="369">
        <f>'As-Filed Schedule 3'!J165</f>
        <v>0</v>
      </c>
      <c r="K165" s="415">
        <f>'As-Filed Schedule 3'!K165</f>
        <v>0</v>
      </c>
      <c r="L165" s="417">
        <f>SUMIFS(Adjustments!$G:$G,Adjustments!$H:$H,"3",Adjustments!$I:$I,'Schedule 3 Adjustments'!$K$13,Adjustments!$J:$J,"30c")</f>
        <v>0</v>
      </c>
      <c r="M165" s="419">
        <f>SUM(K165:L165)</f>
        <v>0</v>
      </c>
      <c r="N165" s="90"/>
      <c r="O165" s="355"/>
      <c r="P165" s="88"/>
      <c r="Q165" s="351"/>
      <c r="R165" s="355"/>
      <c r="S165" s="88"/>
      <c r="T165" s="355"/>
      <c r="U165" s="88"/>
      <c r="V165" s="351"/>
      <c r="W165" s="355"/>
      <c r="X165" s="88"/>
      <c r="Y165" s="355"/>
      <c r="Z165" s="88"/>
      <c r="AA165" s="355"/>
      <c r="AB165" s="88"/>
      <c r="AC165" s="355"/>
    </row>
    <row r="166" spans="1:29" x14ac:dyDescent="0.35">
      <c r="J166" s="100"/>
      <c r="N166" s="28"/>
      <c r="O166" s="347"/>
    </row>
    <row r="167" spans="1:29" x14ac:dyDescent="0.35">
      <c r="A167" s="19">
        <v>31</v>
      </c>
      <c r="B167" s="523" t="s">
        <v>173</v>
      </c>
      <c r="C167" s="523"/>
      <c r="D167" s="523"/>
      <c r="E167" s="523"/>
      <c r="F167" s="27">
        <f>F162+F157+F152+F147+F142+F137+F132+F127+F122+F117+F112+F107+F102+F97+F92+F87+F82+F77+F72+F67+F62+F57+F52+F47+F42+F37+F32+F27+F22+F17</f>
        <v>16</v>
      </c>
      <c r="G167" s="32"/>
      <c r="H167" s="32"/>
      <c r="I167" s="32"/>
      <c r="J167" s="32"/>
      <c r="K167" s="27">
        <f>K162+K157+K152+K147+K142+K137+K132+K127+K122+K117+K112+K107+K102+K97+K92+K87+K82+K77+K72+K67+K62+K57+K52+K47+K42+K37+K32+K27+K22+K17</f>
        <v>1986</v>
      </c>
      <c r="L167" s="345">
        <f>L162+L157+L152+L147+L142+L137+L132+L127+L122+L117+L112+L107+L102+L97+L92+L87+L82+L77+L72+L67+L62+L57+L52+L47+L42+L37+L32+L27+L22+L17</f>
        <v>0</v>
      </c>
      <c r="M167" s="339">
        <f>M162+M157+M152+M147+M142+M137+M132+M127+M122+M117+M112+M107+M102+M97+M92+M87+M82+M77+M72+M67+M62+M57+M52+M47+M42+M37+M32+M27+M22+M17</f>
        <v>1986</v>
      </c>
      <c r="N167" s="29">
        <f>IF(K167&gt;0,K167/(F167*365),"")</f>
        <v>0.34006849315068494</v>
      </c>
      <c r="O167" s="348">
        <f>IF(M167&gt;0,M167/(F167*365),"")</f>
        <v>0.34006849315068494</v>
      </c>
      <c r="P167" s="27">
        <f>P162+P157+P152+P147+P142+P137+P132+P127+P122+P117+P112+P107+P102+P97+P92+P87+P82+P77+P72+P67+P62+P57+P52+P47+P42+P37+P32+P27+P22+P17</f>
        <v>3659366.5359400609</v>
      </c>
      <c r="Q167" s="345">
        <f>Q162+Q157+Q152+Q147+Q142+Q137+Q132+Q127+Q122+Q117+Q112+Q107+Q102+Q97+Q92+Q87+Q82+Q77+Q72+Q67+Q62+Q57+Q52+Q47+Q42+Q37+Q32+Q27+Q22+Q17</f>
        <v>0</v>
      </c>
      <c r="R167" s="339">
        <f>R162+R157+R152+R147+R142+R137+R132+R127+R122+R117+R112+R107+R102+R97+R92+R87+R82+R77+R72+R67+R62+R57+R52+R47+R42+R37+R32+R27+R22+R17</f>
        <v>3659366.5359400609</v>
      </c>
      <c r="S167" s="17">
        <f>IFERROR(P167/K167,"")</f>
        <v>1842.5813373313499</v>
      </c>
      <c r="T167" s="358">
        <f>IFERROR(R167/M167,"")</f>
        <v>1842.5813373313499</v>
      </c>
      <c r="U167" s="27">
        <f>U162+U157+U152+U147+U142+U137+U132+U127+U122+U117+U112+U107+U102+U97+U92+U87+U82+U77+U72+U67+U62+U57+U52+U47+U42+U37+U32+U27+U22+U17</f>
        <v>134370.53375429299</v>
      </c>
      <c r="V167" s="345">
        <f>V162+V157+V152+V147+V142+V137+V132+V127+V122+V117+V112+V107+V102+V97+V92+V87+V82+V77+V72+V67+V62+V57+V52+V47+V42+V37+V32+V27+V22+V17</f>
        <v>0</v>
      </c>
      <c r="W167" s="339">
        <f>W162+W157+W152+W147+W142+W137+W132+W127+W122+W117+W112+W107+W102+W97+W92+W87+W82+W77+W72+W67+W62+W57+W52+W47+W42+W37+W32+W27+W22+W17</f>
        <v>134370.53375429299</v>
      </c>
      <c r="X167" s="17">
        <f t="shared" ref="X167" si="0">IFERROR(U167/K167,"")</f>
        <v>67.658879030359003</v>
      </c>
      <c r="Y167" s="358">
        <f>IFERROR(W167/M167,"")</f>
        <v>67.658879030359003</v>
      </c>
      <c r="Z167" s="30">
        <f t="shared" ref="Z167" si="1">IF(P167=0,"",P167-U167)</f>
        <v>3524996.002185768</v>
      </c>
      <c r="AA167" s="360">
        <f>IF(R167=0,"",R167-W167)</f>
        <v>3524996.002185768</v>
      </c>
      <c r="AB167" s="17">
        <f>IFERROR(Z167/K167,"")</f>
        <v>1774.9224583009909</v>
      </c>
      <c r="AC167" s="358">
        <f>IFERROR(AA167/M167,"")</f>
        <v>1774.9224583009909</v>
      </c>
    </row>
    <row r="169" spans="1:29" x14ac:dyDescent="0.35">
      <c r="A169" s="19">
        <v>32</v>
      </c>
      <c r="O169" s="37" t="s">
        <v>199</v>
      </c>
      <c r="P169" s="39">
        <f>'As-Filed Schedule 1'!G91</f>
        <v>2863995.9134879922</v>
      </c>
      <c r="Q169"/>
      <c r="R169" s="311">
        <f>'Schedule 1 Adjustments'!O92</f>
        <v>2863995.9134879922</v>
      </c>
    </row>
    <row r="170" spans="1:29" x14ac:dyDescent="0.35">
      <c r="A170" s="19">
        <v>33</v>
      </c>
      <c r="O170" s="37" t="s">
        <v>186</v>
      </c>
      <c r="P170" s="39">
        <f>'As-Filed Schedule 1'!G93</f>
        <v>795370.62245206907</v>
      </c>
      <c r="Q170"/>
      <c r="R170" s="311">
        <f>'Schedule 1 Adjustments'!O94</f>
        <v>795370.62245206907</v>
      </c>
    </row>
    <row r="171" spans="1:29" x14ac:dyDescent="0.35">
      <c r="A171" s="19">
        <v>34</v>
      </c>
      <c r="O171" s="37" t="s">
        <v>200</v>
      </c>
      <c r="P171" s="18">
        <f>SUM(P169:P170)</f>
        <v>3659366.5359400613</v>
      </c>
      <c r="Q171"/>
      <c r="R171" s="312">
        <f>SUM(R169:R170)</f>
        <v>3659366.5359400613</v>
      </c>
    </row>
    <row r="172" spans="1:29" x14ac:dyDescent="0.35">
      <c r="A172" s="19">
        <v>35</v>
      </c>
      <c r="O172" s="37" t="s">
        <v>10</v>
      </c>
      <c r="P172" s="18">
        <f>P167-P171</f>
        <v>0</v>
      </c>
      <c r="Q172"/>
      <c r="R172" s="312">
        <f>R167-R171</f>
        <v>0</v>
      </c>
    </row>
    <row r="173" spans="1:29" x14ac:dyDescent="0.35">
      <c r="P173" s="38" t="str">
        <f>IF(P172&lt;&gt;0,"ERROR","")</f>
        <v/>
      </c>
      <c r="Q173" s="352" t="str">
        <f>IF(Q172&lt;&gt;0,"ERROR","")</f>
        <v/>
      </c>
      <c r="R173" s="38" t="str">
        <f>IF(R172&lt;&gt;0,"ERROR","")</f>
        <v/>
      </c>
    </row>
    <row r="174" spans="1:29" ht="43.5" x14ac:dyDescent="0.35">
      <c r="J174" s="6" t="s">
        <v>40</v>
      </c>
      <c r="K174" s="6" t="s">
        <v>446</v>
      </c>
      <c r="L174" s="129" t="s">
        <v>658</v>
      </c>
      <c r="M174" s="6" t="s">
        <v>445</v>
      </c>
      <c r="N174" s="129" t="s">
        <v>659</v>
      </c>
      <c r="O174" s="78" t="s">
        <v>10</v>
      </c>
      <c r="P174" s="129" t="s">
        <v>660</v>
      </c>
      <c r="Q174"/>
    </row>
    <row r="175" spans="1:29" x14ac:dyDescent="0.35">
      <c r="A175" s="19">
        <v>36</v>
      </c>
      <c r="J175" s="93" t="s">
        <v>442</v>
      </c>
      <c r="K175" s="27">
        <f>SUMIF($J$17:$J$167,"H0010 3.2 WM",$K$17:$K$167)</f>
        <v>0</v>
      </c>
      <c r="L175" s="339">
        <f>SUMIF($J$17:$J$167,"H0010 3.2 WM",$M$17:$M$167)</f>
        <v>0</v>
      </c>
      <c r="M175" s="27">
        <f>'As-Filed Schedule 4'!D122+'As-Filed Schedule 4'!H122</f>
        <v>0</v>
      </c>
      <c r="N175" s="339">
        <f>'Adjusted Schedule 4'!D123+'Adjusted Schedule 4'!H123</f>
        <v>0</v>
      </c>
      <c r="O175" s="27">
        <f t="shared" ref="O175:P179" si="2">M175-K175</f>
        <v>0</v>
      </c>
      <c r="P175" s="339">
        <f t="shared" si="2"/>
        <v>0</v>
      </c>
      <c r="Q175"/>
      <c r="S175" s="92" t="str">
        <f>IF(O175&lt;&gt;0,"ERROR","")</f>
        <v/>
      </c>
      <c r="T175" s="92" t="str">
        <f>IF(Q175&lt;&gt;0,"ERROR","")</f>
        <v/>
      </c>
    </row>
    <row r="176" spans="1:29" x14ac:dyDescent="0.35">
      <c r="A176" s="19">
        <v>37</v>
      </c>
      <c r="J176" s="94" t="s">
        <v>443</v>
      </c>
      <c r="K176" s="27">
        <f>SUMIF($J$17:$J$167,"H0011 3.7 WM",$K$17:$K$167)</f>
        <v>0</v>
      </c>
      <c r="L176" s="339">
        <f>SUMIF($J$17:$J$167,"H0011 3.7 WM",$M$17:$M$167)</f>
        <v>0</v>
      </c>
      <c r="M176" s="27">
        <f>'As-Filed Schedule 4'!D123+'As-Filed Schedule 4'!H123</f>
        <v>0</v>
      </c>
      <c r="N176" s="339">
        <f>'Adjusted Schedule 4'!D124+'Adjusted Schedule 4'!H124</f>
        <v>0</v>
      </c>
      <c r="O176" s="27">
        <f t="shared" si="2"/>
        <v>0</v>
      </c>
      <c r="P176" s="339">
        <f t="shared" si="2"/>
        <v>0</v>
      </c>
      <c r="Q176"/>
      <c r="S176" s="92" t="str">
        <f>IF(O176&lt;&gt;0,"ERROR","")</f>
        <v/>
      </c>
      <c r="T176" s="92" t="str">
        <f t="shared" ref="T176:T179" si="3">IF(Q176&lt;&gt;0,"ERROR","")</f>
        <v/>
      </c>
    </row>
    <row r="177" spans="1:20" x14ac:dyDescent="0.35">
      <c r="A177" s="19">
        <v>38</v>
      </c>
      <c r="C177" s="232" t="s">
        <v>476</v>
      </c>
      <c r="D177" s="233"/>
      <c r="E177" s="233"/>
      <c r="F177" s="233"/>
      <c r="G177" s="145"/>
      <c r="J177" s="94" t="s">
        <v>51</v>
      </c>
      <c r="K177" s="27">
        <f t="shared" ref="K177:K184" si="4">SUMIF($J$17:$J$167,J177,$K$17:$K$167)</f>
        <v>1986</v>
      </c>
      <c r="L177" s="339">
        <f>SUMIF($J$17:$J$167,#REF!,$M$17:$M$167)</f>
        <v>0</v>
      </c>
      <c r="M177" s="27">
        <f>'As-Filed Schedule 4'!D125+'As-Filed Schedule 4'!H125</f>
        <v>1986</v>
      </c>
      <c r="N177" s="339">
        <f>'Adjusted Schedule 4'!D126+'Adjusted Schedule 4'!H126</f>
        <v>1986</v>
      </c>
      <c r="O177" s="27">
        <f t="shared" si="2"/>
        <v>0</v>
      </c>
      <c r="P177" s="339">
        <f t="shared" si="2"/>
        <v>1986</v>
      </c>
      <c r="Q177"/>
      <c r="S177" s="92" t="str">
        <f>IF(O177&lt;&gt;0,"ERROR","")</f>
        <v/>
      </c>
      <c r="T177" s="92" t="str">
        <f t="shared" si="3"/>
        <v/>
      </c>
    </row>
    <row r="178" spans="1:20" x14ac:dyDescent="0.35">
      <c r="A178" s="19">
        <v>39</v>
      </c>
      <c r="C178" s="234" t="s">
        <v>468</v>
      </c>
      <c r="D178" s="235"/>
      <c r="E178" s="235" t="s">
        <v>472</v>
      </c>
      <c r="F178" s="100"/>
      <c r="G178" s="146"/>
      <c r="J178" s="94" t="s">
        <v>52</v>
      </c>
      <c r="K178" s="27">
        <f t="shared" si="4"/>
        <v>0</v>
      </c>
      <c r="L178" s="339">
        <f>SUMIF($J$17:$J$167,#REF!,$M$17:$M$167)</f>
        <v>0</v>
      </c>
      <c r="M178" s="27">
        <f>'As-Filed Schedule 4'!D126+'As-Filed Schedule 4'!H126</f>
        <v>0</v>
      </c>
      <c r="N178" s="339">
        <f>'Adjusted Schedule 4'!D127+'Adjusted Schedule 4'!H127</f>
        <v>0</v>
      </c>
      <c r="O178" s="27">
        <f t="shared" si="2"/>
        <v>0</v>
      </c>
      <c r="P178" s="339">
        <f t="shared" si="2"/>
        <v>0</v>
      </c>
      <c r="Q178"/>
      <c r="S178" s="92" t="str">
        <f>IF(O178&lt;&gt;0,"ERROR","")</f>
        <v/>
      </c>
      <c r="T178" s="92" t="str">
        <f t="shared" si="3"/>
        <v/>
      </c>
    </row>
    <row r="179" spans="1:20" x14ac:dyDescent="0.35">
      <c r="A179" s="19">
        <v>40</v>
      </c>
      <c r="C179" s="234" t="s">
        <v>477</v>
      </c>
      <c r="D179" s="235"/>
      <c r="E179" s="235" t="s">
        <v>474</v>
      </c>
      <c r="F179" s="100"/>
      <c r="G179" s="146"/>
      <c r="J179" s="94" t="s">
        <v>53</v>
      </c>
      <c r="K179" s="27">
        <f t="shared" si="4"/>
        <v>0</v>
      </c>
      <c r="L179" s="339">
        <f>SUMIF($J$17:$J$167,#REF!,$M$17:$M$167)</f>
        <v>0</v>
      </c>
      <c r="M179" s="27">
        <f>'As-Filed Schedule 4'!D127+'As-Filed Schedule 4'!H127</f>
        <v>0</v>
      </c>
      <c r="N179" s="339">
        <f>'Adjusted Schedule 4'!D128+'Adjusted Schedule 4'!H128</f>
        <v>0</v>
      </c>
      <c r="O179" s="27">
        <f t="shared" si="2"/>
        <v>0</v>
      </c>
      <c r="P179" s="339">
        <f t="shared" si="2"/>
        <v>0</v>
      </c>
      <c r="Q179"/>
      <c r="S179" s="92" t="str">
        <f>IF(O179&lt;&gt;0,"ERROR","")</f>
        <v/>
      </c>
      <c r="T179" s="92" t="str">
        <f t="shared" si="3"/>
        <v/>
      </c>
    </row>
    <row r="180" spans="1:20" x14ac:dyDescent="0.35">
      <c r="A180" s="19">
        <v>41</v>
      </c>
      <c r="C180" s="234" t="s">
        <v>469</v>
      </c>
      <c r="D180" s="235"/>
      <c r="E180" s="235" t="s">
        <v>473</v>
      </c>
      <c r="F180" s="100"/>
      <c r="G180" s="146"/>
      <c r="J180" s="95" t="s">
        <v>440</v>
      </c>
      <c r="K180" s="106">
        <f t="shared" si="4"/>
        <v>0</v>
      </c>
      <c r="L180" s="340">
        <f>SUMIF($J$17:$J$167,#REF!,$M$17:$M$167)</f>
        <v>0</v>
      </c>
      <c r="M180" s="89"/>
      <c r="N180" s="354"/>
      <c r="O180" s="87"/>
      <c r="P180" s="354"/>
      <c r="Q180"/>
    </row>
    <row r="181" spans="1:20" x14ac:dyDescent="0.35">
      <c r="A181" s="19">
        <v>42</v>
      </c>
      <c r="C181" s="234" t="s">
        <v>470</v>
      </c>
      <c r="D181" s="235"/>
      <c r="E181" s="235" t="s">
        <v>471</v>
      </c>
      <c r="F181" s="100"/>
      <c r="G181" s="146"/>
      <c r="J181" s="95" t="s">
        <v>444</v>
      </c>
      <c r="K181" s="108">
        <f t="shared" si="4"/>
        <v>0</v>
      </c>
      <c r="L181" s="341">
        <f>SUMIF($J$17:$J$167,#REF!,$M$17:$M$167)</f>
        <v>0</v>
      </c>
      <c r="M181" s="90"/>
      <c r="N181" s="355"/>
      <c r="O181" s="88"/>
      <c r="P181" s="355"/>
      <c r="Q181"/>
    </row>
    <row r="182" spans="1:20" x14ac:dyDescent="0.35">
      <c r="A182" s="19">
        <v>43</v>
      </c>
      <c r="C182" s="236" t="s">
        <v>478</v>
      </c>
      <c r="D182" s="237"/>
      <c r="E182" s="237" t="s">
        <v>475</v>
      </c>
      <c r="F182" s="238"/>
      <c r="G182" s="147"/>
      <c r="J182" s="95" t="s">
        <v>439</v>
      </c>
      <c r="K182" s="108">
        <f t="shared" si="4"/>
        <v>0</v>
      </c>
      <c r="L182" s="341">
        <f>SUMIF($J$17:$J$167,#REF!,$M$17:$M$167)</f>
        <v>0</v>
      </c>
      <c r="M182" s="109"/>
      <c r="N182" s="356"/>
      <c r="O182" s="110"/>
      <c r="P182" s="356"/>
      <c r="Q182"/>
    </row>
    <row r="183" spans="1:20" x14ac:dyDescent="0.35">
      <c r="A183" s="19">
        <v>44</v>
      </c>
      <c r="C183" s="100"/>
      <c r="D183" s="100"/>
      <c r="E183" s="100"/>
      <c r="F183" s="100"/>
      <c r="J183" s="96" t="s">
        <v>438</v>
      </c>
      <c r="K183" s="107">
        <f t="shared" si="4"/>
        <v>0</v>
      </c>
      <c r="L183" s="342">
        <f>SUMIF($J$17:$J$167,#REF!,$M$17:$M$167)</f>
        <v>0</v>
      </c>
      <c r="M183" s="27">
        <f>'As-Filed Schedule 4'!D180+'As-Filed Schedule 4'!H180</f>
        <v>0</v>
      </c>
      <c r="N183" s="339">
        <f>'Adjusted Schedule 4'!E181+'Adjusted Schedule 4'!I181</f>
        <v>0</v>
      </c>
      <c r="O183" s="27">
        <f>M183-SUM(K180:K183)</f>
        <v>0</v>
      </c>
      <c r="P183" s="339">
        <f>N183-SUM(L180:L183)</f>
        <v>0</v>
      </c>
      <c r="Q183"/>
      <c r="S183" s="92" t="str">
        <f>IF(O183&lt;&gt;0,"ERROR","")</f>
        <v/>
      </c>
      <c r="T183" s="92" t="str">
        <f t="shared" ref="T183" si="5">IF(Q183&lt;&gt;0,"ERROR","")</f>
        <v/>
      </c>
    </row>
    <row r="184" spans="1:20" x14ac:dyDescent="0.35">
      <c r="A184" s="19">
        <v>45</v>
      </c>
      <c r="C184" s="100"/>
      <c r="D184" s="100"/>
      <c r="E184" s="100"/>
      <c r="F184" s="100"/>
      <c r="J184" s="94" t="s">
        <v>481</v>
      </c>
      <c r="K184" s="27">
        <f t="shared" si="4"/>
        <v>0</v>
      </c>
      <c r="L184" s="339">
        <f>SUMIF($J$17:$J$167,#REF!,$M$17:$M$167)</f>
        <v>0</v>
      </c>
      <c r="M184" s="90"/>
      <c r="N184" s="354"/>
      <c r="O184" s="88"/>
      <c r="P184" s="355"/>
      <c r="Q184" s="351"/>
    </row>
    <row r="185" spans="1:20" x14ac:dyDescent="0.35">
      <c r="C185" s="100"/>
      <c r="D185" s="100"/>
      <c r="E185" s="100"/>
      <c r="F185" s="100"/>
      <c r="L185" s="48"/>
      <c r="M185"/>
      <c r="N185" s="48"/>
      <c r="O185"/>
      <c r="P185" s="48"/>
    </row>
    <row r="249" spans="4:10" ht="17.25" customHeight="1" x14ac:dyDescent="0.35"/>
    <row r="251" spans="4:10" hidden="1" x14ac:dyDescent="0.35">
      <c r="D251" t="s">
        <v>456</v>
      </c>
      <c r="E251" t="s">
        <v>159</v>
      </c>
      <c r="J251" s="111" t="s">
        <v>450</v>
      </c>
    </row>
    <row r="252" spans="4:10" hidden="1" x14ac:dyDescent="0.35">
      <c r="D252" t="s">
        <v>176</v>
      </c>
      <c r="E252" t="s">
        <v>456</v>
      </c>
      <c r="J252" s="112" t="s">
        <v>451</v>
      </c>
    </row>
    <row r="253" spans="4:10" hidden="1" x14ac:dyDescent="0.35">
      <c r="D253" t="s">
        <v>175</v>
      </c>
      <c r="E253" t="s">
        <v>467</v>
      </c>
      <c r="J253" s="112" t="s">
        <v>51</v>
      </c>
    </row>
    <row r="254" spans="4:10" hidden="1" x14ac:dyDescent="0.35">
      <c r="D254" t="s">
        <v>435</v>
      </c>
      <c r="E254" t="s">
        <v>466</v>
      </c>
      <c r="J254" s="112" t="s">
        <v>52</v>
      </c>
    </row>
    <row r="255" spans="4:10" hidden="1" x14ac:dyDescent="0.35">
      <c r="D255" t="s">
        <v>170</v>
      </c>
      <c r="E255" t="s">
        <v>174</v>
      </c>
      <c r="J255" s="112" t="s">
        <v>53</v>
      </c>
    </row>
    <row r="256" spans="4:10" hidden="1" x14ac:dyDescent="0.35">
      <c r="D256" t="s">
        <v>482</v>
      </c>
      <c r="E256" t="s">
        <v>172</v>
      </c>
      <c r="J256" s="112" t="s">
        <v>440</v>
      </c>
    </row>
    <row r="257" spans="5:10" hidden="1" x14ac:dyDescent="0.35">
      <c r="E257" t="s">
        <v>171</v>
      </c>
      <c r="J257" s="112" t="s">
        <v>444</v>
      </c>
    </row>
    <row r="258" spans="5:10" hidden="1" x14ac:dyDescent="0.35">
      <c r="E258" t="s">
        <v>465</v>
      </c>
      <c r="J258" s="112" t="s">
        <v>439</v>
      </c>
    </row>
    <row r="259" spans="5:10" hidden="1" x14ac:dyDescent="0.35">
      <c r="E259" t="s">
        <v>436</v>
      </c>
      <c r="J259" s="113" t="s">
        <v>438</v>
      </c>
    </row>
    <row r="260" spans="5:10" hidden="1" x14ac:dyDescent="0.35">
      <c r="J260" s="113" t="s">
        <v>481</v>
      </c>
    </row>
    <row r="261" spans="5:10" hidden="1" x14ac:dyDescent="0.35">
      <c r="J261" s="113" t="s">
        <v>455</v>
      </c>
    </row>
  </sheetData>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47">
    <mergeCell ref="Z14:AC14"/>
    <mergeCell ref="O14:O15"/>
    <mergeCell ref="P14:T14"/>
    <mergeCell ref="U14:Y14"/>
    <mergeCell ref="B17:C17"/>
    <mergeCell ref="A9:K11"/>
    <mergeCell ref="B13:C13"/>
    <mergeCell ref="B14:C15"/>
    <mergeCell ref="D14:D15"/>
    <mergeCell ref="E14:E15"/>
    <mergeCell ref="F14:F15"/>
    <mergeCell ref="G14:G15"/>
    <mergeCell ref="H14:H15"/>
    <mergeCell ref="B47:C47"/>
    <mergeCell ref="K14:K15"/>
    <mergeCell ref="N14:N15"/>
    <mergeCell ref="B22:C22"/>
    <mergeCell ref="B27:C27"/>
    <mergeCell ref="B32:C32"/>
    <mergeCell ref="B37:C37"/>
    <mergeCell ref="B42:C42"/>
    <mergeCell ref="L14:L15"/>
    <mergeCell ref="M14:M15"/>
    <mergeCell ref="B107:C107"/>
    <mergeCell ref="B52:C52"/>
    <mergeCell ref="B57:C57"/>
    <mergeCell ref="B62:C62"/>
    <mergeCell ref="B67:C67"/>
    <mergeCell ref="B72:C72"/>
    <mergeCell ref="B77:C77"/>
    <mergeCell ref="B82:C82"/>
    <mergeCell ref="B87:C87"/>
    <mergeCell ref="B92:C92"/>
    <mergeCell ref="B97:C97"/>
    <mergeCell ref="B102:C102"/>
    <mergeCell ref="B167:E167"/>
    <mergeCell ref="B112:C112"/>
    <mergeCell ref="B117:C117"/>
    <mergeCell ref="B122:C122"/>
    <mergeCell ref="B127:C127"/>
    <mergeCell ref="B132:C132"/>
    <mergeCell ref="B137:C137"/>
    <mergeCell ref="B142:C142"/>
    <mergeCell ref="B147:C147"/>
    <mergeCell ref="B152:C152"/>
    <mergeCell ref="B157:C157"/>
    <mergeCell ref="B162:C162"/>
  </mergeCells>
  <pageMargins left="0.7" right="0.7" top="0.75" bottom="0.75" header="0.3" footer="0.3"/>
  <pageSetup orientation="portrait" horizontalDpi="1200" verticalDpi="1200"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34"/>
  <dimension ref="A1:T197"/>
  <sheetViews>
    <sheetView workbookViewId="0"/>
  </sheetViews>
  <sheetFormatPr defaultColWidth="9.1796875" defaultRowHeight="14.5" x14ac:dyDescent="0.35"/>
  <cols>
    <col min="2" max="2" width="15.54296875" customWidth="1"/>
    <col min="3" max="3" width="77" style="4" customWidth="1"/>
    <col min="4" max="4" width="18.54296875" style="4" customWidth="1"/>
    <col min="5" max="5" width="18.54296875" style="387" customWidth="1"/>
    <col min="6" max="6" width="18.54296875" style="49" customWidth="1"/>
    <col min="7" max="8" width="18.54296875" style="4" customWidth="1"/>
    <col min="9" max="9" width="18.54296875" style="49" customWidth="1"/>
    <col min="10" max="10" width="21" style="13" customWidth="1"/>
    <col min="11" max="11" width="21" style="50" customWidth="1"/>
    <col min="12" max="12" width="21" style="13" customWidth="1"/>
    <col min="13" max="13" width="21" style="389" customWidth="1"/>
    <col min="14" max="14" width="21" style="50" customWidth="1"/>
    <col min="15" max="16" width="21" style="13" customWidth="1"/>
    <col min="17" max="17" width="21" style="50" customWidth="1"/>
    <col min="18" max="18" width="21" style="13" customWidth="1"/>
    <col min="19" max="19" width="21" style="50" customWidth="1"/>
    <col min="20" max="20" width="16" customWidth="1"/>
  </cols>
  <sheetData>
    <row r="1" spans="1:20" ht="26" x14ac:dyDescent="0.6">
      <c r="A1" s="3" t="s">
        <v>774</v>
      </c>
      <c r="D1" s="48"/>
      <c r="E1" s="261"/>
      <c r="F1" s="48"/>
      <c r="G1" s="49"/>
      <c r="H1" s="49"/>
      <c r="J1" s="50"/>
      <c r="L1" s="50"/>
    </row>
    <row r="2" spans="1:20" ht="21" x14ac:dyDescent="0.5">
      <c r="A2" s="2" t="s">
        <v>772</v>
      </c>
      <c r="D2" s="54"/>
      <c r="E2" s="385"/>
      <c r="F2" s="54"/>
      <c r="G2" s="49"/>
      <c r="H2" s="49"/>
      <c r="J2" s="50"/>
      <c r="L2" s="50"/>
    </row>
    <row r="3" spans="1:20" ht="25" customHeight="1" x14ac:dyDescent="0.5">
      <c r="A3" s="5" t="s">
        <v>931</v>
      </c>
      <c r="B3" s="5"/>
      <c r="C3" s="7"/>
      <c r="D3" s="54"/>
      <c r="E3" s="385"/>
      <c r="F3" s="54"/>
      <c r="G3" s="51"/>
      <c r="H3" s="51"/>
      <c r="I3" s="51"/>
      <c r="J3" s="52"/>
      <c r="K3" s="52"/>
      <c r="L3" s="52"/>
      <c r="M3" s="390"/>
      <c r="N3" s="52"/>
      <c r="O3" s="14"/>
      <c r="P3" s="14"/>
      <c r="Q3" s="52"/>
    </row>
    <row r="4" spans="1:20" x14ac:dyDescent="0.35">
      <c r="D4" s="54"/>
      <c r="E4" s="385"/>
      <c r="F4" s="54"/>
      <c r="G4" s="49"/>
      <c r="H4" s="49"/>
      <c r="J4" s="50"/>
      <c r="L4" s="50"/>
      <c r="R4" s="535"/>
      <c r="S4" s="570"/>
      <c r="T4" s="535"/>
    </row>
    <row r="5" spans="1:20" ht="15" customHeight="1" x14ac:dyDescent="0.35">
      <c r="A5" s="1" t="s">
        <v>773</v>
      </c>
      <c r="C5" s="421" t="str">
        <f>Results!$C$6</f>
        <v>Health Solutions</v>
      </c>
      <c r="D5" s="55"/>
      <c r="E5" s="386"/>
      <c r="F5" s="55"/>
      <c r="G5" s="53"/>
      <c r="H5" s="53"/>
      <c r="I5" s="53"/>
      <c r="J5" s="50"/>
      <c r="L5" s="50"/>
      <c r="R5" s="535"/>
      <c r="S5" s="570"/>
      <c r="T5" s="535"/>
    </row>
    <row r="6" spans="1:20" x14ac:dyDescent="0.35">
      <c r="A6" s="1" t="s">
        <v>0</v>
      </c>
      <c r="C6" s="35">
        <f>Results!$C$7</f>
        <v>45473</v>
      </c>
      <c r="D6" s="35"/>
      <c r="E6" s="320"/>
      <c r="F6" s="60"/>
      <c r="G6" s="35"/>
      <c r="H6" s="35"/>
      <c r="I6" s="60"/>
      <c r="R6" s="535"/>
      <c r="S6" s="570"/>
      <c r="T6" s="535"/>
    </row>
    <row r="7" spans="1:20" x14ac:dyDescent="0.35">
      <c r="A7" s="1"/>
      <c r="C7" s="35"/>
      <c r="D7" s="23">
        <v>1</v>
      </c>
      <c r="E7" s="256" t="s">
        <v>552</v>
      </c>
      <c r="F7" s="257" t="s">
        <v>553</v>
      </c>
      <c r="G7" s="35"/>
      <c r="H7" s="23">
        <v>3</v>
      </c>
      <c r="I7" s="257" t="s">
        <v>561</v>
      </c>
      <c r="L7" s="205"/>
      <c r="M7" s="175">
        <v>6</v>
      </c>
      <c r="N7" s="256" t="s">
        <v>570</v>
      </c>
      <c r="O7" s="257" t="s">
        <v>571</v>
      </c>
      <c r="P7" s="205"/>
      <c r="Q7" s="175">
        <v>8</v>
      </c>
      <c r="R7" s="256" t="s">
        <v>616</v>
      </c>
      <c r="S7" s="257" t="s">
        <v>617</v>
      </c>
      <c r="T7" s="81"/>
    </row>
    <row r="8" spans="1:20" x14ac:dyDescent="0.35">
      <c r="A8" s="19">
        <v>1</v>
      </c>
      <c r="C8" s="46" t="s">
        <v>193</v>
      </c>
      <c r="D8" s="26">
        <f>'As-Filed Schedule 1'!F95</f>
        <v>44572738.6934141</v>
      </c>
      <c r="E8" s="407" t="s">
        <v>761</v>
      </c>
      <c r="F8" s="384">
        <f>'Schedule 1 Adjustments'!L96</f>
        <v>44572738.6934141</v>
      </c>
      <c r="G8" s="46" t="s">
        <v>197</v>
      </c>
      <c r="H8" s="31">
        <f>H197</f>
        <v>149909.44</v>
      </c>
      <c r="I8" s="382">
        <f>I197</f>
        <v>149909.44</v>
      </c>
      <c r="L8" s="427" t="s">
        <v>857</v>
      </c>
      <c r="M8" s="26">
        <f>'As-Filed Schedule 1'!F95</f>
        <v>44572738.6934141</v>
      </c>
      <c r="N8" s="407" t="s">
        <v>761</v>
      </c>
      <c r="O8" s="384">
        <f>'Schedule 1 Adjustments'!L96</f>
        <v>44572738.6934141</v>
      </c>
      <c r="P8" s="427" t="s">
        <v>858</v>
      </c>
      <c r="Q8" s="180">
        <f>'As-Filed Schedule 4'!K8</f>
        <v>114120</v>
      </c>
      <c r="R8" s="388">
        <f>SUMIFS(Adjustments!$G:$G,Adjustments!$H:$H,"4",Adjustments!$I:$I,'Schedule 4 Adjustments'!$Q$7,Adjustments!$J:$J,'Schedule 4 Adjustments'!$A8)</f>
        <v>0</v>
      </c>
      <c r="S8" s="310">
        <f>SUM(Q8:R8)</f>
        <v>114120</v>
      </c>
      <c r="T8" s="25"/>
    </row>
    <row r="9" spans="1:20" x14ac:dyDescent="0.35">
      <c r="A9" s="19">
        <v>2</v>
      </c>
      <c r="C9" s="46" t="s">
        <v>251</v>
      </c>
      <c r="D9" s="117">
        <f>'As-Filed Schedule 4'!D9</f>
        <v>339092.81999999966</v>
      </c>
      <c r="E9" s="388">
        <f>SUMIFS(Adjustments!$G:$G,Adjustments!$H:$H,"4",Adjustments!$I:$I,'Schedule 4 Adjustments'!$D$7,Adjustments!$J:$J,'Schedule 4 Adjustments'!$A9)</f>
        <v>0</v>
      </c>
      <c r="F9" s="310">
        <f>SUM(D9:E9)</f>
        <v>339092.81999999966</v>
      </c>
      <c r="G9" s="46" t="s">
        <v>198</v>
      </c>
      <c r="H9" s="31">
        <f>P197</f>
        <v>241108.66000000003</v>
      </c>
      <c r="I9" s="382">
        <f>Q197</f>
        <v>241108.66000000003</v>
      </c>
      <c r="L9" s="427" t="s">
        <v>859</v>
      </c>
      <c r="M9" s="180">
        <f>'As-Filed Schedule 4'!I9</f>
        <v>307313.48905809567</v>
      </c>
      <c r="N9" s="388">
        <f>SUMIFS(Adjustments!$G:$G,Adjustments!$H:$H,"4",Adjustments!$I:$I,'Schedule 4 Adjustments'!$M$7,Adjustments!$J:$J,'Schedule 4 Adjustments'!$A9)</f>
        <v>0</v>
      </c>
      <c r="O9" s="310">
        <f>SUM(M9:N9)</f>
        <v>307313.48905809567</v>
      </c>
      <c r="P9" s="432"/>
      <c r="Q9" s="432"/>
      <c r="T9" s="45"/>
    </row>
    <row r="10" spans="1:20" x14ac:dyDescent="0.35">
      <c r="A10" s="19">
        <v>3</v>
      </c>
      <c r="C10" s="42" t="s">
        <v>194</v>
      </c>
      <c r="D10" s="18">
        <f>D8-D9</f>
        <v>44233645.873414099</v>
      </c>
      <c r="E10" s="408" t="s">
        <v>761</v>
      </c>
      <c r="F10" s="312">
        <f>F8-F9</f>
        <v>44233645.873414099</v>
      </c>
      <c r="G10" s="42" t="s">
        <v>195</v>
      </c>
      <c r="H10" s="9">
        <f>SUM(H8:H9)</f>
        <v>391018.10000000003</v>
      </c>
      <c r="I10" s="379">
        <f>SUM(I8:I9)</f>
        <v>391018.10000000003</v>
      </c>
      <c r="L10" s="428" t="s">
        <v>860</v>
      </c>
      <c r="M10" s="185">
        <f>M8-M9</f>
        <v>44265425.204356007</v>
      </c>
      <c r="N10" s="408" t="s">
        <v>761</v>
      </c>
      <c r="O10" s="312">
        <f>O8-O9</f>
        <v>44265425.204356007</v>
      </c>
      <c r="P10" s="432"/>
      <c r="Q10" s="432"/>
      <c r="T10" s="45"/>
    </row>
    <row r="11" spans="1:20" x14ac:dyDescent="0.35">
      <c r="A11" s="1"/>
      <c r="L11" s="206"/>
      <c r="M11" s="206"/>
      <c r="N11" s="431"/>
      <c r="O11" s="431"/>
      <c r="P11" s="432"/>
      <c r="Q11" s="433"/>
      <c r="T11" s="45"/>
    </row>
    <row r="12" spans="1:20" ht="18.5" x14ac:dyDescent="0.45">
      <c r="A12" s="19">
        <v>4</v>
      </c>
      <c r="G12" s="44" t="s">
        <v>196</v>
      </c>
      <c r="H12" s="43">
        <f>D10/H10</f>
        <v>113.12429238803547</v>
      </c>
      <c r="I12" s="383">
        <f>F10/I10</f>
        <v>113.12429238803547</v>
      </c>
      <c r="L12" s="206"/>
      <c r="M12" s="206"/>
      <c r="N12" s="429"/>
      <c r="O12" s="447"/>
      <c r="P12" s="429" t="s">
        <v>861</v>
      </c>
      <c r="Q12" s="430">
        <f>M10/Q8</f>
        <v>387.88490364840527</v>
      </c>
      <c r="S12" s="430">
        <f>O10/S8</f>
        <v>387.88490364840527</v>
      </c>
      <c r="T12" s="45"/>
    </row>
    <row r="13" spans="1:20" x14ac:dyDescent="0.35">
      <c r="A13" s="1"/>
      <c r="C13" s="35"/>
      <c r="D13" s="35"/>
      <c r="E13" s="320"/>
      <c r="F13" s="60"/>
      <c r="G13" s="35"/>
      <c r="H13" s="35"/>
      <c r="I13" s="60"/>
      <c r="K13" s="13"/>
      <c r="L13" s="144"/>
      <c r="M13" s="13"/>
      <c r="N13" s="144"/>
      <c r="P13" s="50"/>
      <c r="Q13" s="13"/>
      <c r="R13" s="50"/>
    </row>
    <row r="14" spans="1:20" x14ac:dyDescent="0.35">
      <c r="D14" s="23">
        <v>1</v>
      </c>
      <c r="E14" s="256" t="s">
        <v>552</v>
      </c>
      <c r="F14" s="257" t="s">
        <v>553</v>
      </c>
      <c r="G14" s="23">
        <v>2</v>
      </c>
      <c r="H14" s="23">
        <v>3</v>
      </c>
      <c r="I14" s="257" t="s">
        <v>561</v>
      </c>
      <c r="J14" s="23">
        <v>4</v>
      </c>
      <c r="K14" s="257" t="s">
        <v>565</v>
      </c>
      <c r="L14" s="23">
        <v>5</v>
      </c>
      <c r="M14" s="256" t="s">
        <v>566</v>
      </c>
      <c r="N14" s="257" t="s">
        <v>567</v>
      </c>
      <c r="O14" s="23">
        <v>6</v>
      </c>
      <c r="P14" s="23">
        <v>7</v>
      </c>
      <c r="Q14" s="257" t="s">
        <v>575</v>
      </c>
      <c r="R14" s="23">
        <v>8</v>
      </c>
      <c r="S14" s="257" t="s">
        <v>617</v>
      </c>
    </row>
    <row r="15" spans="1:20" x14ac:dyDescent="0.35">
      <c r="A15" s="1"/>
      <c r="C15" s="35"/>
      <c r="D15" s="536" t="s">
        <v>191</v>
      </c>
      <c r="E15" s="537"/>
      <c r="F15" s="537"/>
      <c r="G15" s="537"/>
      <c r="H15" s="537"/>
      <c r="I15" s="537"/>
      <c r="J15" s="538"/>
      <c r="K15" s="381"/>
      <c r="L15" s="536" t="s">
        <v>192</v>
      </c>
      <c r="M15" s="537"/>
      <c r="N15" s="537"/>
      <c r="O15" s="537"/>
      <c r="P15" s="537"/>
      <c r="Q15" s="537"/>
      <c r="R15" s="538"/>
      <c r="S15" s="374"/>
    </row>
    <row r="16" spans="1:20" ht="43.5" x14ac:dyDescent="0.35">
      <c r="B16" s="208" t="s">
        <v>40</v>
      </c>
      <c r="C16" s="208" t="s">
        <v>11</v>
      </c>
      <c r="D16" s="208" t="s">
        <v>187</v>
      </c>
      <c r="E16" s="362" t="s">
        <v>661</v>
      </c>
      <c r="F16" s="409" t="s">
        <v>662</v>
      </c>
      <c r="G16" s="239" t="s">
        <v>483</v>
      </c>
      <c r="H16" s="239" t="s">
        <v>189</v>
      </c>
      <c r="I16" s="377" t="s">
        <v>663</v>
      </c>
      <c r="J16" s="240" t="s">
        <v>156</v>
      </c>
      <c r="K16" s="375" t="s">
        <v>664</v>
      </c>
      <c r="L16" s="240" t="s">
        <v>188</v>
      </c>
      <c r="M16" s="391" t="s">
        <v>665</v>
      </c>
      <c r="N16" s="375" t="s">
        <v>666</v>
      </c>
      <c r="O16" s="239" t="s">
        <v>484</v>
      </c>
      <c r="P16" s="16" t="s">
        <v>190</v>
      </c>
      <c r="Q16" s="377" t="s">
        <v>667</v>
      </c>
      <c r="R16" s="15" t="s">
        <v>157</v>
      </c>
      <c r="S16" s="375" t="s">
        <v>668</v>
      </c>
    </row>
    <row r="17" spans="1:19" s="22" customFormat="1" x14ac:dyDescent="0.35">
      <c r="A17" s="19">
        <v>5</v>
      </c>
      <c r="B17" s="424" t="s">
        <v>787</v>
      </c>
      <c r="C17" s="20" t="s">
        <v>788</v>
      </c>
      <c r="D17" s="116">
        <f>'As-Filed Schedule 4'!D17</f>
        <v>0</v>
      </c>
      <c r="E17" s="388">
        <f>SUMIFS(Adjustments!$G:$G,Adjustments!$H:$H,"4",Adjustments!$I:$I,'Schedule 4 Adjustments'!$D$14,Adjustments!$J:$J,'Schedule 4 Adjustments'!$A17)</f>
        <v>0</v>
      </c>
      <c r="F17" s="380">
        <f>SUM(D17:E17)</f>
        <v>0</v>
      </c>
      <c r="G17" s="410">
        <v>0</v>
      </c>
      <c r="H17" s="148">
        <f>D17*G17</f>
        <v>0</v>
      </c>
      <c r="I17" s="378">
        <f>F17*G17</f>
        <v>0</v>
      </c>
      <c r="J17" s="149">
        <f>G17*$H$12</f>
        <v>0</v>
      </c>
      <c r="K17" s="376">
        <f>G17*$I$12</f>
        <v>0</v>
      </c>
      <c r="L17" s="150">
        <f>'As-Filed Schedule 4'!H17</f>
        <v>0</v>
      </c>
      <c r="M17" s="388">
        <f>SUMIFS(Adjustments!$G:$G,Adjustments!$H:$H,"4",Adjustments!$I:$I,'Schedule 4 Adjustments'!$L$14,Adjustments!$J:$J,'Schedule 4 Adjustments'!$A17)</f>
        <v>0</v>
      </c>
      <c r="N17" s="380">
        <f>SUM(L17:M17)</f>
        <v>0</v>
      </c>
      <c r="O17" s="410">
        <v>0</v>
      </c>
      <c r="P17" s="47">
        <f>L17*O17</f>
        <v>0</v>
      </c>
      <c r="Q17" s="378">
        <f>N17*O17</f>
        <v>0</v>
      </c>
      <c r="R17" s="21">
        <f>O17*$H$12</f>
        <v>0</v>
      </c>
      <c r="S17" s="376">
        <f>O17*$I$12</f>
        <v>0</v>
      </c>
    </row>
    <row r="18" spans="1:19" s="22" customFormat="1" x14ac:dyDescent="0.35">
      <c r="A18" s="19">
        <v>6</v>
      </c>
      <c r="B18" s="19">
        <v>80305</v>
      </c>
      <c r="C18" s="20" t="s">
        <v>111</v>
      </c>
      <c r="D18" s="116">
        <f>'As-Filed Schedule 4'!D18</f>
        <v>0</v>
      </c>
      <c r="E18" s="388">
        <f>SUMIFS(Adjustments!$G:$G,Adjustments!$H:$H,"4",Adjustments!$I:$I,'Schedule 4 Adjustments'!$D$14,Adjustments!$J:$J,'Schedule 4 Adjustments'!$A18)</f>
        <v>0</v>
      </c>
      <c r="F18" s="380">
        <f>SUM(D18:E18)</f>
        <v>0</v>
      </c>
      <c r="G18" s="410">
        <v>0</v>
      </c>
      <c r="H18" s="148">
        <f>D18*G18</f>
        <v>0</v>
      </c>
      <c r="I18" s="378">
        <f>F18*G18</f>
        <v>0</v>
      </c>
      <c r="J18" s="149">
        <f>G18*$H$12</f>
        <v>0</v>
      </c>
      <c r="K18" s="376">
        <f>G18*$I$12</f>
        <v>0</v>
      </c>
      <c r="L18" s="150">
        <f>'As-Filed Schedule 4'!H18</f>
        <v>0</v>
      </c>
      <c r="M18" s="388">
        <f>SUMIFS(Adjustments!$G:$G,Adjustments!$H:$H,"4",Adjustments!$I:$I,'Schedule 4 Adjustments'!$L$14,Adjustments!$J:$J,'Schedule 4 Adjustments'!$A18)</f>
        <v>0</v>
      </c>
      <c r="N18" s="380">
        <f>SUM(L18:M18)</f>
        <v>0</v>
      </c>
      <c r="O18" s="410">
        <v>0</v>
      </c>
      <c r="P18" s="47">
        <f>L18*O18</f>
        <v>0</v>
      </c>
      <c r="Q18" s="378">
        <f>N18*O18</f>
        <v>0</v>
      </c>
      <c r="R18" s="21">
        <f>O18*$H$12</f>
        <v>0</v>
      </c>
      <c r="S18" s="376">
        <f>O18*$I$12</f>
        <v>0</v>
      </c>
    </row>
    <row r="19" spans="1:19" s="22" customFormat="1" x14ac:dyDescent="0.35">
      <c r="A19" s="19">
        <v>7</v>
      </c>
      <c r="B19" s="19">
        <v>80306</v>
      </c>
      <c r="C19" s="20" t="s">
        <v>41</v>
      </c>
      <c r="D19" s="116">
        <f>'As-Filed Schedule 4'!D19</f>
        <v>0</v>
      </c>
      <c r="E19" s="388">
        <f>SUMIFS(Adjustments!$G:$G,Adjustments!$H:$H,"4",Adjustments!$I:$I,'Schedule 4 Adjustments'!$D$14,Adjustments!$J:$J,'Schedule 4 Adjustments'!$A19)</f>
        <v>0</v>
      </c>
      <c r="F19" s="380">
        <f t="shared" ref="F19:F82" si="0">SUM(D19:E19)</f>
        <v>0</v>
      </c>
      <c r="G19" s="410">
        <v>0</v>
      </c>
      <c r="H19" s="148">
        <f>D19*G19</f>
        <v>0</v>
      </c>
      <c r="I19" s="378">
        <f t="shared" ref="I19:I82" si="1">F19*G19</f>
        <v>0</v>
      </c>
      <c r="J19" s="149">
        <f t="shared" ref="J19:J81" si="2">G19*$H$12</f>
        <v>0</v>
      </c>
      <c r="K19" s="376">
        <f t="shared" ref="K19:K82" si="3">G19*$I$12</f>
        <v>0</v>
      </c>
      <c r="L19" s="150">
        <f>'As-Filed Schedule 4'!H19</f>
        <v>0</v>
      </c>
      <c r="M19" s="388">
        <f>SUMIFS(Adjustments!$G:$G,Adjustments!$H:$H,"4",Adjustments!$I:$I,'Schedule 4 Adjustments'!$L$14,Adjustments!$J:$J,'Schedule 4 Adjustments'!$A19)</f>
        <v>0</v>
      </c>
      <c r="N19" s="380">
        <f t="shared" ref="N19:N82" si="4">SUM(L19:M19)</f>
        <v>0</v>
      </c>
      <c r="O19" s="410">
        <v>0</v>
      </c>
      <c r="P19" s="47">
        <f>L19*O19</f>
        <v>0</v>
      </c>
      <c r="Q19" s="378">
        <f t="shared" ref="Q19:Q82" si="5">N19*O19</f>
        <v>0</v>
      </c>
      <c r="R19" s="21">
        <f t="shared" ref="R19:R81" si="6">O19*$H$12</f>
        <v>0</v>
      </c>
      <c r="S19" s="376">
        <f t="shared" ref="S19:S82" si="7">O19*$I$12</f>
        <v>0</v>
      </c>
    </row>
    <row r="20" spans="1:19" s="22" customFormat="1" x14ac:dyDescent="0.35">
      <c r="A20" s="19">
        <v>8</v>
      </c>
      <c r="B20" s="19">
        <v>82075</v>
      </c>
      <c r="C20" s="20" t="s">
        <v>112</v>
      </c>
      <c r="D20" s="116">
        <f>'As-Filed Schedule 4'!D20</f>
        <v>0</v>
      </c>
      <c r="E20" s="388">
        <f>SUMIFS(Adjustments!$G:$G,Adjustments!$H:$H,"4",Adjustments!$I:$I,'Schedule 4 Adjustments'!$D$14,Adjustments!$J:$J,'Schedule 4 Adjustments'!$A20)</f>
        <v>0</v>
      </c>
      <c r="F20" s="380">
        <f>SUM(D20:E20)</f>
        <v>0</v>
      </c>
      <c r="G20" s="410">
        <v>0</v>
      </c>
      <c r="H20" s="148">
        <f t="shared" ref="H20:H83" si="8">D20*G20</f>
        <v>0</v>
      </c>
      <c r="I20" s="378">
        <f t="shared" si="1"/>
        <v>0</v>
      </c>
      <c r="J20" s="149">
        <f t="shared" si="2"/>
        <v>0</v>
      </c>
      <c r="K20" s="376">
        <f t="shared" si="3"/>
        <v>0</v>
      </c>
      <c r="L20" s="150">
        <f>'As-Filed Schedule 4'!H20</f>
        <v>0</v>
      </c>
      <c r="M20" s="388">
        <f>SUMIFS(Adjustments!$G:$G,Adjustments!$H:$H,"4",Adjustments!$I:$I,'Schedule 4 Adjustments'!$L$14,Adjustments!$J:$J,'Schedule 4 Adjustments'!$A20)</f>
        <v>0</v>
      </c>
      <c r="N20" s="380">
        <f t="shared" si="4"/>
        <v>0</v>
      </c>
      <c r="O20" s="410">
        <v>0</v>
      </c>
      <c r="P20" s="47">
        <f t="shared" ref="P20:P82" si="9">L20*O20</f>
        <v>0</v>
      </c>
      <c r="Q20" s="378">
        <f>N20*O20</f>
        <v>0</v>
      </c>
      <c r="R20" s="21">
        <f t="shared" si="6"/>
        <v>0</v>
      </c>
      <c r="S20" s="376">
        <f t="shared" si="7"/>
        <v>0</v>
      </c>
    </row>
    <row r="21" spans="1:19" s="22" customFormat="1" x14ac:dyDescent="0.35">
      <c r="A21" s="19">
        <v>9</v>
      </c>
      <c r="B21" s="19">
        <v>90785</v>
      </c>
      <c r="C21" s="20" t="s">
        <v>319</v>
      </c>
      <c r="D21" s="116">
        <f>'As-Filed Schedule 4'!D21</f>
        <v>6</v>
      </c>
      <c r="E21" s="388">
        <f>SUMIFS(Adjustments!$G:$G,Adjustments!$H:$H,"4",Adjustments!$I:$I,'Schedule 4 Adjustments'!$D$14,Adjustments!$J:$J,'Schedule 4 Adjustments'!$A21)</f>
        <v>0</v>
      </c>
      <c r="F21" s="380">
        <f t="shared" si="0"/>
        <v>6</v>
      </c>
      <c r="G21" s="410">
        <v>0.44</v>
      </c>
      <c r="H21" s="47">
        <f t="shared" si="8"/>
        <v>2.64</v>
      </c>
      <c r="I21" s="378">
        <f t="shared" si="1"/>
        <v>2.64</v>
      </c>
      <c r="J21" s="21">
        <f t="shared" si="2"/>
        <v>49.774688650735605</v>
      </c>
      <c r="K21" s="376">
        <f t="shared" si="3"/>
        <v>49.774688650735605</v>
      </c>
      <c r="L21" s="150">
        <f>'As-Filed Schedule 4'!H21</f>
        <v>111</v>
      </c>
      <c r="M21" s="388">
        <f>SUMIFS(Adjustments!$G:$G,Adjustments!$H:$H,"4",Adjustments!$I:$I,'Schedule 4 Adjustments'!$L$14,Adjustments!$J:$J,'Schedule 4 Adjustments'!$A21)</f>
        <v>0</v>
      </c>
      <c r="N21" s="380">
        <f t="shared" si="4"/>
        <v>111</v>
      </c>
      <c r="O21" s="410">
        <v>0.39</v>
      </c>
      <c r="P21" s="47">
        <f t="shared" si="9"/>
        <v>43.29</v>
      </c>
      <c r="Q21" s="378">
        <f>N21*O21</f>
        <v>43.29</v>
      </c>
      <c r="R21" s="21">
        <f t="shared" si="6"/>
        <v>44.118474031333832</v>
      </c>
      <c r="S21" s="376">
        <f t="shared" si="7"/>
        <v>44.118474031333832</v>
      </c>
    </row>
    <row r="22" spans="1:19" s="22" customFormat="1" x14ac:dyDescent="0.35">
      <c r="A22" s="19">
        <v>10</v>
      </c>
      <c r="B22" s="19">
        <v>90791</v>
      </c>
      <c r="C22" s="20" t="s">
        <v>320</v>
      </c>
      <c r="D22" s="116">
        <f>'As-Filed Schedule 4'!D22</f>
        <v>1976</v>
      </c>
      <c r="E22" s="388">
        <f>SUMIFS(Adjustments!$G:$G,Adjustments!$H:$H,"4",Adjustments!$I:$I,'Schedule 4 Adjustments'!$D$14,Adjustments!$J:$J,'Schedule 4 Adjustments'!$A22)</f>
        <v>0</v>
      </c>
      <c r="F22" s="380">
        <f t="shared" si="0"/>
        <v>1976</v>
      </c>
      <c r="G22" s="410">
        <v>5.17</v>
      </c>
      <c r="H22" s="47">
        <f t="shared" si="8"/>
        <v>10215.92</v>
      </c>
      <c r="I22" s="378">
        <f t="shared" si="1"/>
        <v>10215.92</v>
      </c>
      <c r="J22" s="21">
        <f t="shared" si="2"/>
        <v>584.85259164614342</v>
      </c>
      <c r="K22" s="376">
        <f t="shared" si="3"/>
        <v>584.85259164614342</v>
      </c>
      <c r="L22" s="150">
        <f>'As-Filed Schedule 4'!H22</f>
        <v>1003</v>
      </c>
      <c r="M22" s="388">
        <f>SUMIFS(Adjustments!$G:$G,Adjustments!$H:$H,"4",Adjustments!$I:$I,'Schedule 4 Adjustments'!$L$14,Adjustments!$J:$J,'Schedule 4 Adjustments'!$A22)</f>
        <v>0</v>
      </c>
      <c r="N22" s="380">
        <f t="shared" si="4"/>
        <v>1003</v>
      </c>
      <c r="O22" s="410">
        <v>4.43</v>
      </c>
      <c r="P22" s="47">
        <f t="shared" si="9"/>
        <v>4443.29</v>
      </c>
      <c r="Q22" s="378">
        <f>N22*O22</f>
        <v>4443.29</v>
      </c>
      <c r="R22" s="21">
        <f t="shared" si="6"/>
        <v>501.14061527899713</v>
      </c>
      <c r="S22" s="376">
        <f t="shared" si="7"/>
        <v>501.14061527899713</v>
      </c>
    </row>
    <row r="23" spans="1:19" s="22" customFormat="1" x14ac:dyDescent="0.35">
      <c r="A23" s="19">
        <v>11</v>
      </c>
      <c r="B23" s="19">
        <v>90792</v>
      </c>
      <c r="C23" s="20" t="s">
        <v>321</v>
      </c>
      <c r="D23" s="116">
        <f>'As-Filed Schedule 4'!D23</f>
        <v>967</v>
      </c>
      <c r="E23" s="388">
        <f>SUMIFS(Adjustments!$G:$G,Adjustments!$H:$H,"4",Adjustments!$I:$I,'Schedule 4 Adjustments'!$D$14,Adjustments!$J:$J,'Schedule 4 Adjustments'!$A23)</f>
        <v>0</v>
      </c>
      <c r="F23" s="380">
        <f t="shared" si="0"/>
        <v>967</v>
      </c>
      <c r="G23" s="410">
        <v>5.82</v>
      </c>
      <c r="H23" s="47">
        <f t="shared" si="8"/>
        <v>5627.9400000000005</v>
      </c>
      <c r="I23" s="378">
        <f t="shared" si="1"/>
        <v>5627.9400000000005</v>
      </c>
      <c r="J23" s="21">
        <f t="shared" si="2"/>
        <v>658.38338169836652</v>
      </c>
      <c r="K23" s="376">
        <f t="shared" si="3"/>
        <v>658.38338169836652</v>
      </c>
      <c r="L23" s="150">
        <f>'As-Filed Schedule 4'!H23</f>
        <v>476</v>
      </c>
      <c r="M23" s="388">
        <f>SUMIFS(Adjustments!$G:$G,Adjustments!$H:$H,"4",Adjustments!$I:$I,'Schedule 4 Adjustments'!$L$14,Adjustments!$J:$J,'Schedule 4 Adjustments'!$A23)</f>
        <v>0</v>
      </c>
      <c r="N23" s="380">
        <f t="shared" si="4"/>
        <v>476</v>
      </c>
      <c r="O23" s="410">
        <v>5.08</v>
      </c>
      <c r="P23" s="47">
        <f t="shared" si="9"/>
        <v>2418.08</v>
      </c>
      <c r="Q23" s="378">
        <f t="shared" si="5"/>
        <v>2418.08</v>
      </c>
      <c r="R23" s="21">
        <f t="shared" si="6"/>
        <v>574.67140533122017</v>
      </c>
      <c r="S23" s="376">
        <f>O23*$I$12</f>
        <v>574.67140533122017</v>
      </c>
    </row>
    <row r="24" spans="1:19" s="22" customFormat="1" x14ac:dyDescent="0.35">
      <c r="A24" s="19">
        <v>12</v>
      </c>
      <c r="B24" s="19">
        <v>90832</v>
      </c>
      <c r="C24" s="20" t="s">
        <v>325</v>
      </c>
      <c r="D24" s="116">
        <f>'As-Filed Schedule 4'!D24</f>
        <v>3049</v>
      </c>
      <c r="E24" s="388">
        <f>SUMIFS(Adjustments!$G:$G,Adjustments!$H:$H,"4",Adjustments!$I:$I,'Schedule 4 Adjustments'!$D$14,Adjustments!$J:$J,'Schedule 4 Adjustments'!$A24)</f>
        <v>0</v>
      </c>
      <c r="F24" s="380">
        <f t="shared" si="0"/>
        <v>3049</v>
      </c>
      <c r="G24" s="410">
        <v>2.35</v>
      </c>
      <c r="H24" s="47">
        <f t="shared" si="8"/>
        <v>7165.1500000000005</v>
      </c>
      <c r="I24" s="378">
        <f t="shared" si="1"/>
        <v>7165.1500000000005</v>
      </c>
      <c r="J24" s="21">
        <f t="shared" si="2"/>
        <v>265.84208711188336</v>
      </c>
      <c r="K24" s="376">
        <f t="shared" si="3"/>
        <v>265.84208711188336</v>
      </c>
      <c r="L24" s="150">
        <f>'As-Filed Schedule 4'!H24</f>
        <v>3146</v>
      </c>
      <c r="M24" s="388">
        <f>SUMIFS(Adjustments!$G:$G,Adjustments!$H:$H,"4",Adjustments!$I:$I,'Schedule 4 Adjustments'!$L$14,Adjustments!$J:$J,'Schedule 4 Adjustments'!$A24)</f>
        <v>0</v>
      </c>
      <c r="N24" s="380">
        <f t="shared" si="4"/>
        <v>3146</v>
      </c>
      <c r="O24" s="410">
        <v>2.0499999999999998</v>
      </c>
      <c r="P24" s="47">
        <f t="shared" si="9"/>
        <v>6449.2999999999993</v>
      </c>
      <c r="Q24" s="378">
        <f t="shared" si="5"/>
        <v>6449.2999999999993</v>
      </c>
      <c r="R24" s="21">
        <f t="shared" si="6"/>
        <v>231.90479939547271</v>
      </c>
      <c r="S24" s="376">
        <f>O24*$I$12</f>
        <v>231.90479939547271</v>
      </c>
    </row>
    <row r="25" spans="1:19" s="22" customFormat="1" x14ac:dyDescent="0.35">
      <c r="A25" s="19">
        <v>13</v>
      </c>
      <c r="B25" s="19">
        <v>90833</v>
      </c>
      <c r="C25" s="20" t="s">
        <v>322</v>
      </c>
      <c r="D25" s="116">
        <f>'As-Filed Schedule 4'!D25</f>
        <v>0</v>
      </c>
      <c r="E25" s="388">
        <f>SUMIFS(Adjustments!$G:$G,Adjustments!$H:$H,"4",Adjustments!$I:$I,'Schedule 4 Adjustments'!$D$14,Adjustments!$J:$J,'Schedule 4 Adjustments'!$A25)</f>
        <v>0</v>
      </c>
      <c r="F25" s="380">
        <f t="shared" si="0"/>
        <v>0</v>
      </c>
      <c r="G25" s="410">
        <v>2.16</v>
      </c>
      <c r="H25" s="47">
        <f t="shared" si="8"/>
        <v>0</v>
      </c>
      <c r="I25" s="378">
        <f t="shared" si="1"/>
        <v>0</v>
      </c>
      <c r="J25" s="21">
        <f t="shared" si="2"/>
        <v>244.34847155815663</v>
      </c>
      <c r="K25" s="376">
        <f t="shared" si="3"/>
        <v>244.34847155815663</v>
      </c>
      <c r="L25" s="150">
        <f>'As-Filed Schedule 4'!H25</f>
        <v>0</v>
      </c>
      <c r="M25" s="388">
        <f>SUMIFS(Adjustments!$G:$G,Adjustments!$H:$H,"4",Adjustments!$I:$I,'Schedule 4 Adjustments'!$L$14,Adjustments!$J:$J,'Schedule 4 Adjustments'!$A25)</f>
        <v>0</v>
      </c>
      <c r="N25" s="380">
        <f t="shared" si="4"/>
        <v>0</v>
      </c>
      <c r="O25" s="410">
        <v>1.92</v>
      </c>
      <c r="P25" s="47">
        <f t="shared" si="9"/>
        <v>0</v>
      </c>
      <c r="Q25" s="378">
        <f t="shared" si="5"/>
        <v>0</v>
      </c>
      <c r="R25" s="21">
        <f t="shared" si="6"/>
        <v>217.19864138502808</v>
      </c>
      <c r="S25" s="376">
        <f t="shared" si="7"/>
        <v>217.19864138502808</v>
      </c>
    </row>
    <row r="26" spans="1:19" s="22" customFormat="1" x14ac:dyDescent="0.35">
      <c r="A26" s="19">
        <v>14</v>
      </c>
      <c r="B26" s="19">
        <v>90834</v>
      </c>
      <c r="C26" s="20" t="s">
        <v>323</v>
      </c>
      <c r="D26" s="116">
        <f>'As-Filed Schedule 4'!D26</f>
        <v>2666</v>
      </c>
      <c r="E26" s="388">
        <f>SUMIFS(Adjustments!$G:$G,Adjustments!$H:$H,"4",Adjustments!$I:$I,'Schedule 4 Adjustments'!$D$14,Adjustments!$J:$J,'Schedule 4 Adjustments'!$A26)</f>
        <v>0</v>
      </c>
      <c r="F26" s="380">
        <f t="shared" si="0"/>
        <v>2666</v>
      </c>
      <c r="G26" s="410">
        <v>3.1</v>
      </c>
      <c r="H26" s="47">
        <f t="shared" si="8"/>
        <v>8264.6</v>
      </c>
      <c r="I26" s="378">
        <f t="shared" si="1"/>
        <v>8264.6</v>
      </c>
      <c r="J26" s="21">
        <f t="shared" si="2"/>
        <v>350.68530640290999</v>
      </c>
      <c r="K26" s="376">
        <f t="shared" si="3"/>
        <v>350.68530640290999</v>
      </c>
      <c r="L26" s="150">
        <f>'As-Filed Schedule 4'!H26</f>
        <v>3891</v>
      </c>
      <c r="M26" s="388">
        <f>SUMIFS(Adjustments!$G:$G,Adjustments!$H:$H,"4",Adjustments!$I:$I,'Schedule 4 Adjustments'!$L$14,Adjustments!$J:$J,'Schedule 4 Adjustments'!$A26)</f>
        <v>0</v>
      </c>
      <c r="N26" s="380">
        <f t="shared" si="4"/>
        <v>3891</v>
      </c>
      <c r="O26" s="410">
        <v>2.71</v>
      </c>
      <c r="P26" s="47">
        <f t="shared" si="9"/>
        <v>10544.61</v>
      </c>
      <c r="Q26" s="378">
        <f t="shared" si="5"/>
        <v>10544.61</v>
      </c>
      <c r="R26" s="21">
        <f t="shared" si="6"/>
        <v>306.56683237157614</v>
      </c>
      <c r="S26" s="376">
        <f t="shared" si="7"/>
        <v>306.56683237157614</v>
      </c>
    </row>
    <row r="27" spans="1:19" s="22" customFormat="1" x14ac:dyDescent="0.35">
      <c r="A27" s="19">
        <v>15</v>
      </c>
      <c r="B27" s="19">
        <v>90836</v>
      </c>
      <c r="C27" s="20" t="s">
        <v>326</v>
      </c>
      <c r="D27" s="116">
        <f>'As-Filed Schedule 4'!D27</f>
        <v>0</v>
      </c>
      <c r="E27" s="388">
        <f>SUMIFS(Adjustments!$G:$G,Adjustments!$H:$H,"4",Adjustments!$I:$I,'Schedule 4 Adjustments'!$D$14,Adjustments!$J:$J,'Schedule 4 Adjustments'!$A27)</f>
        <v>0</v>
      </c>
      <c r="F27" s="380">
        <f t="shared" si="0"/>
        <v>0</v>
      </c>
      <c r="G27" s="410">
        <v>2.73</v>
      </c>
      <c r="H27" s="47">
        <f t="shared" si="8"/>
        <v>0</v>
      </c>
      <c r="I27" s="378">
        <f t="shared" si="1"/>
        <v>0</v>
      </c>
      <c r="J27" s="21">
        <f t="shared" si="2"/>
        <v>308.82931821933681</v>
      </c>
      <c r="K27" s="376">
        <f t="shared" si="3"/>
        <v>308.82931821933681</v>
      </c>
      <c r="L27" s="150">
        <f>'As-Filed Schedule 4'!H27</f>
        <v>0</v>
      </c>
      <c r="M27" s="388">
        <f>SUMIFS(Adjustments!$G:$G,Adjustments!$H:$H,"4",Adjustments!$I:$I,'Schedule 4 Adjustments'!$L$14,Adjustments!$J:$J,'Schedule 4 Adjustments'!$A27)</f>
        <v>0</v>
      </c>
      <c r="N27" s="380">
        <f t="shared" si="4"/>
        <v>0</v>
      </c>
      <c r="O27" s="410">
        <v>2.4300000000000002</v>
      </c>
      <c r="P27" s="47">
        <f t="shared" si="9"/>
        <v>0</v>
      </c>
      <c r="Q27" s="378">
        <f t="shared" si="5"/>
        <v>0</v>
      </c>
      <c r="R27" s="21">
        <f t="shared" si="6"/>
        <v>274.89203050292622</v>
      </c>
      <c r="S27" s="376">
        <f>O27*$I$12</f>
        <v>274.89203050292622</v>
      </c>
    </row>
    <row r="28" spans="1:19" s="22" customFormat="1" x14ac:dyDescent="0.35">
      <c r="A28" s="19">
        <v>16</v>
      </c>
      <c r="B28" s="19">
        <v>90837</v>
      </c>
      <c r="C28" s="20" t="s">
        <v>324</v>
      </c>
      <c r="D28" s="116">
        <f>'As-Filed Schedule 4'!D28</f>
        <v>4526</v>
      </c>
      <c r="E28" s="388">
        <f>SUMIFS(Adjustments!$G:$G,Adjustments!$H:$H,"4",Adjustments!$I:$I,'Schedule 4 Adjustments'!$D$14,Adjustments!$J:$J,'Schedule 4 Adjustments'!$A28)</f>
        <v>0</v>
      </c>
      <c r="F28" s="380">
        <f t="shared" si="0"/>
        <v>4526</v>
      </c>
      <c r="G28" s="410">
        <v>4.57</v>
      </c>
      <c r="H28" s="47">
        <f t="shared" si="8"/>
        <v>20683.82</v>
      </c>
      <c r="I28" s="378">
        <f t="shared" si="1"/>
        <v>20683.82</v>
      </c>
      <c r="J28" s="21">
        <f t="shared" si="2"/>
        <v>516.97801621332212</v>
      </c>
      <c r="K28" s="376">
        <f t="shared" si="3"/>
        <v>516.97801621332212</v>
      </c>
      <c r="L28" s="150">
        <f>'As-Filed Schedule 4'!H28</f>
        <v>11645</v>
      </c>
      <c r="M28" s="388">
        <f>SUMIFS(Adjustments!$G:$G,Adjustments!$H:$H,"4",Adjustments!$I:$I,'Schedule 4 Adjustments'!$L$14,Adjustments!$J:$J,'Schedule 4 Adjustments'!$A28)</f>
        <v>0</v>
      </c>
      <c r="N28" s="380">
        <f t="shared" si="4"/>
        <v>11645</v>
      </c>
      <c r="O28" s="410">
        <v>4</v>
      </c>
      <c r="P28" s="47">
        <f t="shared" si="9"/>
        <v>46580</v>
      </c>
      <c r="Q28" s="378">
        <f t="shared" si="5"/>
        <v>46580</v>
      </c>
      <c r="R28" s="21">
        <f t="shared" si="6"/>
        <v>452.49716955214188</v>
      </c>
      <c r="S28" s="376">
        <f t="shared" si="7"/>
        <v>452.49716955214188</v>
      </c>
    </row>
    <row r="29" spans="1:19" s="22" customFormat="1" x14ac:dyDescent="0.35">
      <c r="A29" s="19">
        <v>17</v>
      </c>
      <c r="B29" s="19">
        <v>90838</v>
      </c>
      <c r="C29" s="20" t="s">
        <v>327</v>
      </c>
      <c r="D29" s="116">
        <f>'As-Filed Schedule 4'!D29</f>
        <v>0</v>
      </c>
      <c r="E29" s="388">
        <f>SUMIFS(Adjustments!$G:$G,Adjustments!$H:$H,"4",Adjustments!$I:$I,'Schedule 4 Adjustments'!$D$14,Adjustments!$J:$J,'Schedule 4 Adjustments'!$A29)</f>
        <v>0</v>
      </c>
      <c r="F29" s="380">
        <f t="shared" si="0"/>
        <v>0</v>
      </c>
      <c r="G29" s="410">
        <v>3.62</v>
      </c>
      <c r="H29" s="47">
        <f t="shared" si="8"/>
        <v>0</v>
      </c>
      <c r="I29" s="378">
        <f t="shared" si="1"/>
        <v>0</v>
      </c>
      <c r="J29" s="21">
        <f t="shared" si="2"/>
        <v>409.50993844468843</v>
      </c>
      <c r="K29" s="376">
        <f t="shared" si="3"/>
        <v>409.50993844468843</v>
      </c>
      <c r="L29" s="150">
        <f>'As-Filed Schedule 4'!H29</f>
        <v>0</v>
      </c>
      <c r="M29" s="388">
        <f>SUMIFS(Adjustments!$G:$G,Adjustments!$H:$H,"4",Adjustments!$I:$I,'Schedule 4 Adjustments'!$L$14,Adjustments!$J:$J,'Schedule 4 Adjustments'!$A29)</f>
        <v>0</v>
      </c>
      <c r="N29" s="380">
        <f t="shared" si="4"/>
        <v>0</v>
      </c>
      <c r="O29" s="410">
        <v>3.22</v>
      </c>
      <c r="P29" s="47">
        <f t="shared" si="9"/>
        <v>0</v>
      </c>
      <c r="Q29" s="378">
        <f t="shared" si="5"/>
        <v>0</v>
      </c>
      <c r="R29" s="21">
        <f t="shared" si="6"/>
        <v>364.26022148947425</v>
      </c>
      <c r="S29" s="376">
        <f t="shared" si="7"/>
        <v>364.26022148947425</v>
      </c>
    </row>
    <row r="30" spans="1:19" s="22" customFormat="1" x14ac:dyDescent="0.35">
      <c r="A30" s="19">
        <v>18</v>
      </c>
      <c r="B30" s="19">
        <v>90839</v>
      </c>
      <c r="C30" s="20" t="s">
        <v>329</v>
      </c>
      <c r="D30" s="116">
        <f>'As-Filed Schedule 4'!D30</f>
        <v>129</v>
      </c>
      <c r="E30" s="388">
        <f>SUMIFS(Adjustments!$G:$G,Adjustments!$H:$H,"4",Adjustments!$I:$I,'Schedule 4 Adjustments'!$D$14,Adjustments!$J:$J,'Schedule 4 Adjustments'!$A30)</f>
        <v>0</v>
      </c>
      <c r="F30" s="380">
        <f t="shared" si="0"/>
        <v>129</v>
      </c>
      <c r="G30" s="410">
        <v>4.4000000000000004</v>
      </c>
      <c r="H30" s="47">
        <f t="shared" si="8"/>
        <v>567.6</v>
      </c>
      <c r="I30" s="378">
        <f t="shared" si="1"/>
        <v>567.6</v>
      </c>
      <c r="J30" s="21">
        <f t="shared" si="2"/>
        <v>497.74688650735612</v>
      </c>
      <c r="K30" s="376">
        <f t="shared" si="3"/>
        <v>497.74688650735612</v>
      </c>
      <c r="L30" s="150">
        <f>'As-Filed Schedule 4'!H30</f>
        <v>3</v>
      </c>
      <c r="M30" s="388">
        <f>SUMIFS(Adjustments!$G:$G,Adjustments!$H:$H,"4",Adjustments!$I:$I,'Schedule 4 Adjustments'!$L$14,Adjustments!$J:$J,'Schedule 4 Adjustments'!$A30)</f>
        <v>0</v>
      </c>
      <c r="N30" s="380">
        <f t="shared" si="4"/>
        <v>3</v>
      </c>
      <c r="O30" s="410">
        <v>3.87</v>
      </c>
      <c r="P30" s="47">
        <f t="shared" si="9"/>
        <v>11.61</v>
      </c>
      <c r="Q30" s="378">
        <f t="shared" si="5"/>
        <v>11.61</v>
      </c>
      <c r="R30" s="21">
        <f t="shared" si="6"/>
        <v>437.79101154169729</v>
      </c>
      <c r="S30" s="376">
        <f t="shared" si="7"/>
        <v>437.79101154169729</v>
      </c>
    </row>
    <row r="31" spans="1:19" s="22" customFormat="1" x14ac:dyDescent="0.35">
      <c r="A31" s="19">
        <v>19</v>
      </c>
      <c r="B31" s="19">
        <v>90840</v>
      </c>
      <c r="C31" s="20" t="s">
        <v>328</v>
      </c>
      <c r="D31" s="116">
        <f>'As-Filed Schedule 4'!D31</f>
        <v>0</v>
      </c>
      <c r="E31" s="388">
        <f>SUMIFS(Adjustments!$G:$G,Adjustments!$H:$H,"4",Adjustments!$I:$I,'Schedule 4 Adjustments'!$D$14,Adjustments!$J:$J,'Schedule 4 Adjustments'!$A31)</f>
        <v>0</v>
      </c>
      <c r="F31" s="380">
        <f t="shared" si="0"/>
        <v>0</v>
      </c>
      <c r="G31" s="410">
        <v>2.1800000000000002</v>
      </c>
      <c r="H31" s="47">
        <f t="shared" si="8"/>
        <v>0</v>
      </c>
      <c r="I31" s="378">
        <f t="shared" si="1"/>
        <v>0</v>
      </c>
      <c r="J31" s="21">
        <f t="shared" si="2"/>
        <v>246.61095740591733</v>
      </c>
      <c r="K31" s="376">
        <f t="shared" si="3"/>
        <v>246.61095740591733</v>
      </c>
      <c r="L31" s="150">
        <f>'As-Filed Schedule 4'!H31</f>
        <v>0</v>
      </c>
      <c r="M31" s="388">
        <f>SUMIFS(Adjustments!$G:$G,Adjustments!$H:$H,"4",Adjustments!$I:$I,'Schedule 4 Adjustments'!$L$14,Adjustments!$J:$J,'Schedule 4 Adjustments'!$A31)</f>
        <v>0</v>
      </c>
      <c r="N31" s="380">
        <f t="shared" si="4"/>
        <v>0</v>
      </c>
      <c r="O31" s="410">
        <v>1.94</v>
      </c>
      <c r="P31" s="47">
        <f t="shared" si="9"/>
        <v>0</v>
      </c>
      <c r="Q31" s="378">
        <f>N31*O31</f>
        <v>0</v>
      </c>
      <c r="R31" s="21">
        <f t="shared" si="6"/>
        <v>219.46112723278881</v>
      </c>
      <c r="S31" s="376">
        <f t="shared" si="7"/>
        <v>219.46112723278881</v>
      </c>
    </row>
    <row r="32" spans="1:19" s="22" customFormat="1" x14ac:dyDescent="0.35">
      <c r="A32" s="19">
        <v>20</v>
      </c>
      <c r="B32" s="19">
        <v>90846</v>
      </c>
      <c r="C32" s="20" t="s">
        <v>113</v>
      </c>
      <c r="D32" s="116">
        <f>'As-Filed Schedule 4'!D32</f>
        <v>126</v>
      </c>
      <c r="E32" s="388">
        <f>SUMIFS(Adjustments!$G:$G,Adjustments!$H:$H,"4",Adjustments!$I:$I,'Schedule 4 Adjustments'!$D$14,Adjustments!$J:$J,'Schedule 4 Adjustments'!$A32)</f>
        <v>0</v>
      </c>
      <c r="F32" s="380">
        <f t="shared" si="0"/>
        <v>126</v>
      </c>
      <c r="G32" s="410">
        <v>2.93</v>
      </c>
      <c r="H32" s="47">
        <f t="shared" si="8"/>
        <v>369.18</v>
      </c>
      <c r="I32" s="378">
        <f t="shared" si="1"/>
        <v>369.18</v>
      </c>
      <c r="J32" s="21">
        <f t="shared" si="2"/>
        <v>331.45417669694393</v>
      </c>
      <c r="K32" s="376">
        <f t="shared" si="3"/>
        <v>331.45417669694393</v>
      </c>
      <c r="L32" s="150">
        <f>'As-Filed Schedule 4'!H32</f>
        <v>68</v>
      </c>
      <c r="M32" s="388">
        <f>SUMIFS(Adjustments!$G:$G,Adjustments!$H:$H,"4",Adjustments!$I:$I,'Schedule 4 Adjustments'!$L$14,Adjustments!$J:$J,'Schedule 4 Adjustments'!$A32)</f>
        <v>0</v>
      </c>
      <c r="N32" s="380">
        <f t="shared" si="4"/>
        <v>68</v>
      </c>
      <c r="O32" s="410">
        <v>2.92</v>
      </c>
      <c r="P32" s="47">
        <f t="shared" si="9"/>
        <v>198.56</v>
      </c>
      <c r="Q32" s="378">
        <f t="shared" si="5"/>
        <v>198.56</v>
      </c>
      <c r="R32" s="21">
        <f t="shared" si="6"/>
        <v>330.32293377306354</v>
      </c>
      <c r="S32" s="376">
        <f t="shared" si="7"/>
        <v>330.32293377306354</v>
      </c>
    </row>
    <row r="33" spans="1:19" s="22" customFormat="1" x14ac:dyDescent="0.35">
      <c r="A33" s="19">
        <v>21</v>
      </c>
      <c r="B33" s="19">
        <v>90847</v>
      </c>
      <c r="C33" s="20" t="s">
        <v>114</v>
      </c>
      <c r="D33" s="116">
        <f>'As-Filed Schedule 4'!D33</f>
        <v>89</v>
      </c>
      <c r="E33" s="388">
        <f>SUMIFS(Adjustments!$G:$G,Adjustments!$H:$H,"4",Adjustments!$I:$I,'Schedule 4 Adjustments'!$D$14,Adjustments!$J:$J,'Schedule 4 Adjustments'!$A33)</f>
        <v>0</v>
      </c>
      <c r="F33" s="380">
        <f t="shared" si="0"/>
        <v>89</v>
      </c>
      <c r="G33" s="410">
        <v>3.07</v>
      </c>
      <c r="H33" s="47">
        <f t="shared" si="8"/>
        <v>273.22999999999996</v>
      </c>
      <c r="I33" s="378">
        <f t="shared" si="1"/>
        <v>273.22999999999996</v>
      </c>
      <c r="J33" s="21">
        <f t="shared" si="2"/>
        <v>347.29157763126886</v>
      </c>
      <c r="K33" s="376">
        <f t="shared" si="3"/>
        <v>347.29157763126886</v>
      </c>
      <c r="L33" s="150">
        <f>'As-Filed Schedule 4'!H33</f>
        <v>629</v>
      </c>
      <c r="M33" s="388">
        <f>SUMIFS(Adjustments!$G:$G,Adjustments!$H:$H,"4",Adjustments!$I:$I,'Schedule 4 Adjustments'!$L$14,Adjustments!$J:$J,'Schedule 4 Adjustments'!$A33)</f>
        <v>0</v>
      </c>
      <c r="N33" s="380">
        <f t="shared" si="4"/>
        <v>629</v>
      </c>
      <c r="O33" s="410">
        <v>3.05</v>
      </c>
      <c r="P33" s="47">
        <f t="shared" si="9"/>
        <v>1918.4499999999998</v>
      </c>
      <c r="Q33" s="378">
        <f t="shared" si="5"/>
        <v>1918.4499999999998</v>
      </c>
      <c r="R33" s="21">
        <f t="shared" si="6"/>
        <v>345.02909178350819</v>
      </c>
      <c r="S33" s="376">
        <f t="shared" si="7"/>
        <v>345.02909178350819</v>
      </c>
    </row>
    <row r="34" spans="1:19" s="22" customFormat="1" x14ac:dyDescent="0.35">
      <c r="A34" s="19">
        <v>22</v>
      </c>
      <c r="B34" s="19">
        <v>90849</v>
      </c>
      <c r="C34" s="20" t="s">
        <v>115</v>
      </c>
      <c r="D34" s="116">
        <f>'As-Filed Schedule 4'!D34</f>
        <v>9</v>
      </c>
      <c r="E34" s="388">
        <f>SUMIFS(Adjustments!$G:$G,Adjustments!$H:$H,"4",Adjustments!$I:$I,'Schedule 4 Adjustments'!$D$14,Adjustments!$J:$J,'Schedule 4 Adjustments'!$A34)</f>
        <v>0</v>
      </c>
      <c r="F34" s="380">
        <f t="shared" si="0"/>
        <v>9</v>
      </c>
      <c r="G34" s="410">
        <v>1.1299999999999999</v>
      </c>
      <c r="H34" s="47">
        <f t="shared" si="8"/>
        <v>10.169999999999998</v>
      </c>
      <c r="I34" s="378">
        <f t="shared" si="1"/>
        <v>10.169999999999998</v>
      </c>
      <c r="J34" s="21">
        <f t="shared" si="2"/>
        <v>127.83045039848007</v>
      </c>
      <c r="K34" s="376">
        <f t="shared" si="3"/>
        <v>127.83045039848007</v>
      </c>
      <c r="L34" s="150">
        <f>'As-Filed Schedule 4'!H34</f>
        <v>108</v>
      </c>
      <c r="M34" s="388">
        <f>SUMIFS(Adjustments!$G:$G,Adjustments!$H:$H,"4",Adjustments!$I:$I,'Schedule 4 Adjustments'!$L$14,Adjustments!$J:$J,'Schedule 4 Adjustments'!$A34)</f>
        <v>0</v>
      </c>
      <c r="N34" s="380">
        <f t="shared" si="4"/>
        <v>108</v>
      </c>
      <c r="O34" s="410">
        <v>0.88</v>
      </c>
      <c r="P34" s="47">
        <f t="shared" si="9"/>
        <v>95.04</v>
      </c>
      <c r="Q34" s="378">
        <f t="shared" si="5"/>
        <v>95.04</v>
      </c>
      <c r="R34" s="21">
        <f t="shared" si="6"/>
        <v>99.54937730147121</v>
      </c>
      <c r="S34" s="376">
        <f t="shared" si="7"/>
        <v>99.54937730147121</v>
      </c>
    </row>
    <row r="35" spans="1:19" s="22" customFormat="1" x14ac:dyDescent="0.35">
      <c r="A35" s="19">
        <v>23</v>
      </c>
      <c r="B35" s="19">
        <v>90853</v>
      </c>
      <c r="C35" s="20" t="s">
        <v>116</v>
      </c>
      <c r="D35" s="116">
        <f>'As-Filed Schedule 4'!D35</f>
        <v>625</v>
      </c>
      <c r="E35" s="388">
        <f>SUMIFS(Adjustments!$G:$G,Adjustments!$H:$H,"4",Adjustments!$I:$I,'Schedule 4 Adjustments'!$D$14,Adjustments!$J:$J,'Schedule 4 Adjustments'!$A35)</f>
        <v>0</v>
      </c>
      <c r="F35" s="380">
        <f t="shared" si="0"/>
        <v>625</v>
      </c>
      <c r="G35" s="410">
        <v>0.83</v>
      </c>
      <c r="H35" s="47">
        <f t="shared" si="8"/>
        <v>518.75</v>
      </c>
      <c r="I35" s="378">
        <f t="shared" si="1"/>
        <v>518.75</v>
      </c>
      <c r="J35" s="21">
        <f t="shared" si="2"/>
        <v>93.893162682069431</v>
      </c>
      <c r="K35" s="376">
        <f t="shared" si="3"/>
        <v>93.893162682069431</v>
      </c>
      <c r="L35" s="150">
        <f>'As-Filed Schedule 4'!H35</f>
        <v>2030</v>
      </c>
      <c r="M35" s="388">
        <f>SUMIFS(Adjustments!$G:$G,Adjustments!$H:$H,"4",Adjustments!$I:$I,'Schedule 4 Adjustments'!$L$14,Adjustments!$J:$J,'Schedule 4 Adjustments'!$A35)</f>
        <v>0</v>
      </c>
      <c r="N35" s="380">
        <f t="shared" si="4"/>
        <v>2030</v>
      </c>
      <c r="O35" s="410">
        <v>0.72</v>
      </c>
      <c r="P35" s="47">
        <f t="shared" si="9"/>
        <v>1461.6</v>
      </c>
      <c r="Q35" s="378">
        <f t="shared" si="5"/>
        <v>1461.6</v>
      </c>
      <c r="R35" s="21">
        <f t="shared" si="6"/>
        <v>81.449490519385535</v>
      </c>
      <c r="S35" s="376">
        <f t="shared" si="7"/>
        <v>81.449490519385535</v>
      </c>
    </row>
    <row r="36" spans="1:19" s="22" customFormat="1" x14ac:dyDescent="0.35">
      <c r="A36" s="19">
        <v>24</v>
      </c>
      <c r="B36" s="19">
        <v>90870</v>
      </c>
      <c r="C36" s="20" t="s">
        <v>117</v>
      </c>
      <c r="D36" s="116">
        <f>'As-Filed Schedule 4'!D36</f>
        <v>0</v>
      </c>
      <c r="E36" s="388">
        <f>SUMIFS(Adjustments!$G:$G,Adjustments!$H:$H,"4",Adjustments!$I:$I,'Schedule 4 Adjustments'!$D$14,Adjustments!$J:$J,'Schedule 4 Adjustments'!$A36)</f>
        <v>0</v>
      </c>
      <c r="F36" s="380">
        <f t="shared" si="0"/>
        <v>0</v>
      </c>
      <c r="G36" s="410">
        <v>5.18</v>
      </c>
      <c r="H36" s="47">
        <f t="shared" si="8"/>
        <v>0</v>
      </c>
      <c r="I36" s="378">
        <f t="shared" si="1"/>
        <v>0</v>
      </c>
      <c r="J36" s="21">
        <f t="shared" si="2"/>
        <v>585.98383457002376</v>
      </c>
      <c r="K36" s="376">
        <f t="shared" si="3"/>
        <v>585.98383457002376</v>
      </c>
      <c r="L36" s="150">
        <f>'As-Filed Schedule 4'!H36</f>
        <v>0</v>
      </c>
      <c r="M36" s="388">
        <f>SUMIFS(Adjustments!$G:$G,Adjustments!$H:$H,"4",Adjustments!$I:$I,'Schedule 4 Adjustments'!$L$14,Adjustments!$J:$J,'Schedule 4 Adjustments'!$A36)</f>
        <v>0</v>
      </c>
      <c r="N36" s="380">
        <f t="shared" si="4"/>
        <v>0</v>
      </c>
      <c r="O36" s="410">
        <v>3.12</v>
      </c>
      <c r="P36" s="47">
        <f t="shared" si="9"/>
        <v>0</v>
      </c>
      <c r="Q36" s="378">
        <f t="shared" si="5"/>
        <v>0</v>
      </c>
      <c r="R36" s="21">
        <f t="shared" si="6"/>
        <v>352.94779225067066</v>
      </c>
      <c r="S36" s="376">
        <f t="shared" si="7"/>
        <v>352.94779225067066</v>
      </c>
    </row>
    <row r="37" spans="1:19" s="22" customFormat="1" x14ac:dyDescent="0.35">
      <c r="A37" s="19">
        <v>25</v>
      </c>
      <c r="B37" s="19">
        <v>90875</v>
      </c>
      <c r="C37" s="20" t="s">
        <v>152</v>
      </c>
      <c r="D37" s="116">
        <f>'As-Filed Schedule 4'!D37</f>
        <v>0</v>
      </c>
      <c r="E37" s="388">
        <f>SUMIFS(Adjustments!$G:$G,Adjustments!$H:$H,"4",Adjustments!$I:$I,'Schedule 4 Adjustments'!$D$14,Adjustments!$J:$J,'Schedule 4 Adjustments'!$A37)</f>
        <v>0</v>
      </c>
      <c r="F37" s="380">
        <f t="shared" si="0"/>
        <v>0</v>
      </c>
      <c r="G37" s="410">
        <v>1.75</v>
      </c>
      <c r="H37" s="47">
        <f t="shared" si="8"/>
        <v>0</v>
      </c>
      <c r="I37" s="378">
        <f t="shared" si="1"/>
        <v>0</v>
      </c>
      <c r="J37" s="21">
        <f t="shared" si="2"/>
        <v>197.96751167906208</v>
      </c>
      <c r="K37" s="376">
        <f t="shared" si="3"/>
        <v>197.96751167906208</v>
      </c>
      <c r="L37" s="150">
        <f>'As-Filed Schedule 4'!H37</f>
        <v>0</v>
      </c>
      <c r="M37" s="388">
        <f>SUMIFS(Adjustments!$G:$G,Adjustments!$H:$H,"4",Adjustments!$I:$I,'Schedule 4 Adjustments'!$L$14,Adjustments!$J:$J,'Schedule 4 Adjustments'!$A37)</f>
        <v>0</v>
      </c>
      <c r="N37" s="380">
        <f t="shared" si="4"/>
        <v>0</v>
      </c>
      <c r="O37" s="410">
        <v>1.74</v>
      </c>
      <c r="P37" s="47">
        <f t="shared" si="9"/>
        <v>0</v>
      </c>
      <c r="Q37" s="378">
        <f t="shared" si="5"/>
        <v>0</v>
      </c>
      <c r="R37" s="21">
        <f t="shared" si="6"/>
        <v>196.83626875518172</v>
      </c>
      <c r="S37" s="376">
        <f t="shared" si="7"/>
        <v>196.83626875518172</v>
      </c>
    </row>
    <row r="38" spans="1:19" s="22" customFormat="1" x14ac:dyDescent="0.35">
      <c r="A38" s="19">
        <v>26</v>
      </c>
      <c r="B38" s="19">
        <v>90876</v>
      </c>
      <c r="C38" s="20" t="s">
        <v>153</v>
      </c>
      <c r="D38" s="116">
        <f>'As-Filed Schedule 4'!D38</f>
        <v>0</v>
      </c>
      <c r="E38" s="388">
        <f>SUMIFS(Adjustments!$G:$G,Adjustments!$H:$H,"4",Adjustments!$I:$I,'Schedule 4 Adjustments'!$D$14,Adjustments!$J:$J,'Schedule 4 Adjustments'!$A38)</f>
        <v>0</v>
      </c>
      <c r="F38" s="380">
        <f t="shared" si="0"/>
        <v>0</v>
      </c>
      <c r="G38" s="410">
        <v>3.08</v>
      </c>
      <c r="H38" s="47">
        <f t="shared" si="8"/>
        <v>0</v>
      </c>
      <c r="I38" s="378">
        <f t="shared" si="1"/>
        <v>0</v>
      </c>
      <c r="J38" s="21">
        <f t="shared" si="2"/>
        <v>348.42282055514926</v>
      </c>
      <c r="K38" s="376">
        <f t="shared" si="3"/>
        <v>348.42282055514926</v>
      </c>
      <c r="L38" s="150">
        <f>'As-Filed Schedule 4'!H38</f>
        <v>0</v>
      </c>
      <c r="M38" s="388">
        <f>SUMIFS(Adjustments!$G:$G,Adjustments!$H:$H,"4",Adjustments!$I:$I,'Schedule 4 Adjustments'!$L$14,Adjustments!$J:$J,'Schedule 4 Adjustments'!$A38)</f>
        <v>0</v>
      </c>
      <c r="N38" s="380">
        <f t="shared" si="4"/>
        <v>0</v>
      </c>
      <c r="O38" s="410">
        <v>2.76</v>
      </c>
      <c r="P38" s="47">
        <f t="shared" si="9"/>
        <v>0</v>
      </c>
      <c r="Q38" s="378">
        <f t="shared" si="5"/>
        <v>0</v>
      </c>
      <c r="R38" s="21">
        <f t="shared" si="6"/>
        <v>312.22304699097788</v>
      </c>
      <c r="S38" s="376">
        <f t="shared" si="7"/>
        <v>312.22304699097788</v>
      </c>
    </row>
    <row r="39" spans="1:19" s="22" customFormat="1" x14ac:dyDescent="0.35">
      <c r="A39" s="19">
        <v>27</v>
      </c>
      <c r="B39" s="19">
        <v>90887</v>
      </c>
      <c r="C39" s="20" t="s">
        <v>330</v>
      </c>
      <c r="D39" s="116">
        <f>'As-Filed Schedule 4'!D39</f>
        <v>0</v>
      </c>
      <c r="E39" s="388">
        <f>SUMIFS(Adjustments!$G:$G,Adjustments!$H:$H,"4",Adjustments!$I:$I,'Schedule 4 Adjustments'!$D$14,Adjustments!$J:$J,'Schedule 4 Adjustments'!$A39)</f>
        <v>0</v>
      </c>
      <c r="F39" s="380">
        <f t="shared" si="0"/>
        <v>0</v>
      </c>
      <c r="G39" s="410">
        <v>2.56</v>
      </c>
      <c r="H39" s="47">
        <f t="shared" si="8"/>
        <v>0</v>
      </c>
      <c r="I39" s="378">
        <f t="shared" si="1"/>
        <v>0</v>
      </c>
      <c r="J39" s="21">
        <f t="shared" si="2"/>
        <v>289.59818851337081</v>
      </c>
      <c r="K39" s="376">
        <f t="shared" si="3"/>
        <v>289.59818851337081</v>
      </c>
      <c r="L39" s="150">
        <f>'As-Filed Schedule 4'!H39</f>
        <v>0</v>
      </c>
      <c r="M39" s="388">
        <f>SUMIFS(Adjustments!$G:$G,Adjustments!$H:$H,"4",Adjustments!$I:$I,'Schedule 4 Adjustments'!$L$14,Adjustments!$J:$J,'Schedule 4 Adjustments'!$A39)</f>
        <v>0</v>
      </c>
      <c r="N39" s="380">
        <f t="shared" si="4"/>
        <v>0</v>
      </c>
      <c r="O39" s="410">
        <v>2.14</v>
      </c>
      <c r="P39" s="47">
        <f t="shared" si="9"/>
        <v>0</v>
      </c>
      <c r="Q39" s="378">
        <f t="shared" si="5"/>
        <v>0</v>
      </c>
      <c r="R39" s="21">
        <f t="shared" si="6"/>
        <v>242.08598571039593</v>
      </c>
      <c r="S39" s="376">
        <f t="shared" si="7"/>
        <v>242.08598571039593</v>
      </c>
    </row>
    <row r="40" spans="1:19" s="22" customFormat="1" x14ac:dyDescent="0.35">
      <c r="A40" s="19">
        <v>28</v>
      </c>
      <c r="B40" s="19">
        <v>96116</v>
      </c>
      <c r="C40" s="20" t="s">
        <v>341</v>
      </c>
      <c r="D40" s="116">
        <f>'As-Filed Schedule 4'!D40</f>
        <v>0</v>
      </c>
      <c r="E40" s="388">
        <f>SUMIFS(Adjustments!$G:$G,Adjustments!$H:$H,"4",Adjustments!$I:$I,'Schedule 4 Adjustments'!$D$14,Adjustments!$J:$J,'Schedule 4 Adjustments'!$A40)</f>
        <v>0</v>
      </c>
      <c r="F40" s="380">
        <f t="shared" si="0"/>
        <v>0</v>
      </c>
      <c r="G40" s="410">
        <v>2.76</v>
      </c>
      <c r="H40" s="47">
        <f t="shared" si="8"/>
        <v>0</v>
      </c>
      <c r="I40" s="378">
        <f t="shared" si="1"/>
        <v>0</v>
      </c>
      <c r="J40" s="21">
        <f t="shared" si="2"/>
        <v>312.22304699097788</v>
      </c>
      <c r="K40" s="376">
        <f t="shared" si="3"/>
        <v>312.22304699097788</v>
      </c>
      <c r="L40" s="150">
        <f>'As-Filed Schedule 4'!H40</f>
        <v>0</v>
      </c>
      <c r="M40" s="388">
        <f>SUMIFS(Adjustments!$G:$G,Adjustments!$H:$H,"4",Adjustments!$I:$I,'Schedule 4 Adjustments'!$L$14,Adjustments!$J:$J,'Schedule 4 Adjustments'!$A40)</f>
        <v>0</v>
      </c>
      <c r="N40" s="380">
        <f t="shared" si="4"/>
        <v>0</v>
      </c>
      <c r="O40" s="410">
        <v>2.37</v>
      </c>
      <c r="P40" s="47">
        <f t="shared" si="9"/>
        <v>0</v>
      </c>
      <c r="Q40" s="378">
        <f t="shared" si="5"/>
        <v>0</v>
      </c>
      <c r="R40" s="21">
        <f t="shared" si="6"/>
        <v>268.10457295964409</v>
      </c>
      <c r="S40" s="376">
        <f t="shared" si="7"/>
        <v>268.10457295964409</v>
      </c>
    </row>
    <row r="41" spans="1:19" s="22" customFormat="1" x14ac:dyDescent="0.35">
      <c r="A41" s="19">
        <v>29</v>
      </c>
      <c r="B41" s="19">
        <v>96121</v>
      </c>
      <c r="C41" s="20" t="s">
        <v>340</v>
      </c>
      <c r="D41" s="116">
        <f>'As-Filed Schedule 4'!D41</f>
        <v>0</v>
      </c>
      <c r="E41" s="388">
        <f>SUMIFS(Adjustments!$G:$G,Adjustments!$H:$H,"4",Adjustments!$I:$I,'Schedule 4 Adjustments'!$D$14,Adjustments!$J:$J,'Schedule 4 Adjustments'!$A41)</f>
        <v>0</v>
      </c>
      <c r="F41" s="380">
        <f t="shared" si="0"/>
        <v>0</v>
      </c>
      <c r="G41" s="410">
        <v>2.25</v>
      </c>
      <c r="H41" s="47">
        <f t="shared" si="8"/>
        <v>0</v>
      </c>
      <c r="I41" s="378">
        <f t="shared" si="1"/>
        <v>0</v>
      </c>
      <c r="J41" s="21">
        <f t="shared" si="2"/>
        <v>254.5296578730798</v>
      </c>
      <c r="K41" s="376">
        <f t="shared" si="3"/>
        <v>254.5296578730798</v>
      </c>
      <c r="L41" s="150">
        <f>'As-Filed Schedule 4'!H41</f>
        <v>0</v>
      </c>
      <c r="M41" s="388">
        <f>SUMIFS(Adjustments!$G:$G,Adjustments!$H:$H,"4",Adjustments!$I:$I,'Schedule 4 Adjustments'!$L$14,Adjustments!$J:$J,'Schedule 4 Adjustments'!$A41)</f>
        <v>0</v>
      </c>
      <c r="N41" s="380">
        <f t="shared" si="4"/>
        <v>0</v>
      </c>
      <c r="O41" s="410">
        <v>1.97</v>
      </c>
      <c r="P41" s="47">
        <f t="shared" si="9"/>
        <v>0</v>
      </c>
      <c r="Q41" s="378">
        <f t="shared" si="5"/>
        <v>0</v>
      </c>
      <c r="R41" s="21">
        <f t="shared" si="6"/>
        <v>222.85485600442988</v>
      </c>
      <c r="S41" s="376">
        <f t="shared" si="7"/>
        <v>222.85485600442988</v>
      </c>
    </row>
    <row r="42" spans="1:19" s="22" customFormat="1" x14ac:dyDescent="0.35">
      <c r="A42" s="19">
        <v>30</v>
      </c>
      <c r="B42" s="19">
        <v>96130</v>
      </c>
      <c r="C42" s="20" t="s">
        <v>338</v>
      </c>
      <c r="D42" s="116">
        <f>'As-Filed Schedule 4'!D42</f>
        <v>0</v>
      </c>
      <c r="E42" s="388">
        <f>SUMIFS(Adjustments!$G:$G,Adjustments!$H:$H,"4",Adjustments!$I:$I,'Schedule 4 Adjustments'!$D$14,Adjustments!$J:$J,'Schedule 4 Adjustments'!$A42)</f>
        <v>0</v>
      </c>
      <c r="F42" s="380">
        <f t="shared" si="0"/>
        <v>0</v>
      </c>
      <c r="G42" s="410">
        <v>3.6</v>
      </c>
      <c r="H42" s="47">
        <f t="shared" si="8"/>
        <v>0</v>
      </c>
      <c r="I42" s="378">
        <f t="shared" si="1"/>
        <v>0</v>
      </c>
      <c r="J42" s="21">
        <f t="shared" si="2"/>
        <v>407.2474525969277</v>
      </c>
      <c r="K42" s="376">
        <f t="shared" si="3"/>
        <v>407.2474525969277</v>
      </c>
      <c r="L42" s="150">
        <f>'As-Filed Schedule 4'!H42</f>
        <v>0</v>
      </c>
      <c r="M42" s="388">
        <f>SUMIFS(Adjustments!$G:$G,Adjustments!$H:$H,"4",Adjustments!$I:$I,'Schedule 4 Adjustments'!$L$14,Adjustments!$J:$J,'Schedule 4 Adjustments'!$A42)</f>
        <v>0</v>
      </c>
      <c r="N42" s="380">
        <f t="shared" si="4"/>
        <v>0</v>
      </c>
      <c r="O42" s="410">
        <v>3.25</v>
      </c>
      <c r="P42" s="47">
        <f t="shared" si="9"/>
        <v>0</v>
      </c>
      <c r="Q42" s="378">
        <f t="shared" si="5"/>
        <v>0</v>
      </c>
      <c r="R42" s="21">
        <f t="shared" si="6"/>
        <v>367.65395026111526</v>
      </c>
      <c r="S42" s="376">
        <f t="shared" si="7"/>
        <v>367.65395026111526</v>
      </c>
    </row>
    <row r="43" spans="1:19" s="22" customFormat="1" x14ac:dyDescent="0.35">
      <c r="A43" s="19">
        <v>31</v>
      </c>
      <c r="B43" s="19">
        <v>96131</v>
      </c>
      <c r="C43" s="20" t="s">
        <v>339</v>
      </c>
      <c r="D43" s="116">
        <f>'As-Filed Schedule 4'!D43</f>
        <v>0</v>
      </c>
      <c r="E43" s="388">
        <f>SUMIFS(Adjustments!$G:$G,Adjustments!$H:$H,"4",Adjustments!$I:$I,'Schedule 4 Adjustments'!$D$14,Adjustments!$J:$J,'Schedule 4 Adjustments'!$A43)</f>
        <v>0</v>
      </c>
      <c r="F43" s="380">
        <f t="shared" si="0"/>
        <v>0</v>
      </c>
      <c r="G43" s="410">
        <v>2.57</v>
      </c>
      <c r="H43" s="47">
        <f t="shared" si="8"/>
        <v>0</v>
      </c>
      <c r="I43" s="378">
        <f t="shared" si="1"/>
        <v>0</v>
      </c>
      <c r="J43" s="21">
        <f t="shared" si="2"/>
        <v>290.72943143725115</v>
      </c>
      <c r="K43" s="376">
        <f t="shared" si="3"/>
        <v>290.72943143725115</v>
      </c>
      <c r="L43" s="150">
        <f>'As-Filed Schedule 4'!H43</f>
        <v>0</v>
      </c>
      <c r="M43" s="388">
        <f>SUMIFS(Adjustments!$G:$G,Adjustments!$H:$H,"4",Adjustments!$I:$I,'Schedule 4 Adjustments'!$L$14,Adjustments!$J:$J,'Schedule 4 Adjustments'!$A43)</f>
        <v>0</v>
      </c>
      <c r="N43" s="380">
        <f t="shared" si="4"/>
        <v>0</v>
      </c>
      <c r="O43" s="410">
        <v>2.25</v>
      </c>
      <c r="P43" s="47">
        <f t="shared" si="9"/>
        <v>0</v>
      </c>
      <c r="Q43" s="378">
        <f t="shared" si="5"/>
        <v>0</v>
      </c>
      <c r="R43" s="21">
        <f t="shared" si="6"/>
        <v>254.5296578730798</v>
      </c>
      <c r="S43" s="376">
        <f t="shared" si="7"/>
        <v>254.5296578730798</v>
      </c>
    </row>
    <row r="44" spans="1:19" s="22" customFormat="1" x14ac:dyDescent="0.35">
      <c r="A44" s="19">
        <v>32</v>
      </c>
      <c r="B44" s="19">
        <v>96132</v>
      </c>
      <c r="C44" s="20" t="s">
        <v>332</v>
      </c>
      <c r="D44" s="116">
        <f>'As-Filed Schedule 4'!D44</f>
        <v>0</v>
      </c>
      <c r="E44" s="388">
        <f>SUMIFS(Adjustments!$G:$G,Adjustments!$H:$H,"4",Adjustments!$I:$I,'Schedule 4 Adjustments'!$D$14,Adjustments!$J:$J,'Schedule 4 Adjustments'!$A44)</f>
        <v>0</v>
      </c>
      <c r="F44" s="380">
        <f t="shared" si="0"/>
        <v>0</v>
      </c>
      <c r="G44" s="410">
        <v>3.85</v>
      </c>
      <c r="H44" s="47">
        <f t="shared" si="8"/>
        <v>0</v>
      </c>
      <c r="I44" s="378">
        <f t="shared" si="1"/>
        <v>0</v>
      </c>
      <c r="J44" s="21">
        <f t="shared" si="2"/>
        <v>435.52852569393656</v>
      </c>
      <c r="K44" s="376">
        <f t="shared" si="3"/>
        <v>435.52852569393656</v>
      </c>
      <c r="L44" s="150">
        <f>'As-Filed Schedule 4'!H44</f>
        <v>0</v>
      </c>
      <c r="M44" s="388">
        <f>SUMIFS(Adjustments!$G:$G,Adjustments!$H:$H,"4",Adjustments!$I:$I,'Schedule 4 Adjustments'!$L$14,Adjustments!$J:$J,'Schedule 4 Adjustments'!$A44)</f>
        <v>0</v>
      </c>
      <c r="N44" s="380">
        <f t="shared" si="4"/>
        <v>0</v>
      </c>
      <c r="O44" s="410">
        <v>3.14</v>
      </c>
      <c r="P44" s="47">
        <f t="shared" si="9"/>
        <v>0</v>
      </c>
      <c r="Q44" s="378">
        <f t="shared" si="5"/>
        <v>0</v>
      </c>
      <c r="R44" s="21">
        <f t="shared" si="6"/>
        <v>355.21027809843139</v>
      </c>
      <c r="S44" s="376">
        <f t="shared" si="7"/>
        <v>355.21027809843139</v>
      </c>
    </row>
    <row r="45" spans="1:19" s="22" customFormat="1" x14ac:dyDescent="0.35">
      <c r="A45" s="19">
        <v>33</v>
      </c>
      <c r="B45" s="19">
        <v>96133</v>
      </c>
      <c r="C45" s="20" t="s">
        <v>333</v>
      </c>
      <c r="D45" s="116">
        <f>'As-Filed Schedule 4'!D45</f>
        <v>0</v>
      </c>
      <c r="E45" s="388">
        <f>SUMIFS(Adjustments!$G:$G,Adjustments!$H:$H,"4",Adjustments!$I:$I,'Schedule 4 Adjustments'!$D$14,Adjustments!$J:$J,'Schedule 4 Adjustments'!$A45)</f>
        <v>0</v>
      </c>
      <c r="F45" s="380">
        <f t="shared" si="0"/>
        <v>0</v>
      </c>
      <c r="G45" s="410">
        <v>2.92</v>
      </c>
      <c r="H45" s="47">
        <f t="shared" si="8"/>
        <v>0</v>
      </c>
      <c r="I45" s="378">
        <f t="shared" si="1"/>
        <v>0</v>
      </c>
      <c r="J45" s="21">
        <f t="shared" si="2"/>
        <v>330.32293377306354</v>
      </c>
      <c r="K45" s="376">
        <f t="shared" si="3"/>
        <v>330.32293377306354</v>
      </c>
      <c r="L45" s="150">
        <f>'As-Filed Schedule 4'!H45</f>
        <v>0</v>
      </c>
      <c r="M45" s="388">
        <f>SUMIFS(Adjustments!$G:$G,Adjustments!$H:$H,"4",Adjustments!$I:$I,'Schedule 4 Adjustments'!$L$14,Adjustments!$J:$J,'Schedule 4 Adjustments'!$A45)</f>
        <v>0</v>
      </c>
      <c r="N45" s="380">
        <f t="shared" si="4"/>
        <v>0</v>
      </c>
      <c r="O45" s="410">
        <v>2.2599999999999998</v>
      </c>
      <c r="P45" s="47">
        <f t="shared" si="9"/>
        <v>0</v>
      </c>
      <c r="Q45" s="378">
        <f t="shared" si="5"/>
        <v>0</v>
      </c>
      <c r="R45" s="21">
        <f t="shared" si="6"/>
        <v>255.66090079696014</v>
      </c>
      <c r="S45" s="376">
        <f t="shared" si="7"/>
        <v>255.66090079696014</v>
      </c>
    </row>
    <row r="46" spans="1:19" s="22" customFormat="1" x14ac:dyDescent="0.35">
      <c r="A46" s="19">
        <v>34</v>
      </c>
      <c r="B46" s="19">
        <v>96136</v>
      </c>
      <c r="C46" s="20" t="s">
        <v>334</v>
      </c>
      <c r="D46" s="116">
        <f>'As-Filed Schedule 4'!D46</f>
        <v>0</v>
      </c>
      <c r="E46" s="388">
        <f>SUMIFS(Adjustments!$G:$G,Adjustments!$H:$H,"4",Adjustments!$I:$I,'Schedule 4 Adjustments'!$D$14,Adjustments!$J:$J,'Schedule 4 Adjustments'!$A46)</f>
        <v>0</v>
      </c>
      <c r="F46" s="380">
        <f t="shared" si="0"/>
        <v>0</v>
      </c>
      <c r="G46" s="410">
        <v>1.25</v>
      </c>
      <c r="H46" s="47">
        <f t="shared" si="8"/>
        <v>0</v>
      </c>
      <c r="I46" s="378">
        <f t="shared" si="1"/>
        <v>0</v>
      </c>
      <c r="J46" s="21">
        <f t="shared" si="2"/>
        <v>141.40536548504434</v>
      </c>
      <c r="K46" s="376">
        <f t="shared" si="3"/>
        <v>141.40536548504434</v>
      </c>
      <c r="L46" s="150">
        <f>'As-Filed Schedule 4'!H46</f>
        <v>0</v>
      </c>
      <c r="M46" s="388">
        <f>SUMIFS(Adjustments!$G:$G,Adjustments!$H:$H,"4",Adjustments!$I:$I,'Schedule 4 Adjustments'!$L$14,Adjustments!$J:$J,'Schedule 4 Adjustments'!$A46)</f>
        <v>0</v>
      </c>
      <c r="N46" s="380">
        <f t="shared" si="4"/>
        <v>0</v>
      </c>
      <c r="O46" s="410">
        <v>0.69</v>
      </c>
      <c r="P46" s="47">
        <f t="shared" si="9"/>
        <v>0</v>
      </c>
      <c r="Q46" s="378">
        <f t="shared" si="5"/>
        <v>0</v>
      </c>
      <c r="R46" s="21">
        <f t="shared" si="6"/>
        <v>78.055761747744469</v>
      </c>
      <c r="S46" s="376">
        <f t="shared" si="7"/>
        <v>78.055761747744469</v>
      </c>
    </row>
    <row r="47" spans="1:19" s="22" customFormat="1" x14ac:dyDescent="0.35">
      <c r="A47" s="19">
        <v>35</v>
      </c>
      <c r="B47" s="19">
        <v>96137</v>
      </c>
      <c r="C47" s="20" t="s">
        <v>335</v>
      </c>
      <c r="D47" s="116">
        <f>'As-Filed Schedule 4'!D47</f>
        <v>0</v>
      </c>
      <c r="E47" s="388">
        <f>SUMIFS(Adjustments!$G:$G,Adjustments!$H:$H,"4",Adjustments!$I:$I,'Schedule 4 Adjustments'!$D$14,Adjustments!$J:$J,'Schedule 4 Adjustments'!$A47)</f>
        <v>0</v>
      </c>
      <c r="F47" s="380">
        <f t="shared" si="0"/>
        <v>0</v>
      </c>
      <c r="G47" s="410">
        <v>1.1299999999999999</v>
      </c>
      <c r="H47" s="47">
        <f t="shared" si="8"/>
        <v>0</v>
      </c>
      <c r="I47" s="378">
        <f t="shared" si="1"/>
        <v>0</v>
      </c>
      <c r="J47" s="21">
        <f t="shared" si="2"/>
        <v>127.83045039848007</v>
      </c>
      <c r="K47" s="376">
        <f t="shared" si="3"/>
        <v>127.83045039848007</v>
      </c>
      <c r="L47" s="150">
        <f>'As-Filed Schedule 4'!H47</f>
        <v>0</v>
      </c>
      <c r="M47" s="388">
        <f>SUMIFS(Adjustments!$G:$G,Adjustments!$H:$H,"4",Adjustments!$I:$I,'Schedule 4 Adjustments'!$L$14,Adjustments!$J:$J,'Schedule 4 Adjustments'!$A47)</f>
        <v>0</v>
      </c>
      <c r="N47" s="380">
        <f t="shared" si="4"/>
        <v>0</v>
      </c>
      <c r="O47" s="410">
        <v>0.53</v>
      </c>
      <c r="P47" s="47">
        <f t="shared" si="9"/>
        <v>0</v>
      </c>
      <c r="Q47" s="378">
        <f t="shared" si="5"/>
        <v>0</v>
      </c>
      <c r="R47" s="21">
        <f t="shared" si="6"/>
        <v>59.955874965658801</v>
      </c>
      <c r="S47" s="376">
        <f t="shared" si="7"/>
        <v>59.955874965658801</v>
      </c>
    </row>
    <row r="48" spans="1:19" s="22" customFormat="1" x14ac:dyDescent="0.35">
      <c r="A48" s="19">
        <v>36</v>
      </c>
      <c r="B48" s="19">
        <v>96138</v>
      </c>
      <c r="C48" s="20" t="s">
        <v>336</v>
      </c>
      <c r="D48" s="116">
        <f>'As-Filed Schedule 4'!D48</f>
        <v>0</v>
      </c>
      <c r="E48" s="388">
        <f>SUMIFS(Adjustments!$G:$G,Adjustments!$H:$H,"4",Adjustments!$I:$I,'Schedule 4 Adjustments'!$D$14,Adjustments!$J:$J,'Schedule 4 Adjustments'!$A48)</f>
        <v>0</v>
      </c>
      <c r="F48" s="380">
        <f t="shared" si="0"/>
        <v>0</v>
      </c>
      <c r="G48" s="410">
        <v>1.03</v>
      </c>
      <c r="H48" s="47">
        <f t="shared" si="8"/>
        <v>0</v>
      </c>
      <c r="I48" s="378">
        <f t="shared" si="1"/>
        <v>0</v>
      </c>
      <c r="J48" s="21">
        <f t="shared" si="2"/>
        <v>116.51802115967654</v>
      </c>
      <c r="K48" s="376">
        <f t="shared" si="3"/>
        <v>116.51802115967654</v>
      </c>
      <c r="L48" s="150">
        <f>'As-Filed Schedule 4'!H48</f>
        <v>0</v>
      </c>
      <c r="M48" s="388">
        <f>SUMIFS(Adjustments!$G:$G,Adjustments!$H:$H,"4",Adjustments!$I:$I,'Schedule 4 Adjustments'!$L$14,Adjustments!$J:$J,'Schedule 4 Adjustments'!$A48)</f>
        <v>0</v>
      </c>
      <c r="N48" s="380">
        <f t="shared" si="4"/>
        <v>0</v>
      </c>
      <c r="O48" s="410">
        <v>0.56999999999999995</v>
      </c>
      <c r="P48" s="47">
        <f t="shared" si="9"/>
        <v>0</v>
      </c>
      <c r="Q48" s="378">
        <f t="shared" si="5"/>
        <v>0</v>
      </c>
      <c r="R48" s="21">
        <f t="shared" si="6"/>
        <v>64.480846661180209</v>
      </c>
      <c r="S48" s="376">
        <f t="shared" si="7"/>
        <v>64.480846661180209</v>
      </c>
    </row>
    <row r="49" spans="1:19" s="22" customFormat="1" x14ac:dyDescent="0.35">
      <c r="A49" s="19">
        <v>37</v>
      </c>
      <c r="B49" s="19">
        <v>96139</v>
      </c>
      <c r="C49" s="20" t="s">
        <v>337</v>
      </c>
      <c r="D49" s="116">
        <f>'As-Filed Schedule 4'!D49</f>
        <v>0</v>
      </c>
      <c r="E49" s="388">
        <f>SUMIFS(Adjustments!$G:$G,Adjustments!$H:$H,"4",Adjustments!$I:$I,'Schedule 4 Adjustments'!$D$14,Adjustments!$J:$J,'Schedule 4 Adjustments'!$A49)</f>
        <v>0</v>
      </c>
      <c r="F49" s="380">
        <f t="shared" si="0"/>
        <v>0</v>
      </c>
      <c r="G49" s="410">
        <v>1.06</v>
      </c>
      <c r="H49" s="47">
        <f t="shared" si="8"/>
        <v>0</v>
      </c>
      <c r="I49" s="378">
        <f t="shared" si="1"/>
        <v>0</v>
      </c>
      <c r="J49" s="21">
        <f t="shared" si="2"/>
        <v>119.9117499313176</v>
      </c>
      <c r="K49" s="376">
        <f t="shared" si="3"/>
        <v>119.9117499313176</v>
      </c>
      <c r="L49" s="150">
        <f>'As-Filed Schedule 4'!H49</f>
        <v>0</v>
      </c>
      <c r="M49" s="388">
        <f>SUMIFS(Adjustments!$G:$G,Adjustments!$H:$H,"4",Adjustments!$I:$I,'Schedule 4 Adjustments'!$L$14,Adjustments!$J:$J,'Schedule 4 Adjustments'!$A49)</f>
        <v>0</v>
      </c>
      <c r="N49" s="380">
        <f t="shared" si="4"/>
        <v>0</v>
      </c>
      <c r="O49" s="410">
        <v>0.5</v>
      </c>
      <c r="P49" s="47">
        <f t="shared" si="9"/>
        <v>0</v>
      </c>
      <c r="Q49" s="378">
        <f t="shared" si="5"/>
        <v>0</v>
      </c>
      <c r="R49" s="21">
        <f t="shared" si="6"/>
        <v>56.562146194017735</v>
      </c>
      <c r="S49" s="376">
        <f t="shared" si="7"/>
        <v>56.562146194017735</v>
      </c>
    </row>
    <row r="50" spans="1:19" s="22" customFormat="1" x14ac:dyDescent="0.35">
      <c r="A50" s="19">
        <v>38</v>
      </c>
      <c r="B50" s="19">
        <v>96146</v>
      </c>
      <c r="C50" s="20" t="s">
        <v>331</v>
      </c>
      <c r="D50" s="116">
        <f>'As-Filed Schedule 4'!D50</f>
        <v>0</v>
      </c>
      <c r="E50" s="388">
        <f>SUMIFS(Adjustments!$G:$G,Adjustments!$H:$H,"4",Adjustments!$I:$I,'Schedule 4 Adjustments'!$D$14,Adjustments!$J:$J,'Schedule 4 Adjustments'!$A50)</f>
        <v>0</v>
      </c>
      <c r="F50" s="380">
        <f t="shared" si="0"/>
        <v>0</v>
      </c>
      <c r="G50" s="410">
        <v>7.0000000000000007E-2</v>
      </c>
      <c r="H50" s="47">
        <f t="shared" si="8"/>
        <v>0</v>
      </c>
      <c r="I50" s="378">
        <f t="shared" si="1"/>
        <v>0</v>
      </c>
      <c r="J50" s="21">
        <f t="shared" si="2"/>
        <v>7.9187004671624841</v>
      </c>
      <c r="K50" s="376">
        <f t="shared" si="3"/>
        <v>7.9187004671624841</v>
      </c>
      <c r="L50" s="150">
        <f>'As-Filed Schedule 4'!H50</f>
        <v>0</v>
      </c>
      <c r="M50" s="388">
        <f>SUMIFS(Adjustments!$G:$G,Adjustments!$H:$H,"4",Adjustments!$I:$I,'Schedule 4 Adjustments'!$L$14,Adjustments!$J:$J,'Schedule 4 Adjustments'!$A50)</f>
        <v>0</v>
      </c>
      <c r="N50" s="380">
        <f t="shared" si="4"/>
        <v>0</v>
      </c>
      <c r="O50" s="410">
        <v>7.0000000000000007E-2</v>
      </c>
      <c r="P50" s="47">
        <f t="shared" si="9"/>
        <v>0</v>
      </c>
      <c r="Q50" s="378">
        <f t="shared" si="5"/>
        <v>0</v>
      </c>
      <c r="R50" s="21">
        <f t="shared" si="6"/>
        <v>7.9187004671624841</v>
      </c>
      <c r="S50" s="376">
        <f t="shared" si="7"/>
        <v>7.9187004671624841</v>
      </c>
    </row>
    <row r="51" spans="1:19" s="22" customFormat="1" x14ac:dyDescent="0.35">
      <c r="A51" s="19">
        <v>39</v>
      </c>
      <c r="B51" s="19">
        <v>96372</v>
      </c>
      <c r="C51" s="20" t="s">
        <v>118</v>
      </c>
      <c r="D51" s="116">
        <f>'As-Filed Schedule 4'!D51</f>
        <v>427</v>
      </c>
      <c r="E51" s="388">
        <f>SUMIFS(Adjustments!$G:$G,Adjustments!$H:$H,"4",Adjustments!$I:$I,'Schedule 4 Adjustments'!$D$14,Adjustments!$J:$J,'Schedule 4 Adjustments'!$A51)</f>
        <v>0</v>
      </c>
      <c r="F51" s="380">
        <f t="shared" si="0"/>
        <v>427</v>
      </c>
      <c r="G51" s="410">
        <v>0.43</v>
      </c>
      <c r="H51" s="47">
        <f t="shared" si="8"/>
        <v>183.60999999999999</v>
      </c>
      <c r="I51" s="378">
        <f t="shared" si="1"/>
        <v>183.60999999999999</v>
      </c>
      <c r="J51" s="21">
        <f t="shared" si="2"/>
        <v>48.643445726855255</v>
      </c>
      <c r="K51" s="376">
        <f t="shared" si="3"/>
        <v>48.643445726855255</v>
      </c>
      <c r="L51" s="150">
        <f>'As-Filed Schedule 4'!H51</f>
        <v>2882</v>
      </c>
      <c r="M51" s="388">
        <f>SUMIFS(Adjustments!$G:$G,Adjustments!$H:$H,"4",Adjustments!$I:$I,'Schedule 4 Adjustments'!$L$14,Adjustments!$J:$J,'Schedule 4 Adjustments'!$A51)</f>
        <v>0</v>
      </c>
      <c r="N51" s="380">
        <f t="shared" si="4"/>
        <v>2882</v>
      </c>
      <c r="O51" s="410">
        <v>0.43</v>
      </c>
      <c r="P51" s="47">
        <f t="shared" si="9"/>
        <v>1239.26</v>
      </c>
      <c r="Q51" s="378">
        <f t="shared" si="5"/>
        <v>1239.26</v>
      </c>
      <c r="R51" s="21">
        <f t="shared" si="6"/>
        <v>48.643445726855255</v>
      </c>
      <c r="S51" s="376">
        <f t="shared" si="7"/>
        <v>48.643445726855255</v>
      </c>
    </row>
    <row r="52" spans="1:19" s="22" customFormat="1" x14ac:dyDescent="0.35">
      <c r="A52" s="19">
        <v>40</v>
      </c>
      <c r="B52" s="19">
        <v>97535</v>
      </c>
      <c r="C52" s="20" t="s">
        <v>119</v>
      </c>
      <c r="D52" s="116">
        <f>'As-Filed Schedule 4'!D52</f>
        <v>0</v>
      </c>
      <c r="E52" s="388">
        <f>SUMIFS(Adjustments!$G:$G,Adjustments!$H:$H,"4",Adjustments!$I:$I,'Schedule 4 Adjustments'!$D$14,Adjustments!$J:$J,'Schedule 4 Adjustments'!$A52)</f>
        <v>0</v>
      </c>
      <c r="F52" s="380">
        <f t="shared" si="0"/>
        <v>0</v>
      </c>
      <c r="G52" s="410">
        <v>0.98</v>
      </c>
      <c r="H52" s="47">
        <f t="shared" si="8"/>
        <v>0</v>
      </c>
      <c r="I52" s="378">
        <f t="shared" si="1"/>
        <v>0</v>
      </c>
      <c r="J52" s="21">
        <f t="shared" si="2"/>
        <v>110.86180654027476</v>
      </c>
      <c r="K52" s="376">
        <f t="shared" si="3"/>
        <v>110.86180654027476</v>
      </c>
      <c r="L52" s="150">
        <f>'As-Filed Schedule 4'!H52</f>
        <v>0</v>
      </c>
      <c r="M52" s="388">
        <f>SUMIFS(Adjustments!$G:$G,Adjustments!$H:$H,"4",Adjustments!$I:$I,'Schedule 4 Adjustments'!$L$14,Adjustments!$J:$J,'Schedule 4 Adjustments'!$A52)</f>
        <v>0</v>
      </c>
      <c r="N52" s="380">
        <f t="shared" si="4"/>
        <v>0</v>
      </c>
      <c r="O52" s="410">
        <v>0.98</v>
      </c>
      <c r="P52" s="47">
        <f t="shared" si="9"/>
        <v>0</v>
      </c>
      <c r="Q52" s="378">
        <f t="shared" si="5"/>
        <v>0</v>
      </c>
      <c r="R52" s="21">
        <f t="shared" si="6"/>
        <v>110.86180654027476</v>
      </c>
      <c r="S52" s="376">
        <f t="shared" si="7"/>
        <v>110.86180654027476</v>
      </c>
    </row>
    <row r="53" spans="1:19" s="22" customFormat="1" x14ac:dyDescent="0.35">
      <c r="A53" s="19">
        <v>41</v>
      </c>
      <c r="B53" s="19">
        <v>97537</v>
      </c>
      <c r="C53" s="20" t="s">
        <v>120</v>
      </c>
      <c r="D53" s="116">
        <f>'As-Filed Schedule 4'!D53</f>
        <v>37</v>
      </c>
      <c r="E53" s="388">
        <f>SUMIFS(Adjustments!$G:$G,Adjustments!$H:$H,"4",Adjustments!$I:$I,'Schedule 4 Adjustments'!$D$14,Adjustments!$J:$J,'Schedule 4 Adjustments'!$A53)</f>
        <v>0</v>
      </c>
      <c r="F53" s="380">
        <f t="shared" si="0"/>
        <v>37</v>
      </c>
      <c r="G53" s="410">
        <v>0.95</v>
      </c>
      <c r="H53" s="47">
        <f t="shared" si="8"/>
        <v>35.15</v>
      </c>
      <c r="I53" s="378">
        <f t="shared" si="1"/>
        <v>35.15</v>
      </c>
      <c r="J53" s="21">
        <f t="shared" si="2"/>
        <v>107.46807776863369</v>
      </c>
      <c r="K53" s="376">
        <f t="shared" si="3"/>
        <v>107.46807776863369</v>
      </c>
      <c r="L53" s="150">
        <f>'As-Filed Schedule 4'!H53</f>
        <v>68</v>
      </c>
      <c r="M53" s="388">
        <f>SUMIFS(Adjustments!$G:$G,Adjustments!$H:$H,"4",Adjustments!$I:$I,'Schedule 4 Adjustments'!$L$14,Adjustments!$J:$J,'Schedule 4 Adjustments'!$A53)</f>
        <v>0</v>
      </c>
      <c r="N53" s="380">
        <f t="shared" si="4"/>
        <v>68</v>
      </c>
      <c r="O53" s="410">
        <v>0.95</v>
      </c>
      <c r="P53" s="47">
        <f t="shared" si="9"/>
        <v>64.599999999999994</v>
      </c>
      <c r="Q53" s="378">
        <f t="shared" si="5"/>
        <v>64.599999999999994</v>
      </c>
      <c r="R53" s="21">
        <f t="shared" si="6"/>
        <v>107.46807776863369</v>
      </c>
      <c r="S53" s="376">
        <f t="shared" si="7"/>
        <v>107.46807776863369</v>
      </c>
    </row>
    <row r="54" spans="1:19" s="22" customFormat="1" x14ac:dyDescent="0.35">
      <c r="A54" s="19">
        <v>42</v>
      </c>
      <c r="B54" s="19">
        <v>98966</v>
      </c>
      <c r="C54" s="20" t="s">
        <v>342</v>
      </c>
      <c r="D54" s="116">
        <f>'As-Filed Schedule 4'!D54</f>
        <v>0</v>
      </c>
      <c r="E54" s="388">
        <f>SUMIFS(Adjustments!$G:$G,Adjustments!$H:$H,"4",Adjustments!$I:$I,'Schedule 4 Adjustments'!$D$14,Adjustments!$J:$J,'Schedule 4 Adjustments'!$A54)</f>
        <v>0</v>
      </c>
      <c r="F54" s="380">
        <f t="shared" si="0"/>
        <v>0</v>
      </c>
      <c r="G54" s="410">
        <v>0.39</v>
      </c>
      <c r="H54" s="47">
        <f t="shared" si="8"/>
        <v>0</v>
      </c>
      <c r="I54" s="378">
        <f t="shared" si="1"/>
        <v>0</v>
      </c>
      <c r="J54" s="21">
        <f t="shared" si="2"/>
        <v>44.118474031333832</v>
      </c>
      <c r="K54" s="376">
        <f t="shared" si="3"/>
        <v>44.118474031333832</v>
      </c>
      <c r="L54" s="150">
        <f>'As-Filed Schedule 4'!H54</f>
        <v>0</v>
      </c>
      <c r="M54" s="388">
        <f>SUMIFS(Adjustments!$G:$G,Adjustments!$H:$H,"4",Adjustments!$I:$I,'Schedule 4 Adjustments'!$L$14,Adjustments!$J:$J,'Schedule 4 Adjustments'!$A54)</f>
        <v>0</v>
      </c>
      <c r="N54" s="380">
        <f t="shared" si="4"/>
        <v>0</v>
      </c>
      <c r="O54" s="410">
        <v>0.34</v>
      </c>
      <c r="P54" s="47">
        <f t="shared" si="9"/>
        <v>0</v>
      </c>
      <c r="Q54" s="378">
        <f t="shared" si="5"/>
        <v>0</v>
      </c>
      <c r="R54" s="21">
        <f t="shared" si="6"/>
        <v>38.46225941193206</v>
      </c>
      <c r="S54" s="376">
        <f t="shared" si="7"/>
        <v>38.46225941193206</v>
      </c>
    </row>
    <row r="55" spans="1:19" s="22" customFormat="1" x14ac:dyDescent="0.35">
      <c r="A55" s="19">
        <v>43</v>
      </c>
      <c r="B55" s="19">
        <v>98967</v>
      </c>
      <c r="C55" s="20" t="s">
        <v>343</v>
      </c>
      <c r="D55" s="116">
        <f>'As-Filed Schedule 4'!D55</f>
        <v>0</v>
      </c>
      <c r="E55" s="388">
        <f>SUMIFS(Adjustments!$G:$G,Adjustments!$H:$H,"4",Adjustments!$I:$I,'Schedule 4 Adjustments'!$D$14,Adjustments!$J:$J,'Schedule 4 Adjustments'!$A55)</f>
        <v>0</v>
      </c>
      <c r="F55" s="380">
        <f t="shared" si="0"/>
        <v>0</v>
      </c>
      <c r="G55" s="410">
        <v>0.72</v>
      </c>
      <c r="H55" s="47">
        <f t="shared" si="8"/>
        <v>0</v>
      </c>
      <c r="I55" s="378">
        <f t="shared" si="1"/>
        <v>0</v>
      </c>
      <c r="J55" s="21">
        <f t="shared" si="2"/>
        <v>81.449490519385535</v>
      </c>
      <c r="K55" s="376">
        <f t="shared" si="3"/>
        <v>81.449490519385535</v>
      </c>
      <c r="L55" s="150">
        <f>'As-Filed Schedule 4'!H55</f>
        <v>0</v>
      </c>
      <c r="M55" s="388">
        <f>SUMIFS(Adjustments!$G:$G,Adjustments!$H:$H,"4",Adjustments!$I:$I,'Schedule 4 Adjustments'!$L$14,Adjustments!$J:$J,'Schedule 4 Adjustments'!$A55)</f>
        <v>0</v>
      </c>
      <c r="N55" s="380">
        <f t="shared" si="4"/>
        <v>0</v>
      </c>
      <c r="O55" s="410">
        <v>0.66</v>
      </c>
      <c r="P55" s="47">
        <f t="shared" si="9"/>
        <v>0</v>
      </c>
      <c r="Q55" s="378">
        <f t="shared" si="5"/>
        <v>0</v>
      </c>
      <c r="R55" s="21">
        <f t="shared" si="6"/>
        <v>74.662032976103418</v>
      </c>
      <c r="S55" s="376">
        <f t="shared" si="7"/>
        <v>74.662032976103418</v>
      </c>
    </row>
    <row r="56" spans="1:19" s="22" customFormat="1" x14ac:dyDescent="0.35">
      <c r="A56" s="19">
        <v>44</v>
      </c>
      <c r="B56" s="19">
        <v>98968</v>
      </c>
      <c r="C56" s="20" t="s">
        <v>344</v>
      </c>
      <c r="D56" s="116">
        <f>'As-Filed Schedule 4'!D56</f>
        <v>0</v>
      </c>
      <c r="E56" s="388">
        <f>SUMIFS(Adjustments!$G:$G,Adjustments!$H:$H,"4",Adjustments!$I:$I,'Schedule 4 Adjustments'!$D$14,Adjustments!$J:$J,'Schedule 4 Adjustments'!$A56)</f>
        <v>0</v>
      </c>
      <c r="F56" s="380">
        <f t="shared" si="0"/>
        <v>0</v>
      </c>
      <c r="G56" s="410">
        <v>0.99</v>
      </c>
      <c r="H56" s="47">
        <f t="shared" si="8"/>
        <v>0</v>
      </c>
      <c r="I56" s="378">
        <f t="shared" si="1"/>
        <v>0</v>
      </c>
      <c r="J56" s="21">
        <f t="shared" si="2"/>
        <v>111.99304946415512</v>
      </c>
      <c r="K56" s="376">
        <f t="shared" si="3"/>
        <v>111.99304946415512</v>
      </c>
      <c r="L56" s="150">
        <f>'As-Filed Schedule 4'!H56</f>
        <v>0</v>
      </c>
      <c r="M56" s="388">
        <f>SUMIFS(Adjustments!$G:$G,Adjustments!$H:$H,"4",Adjustments!$I:$I,'Schedule 4 Adjustments'!$L$14,Adjustments!$J:$J,'Schedule 4 Adjustments'!$A56)</f>
        <v>0</v>
      </c>
      <c r="N56" s="380">
        <f t="shared" si="4"/>
        <v>0</v>
      </c>
      <c r="O56" s="410">
        <v>0.92</v>
      </c>
      <c r="P56" s="47">
        <f t="shared" si="9"/>
        <v>0</v>
      </c>
      <c r="Q56" s="378">
        <f t="shared" si="5"/>
        <v>0</v>
      </c>
      <c r="R56" s="21">
        <f t="shared" si="6"/>
        <v>104.07434899699264</v>
      </c>
      <c r="S56" s="376">
        <f t="shared" si="7"/>
        <v>104.07434899699264</v>
      </c>
    </row>
    <row r="57" spans="1:19" s="22" customFormat="1" x14ac:dyDescent="0.35">
      <c r="A57" s="19">
        <v>45</v>
      </c>
      <c r="B57" s="19">
        <v>99202</v>
      </c>
      <c r="C57" s="20" t="s">
        <v>154</v>
      </c>
      <c r="D57" s="116">
        <f>'As-Filed Schedule 4'!D57</f>
        <v>0</v>
      </c>
      <c r="E57" s="388">
        <f>SUMIFS(Adjustments!$G:$G,Adjustments!$H:$H,"4",Adjustments!$I:$I,'Schedule 4 Adjustments'!$D$14,Adjustments!$J:$J,'Schedule 4 Adjustments'!$A57)</f>
        <v>0</v>
      </c>
      <c r="F57" s="380">
        <f t="shared" si="0"/>
        <v>0</v>
      </c>
      <c r="G57" s="410">
        <v>2.17</v>
      </c>
      <c r="H57" s="47">
        <f t="shared" si="8"/>
        <v>0</v>
      </c>
      <c r="I57" s="378">
        <f t="shared" si="1"/>
        <v>0</v>
      </c>
      <c r="J57" s="21">
        <f t="shared" si="2"/>
        <v>245.47971448203697</v>
      </c>
      <c r="K57" s="376">
        <f t="shared" si="3"/>
        <v>245.47971448203697</v>
      </c>
      <c r="L57" s="150">
        <f>'As-Filed Schedule 4'!H57</f>
        <v>5</v>
      </c>
      <c r="M57" s="388">
        <f>SUMIFS(Adjustments!$G:$G,Adjustments!$H:$H,"4",Adjustments!$I:$I,'Schedule 4 Adjustments'!$L$14,Adjustments!$J:$J,'Schedule 4 Adjustments'!$A57)</f>
        <v>0</v>
      </c>
      <c r="N57" s="380">
        <f t="shared" si="4"/>
        <v>5</v>
      </c>
      <c r="O57" s="410">
        <v>1.41</v>
      </c>
      <c r="P57" s="47">
        <f t="shared" si="9"/>
        <v>7.05</v>
      </c>
      <c r="Q57" s="378">
        <f t="shared" si="5"/>
        <v>7.05</v>
      </c>
      <c r="R57" s="21">
        <f t="shared" si="6"/>
        <v>159.50525226713</v>
      </c>
      <c r="S57" s="376">
        <f t="shared" si="7"/>
        <v>159.50525226713</v>
      </c>
    </row>
    <row r="58" spans="1:19" s="22" customFormat="1" x14ac:dyDescent="0.35">
      <c r="A58" s="19">
        <v>46</v>
      </c>
      <c r="B58" s="19">
        <v>99203</v>
      </c>
      <c r="C58" s="20" t="s">
        <v>154</v>
      </c>
      <c r="D58" s="116">
        <f>'As-Filed Schedule 4'!D58</f>
        <v>3</v>
      </c>
      <c r="E58" s="388">
        <f>SUMIFS(Adjustments!$G:$G,Adjustments!$H:$H,"4",Adjustments!$I:$I,'Schedule 4 Adjustments'!$D$14,Adjustments!$J:$J,'Schedule 4 Adjustments'!$A58)</f>
        <v>0</v>
      </c>
      <c r="F58" s="380">
        <f t="shared" si="0"/>
        <v>3</v>
      </c>
      <c r="G58" s="410">
        <v>3.35</v>
      </c>
      <c r="H58" s="47">
        <f t="shared" si="8"/>
        <v>10.050000000000001</v>
      </c>
      <c r="I58" s="378">
        <f t="shared" si="1"/>
        <v>10.050000000000001</v>
      </c>
      <c r="J58" s="21">
        <f t="shared" si="2"/>
        <v>378.96637949991884</v>
      </c>
      <c r="K58" s="376">
        <f t="shared" si="3"/>
        <v>378.96637949991884</v>
      </c>
      <c r="L58" s="150">
        <f>'As-Filed Schedule 4'!H58</f>
        <v>149</v>
      </c>
      <c r="M58" s="388">
        <f>SUMIFS(Adjustments!$G:$G,Adjustments!$H:$H,"4",Adjustments!$I:$I,'Schedule 4 Adjustments'!$L$14,Adjustments!$J:$J,'Schedule 4 Adjustments'!$A58)</f>
        <v>0</v>
      </c>
      <c r="N58" s="380">
        <f t="shared" si="4"/>
        <v>149</v>
      </c>
      <c r="O58" s="410">
        <v>2.44</v>
      </c>
      <c r="P58" s="47">
        <f t="shared" si="9"/>
        <v>363.56</v>
      </c>
      <c r="Q58" s="378">
        <f t="shared" si="5"/>
        <v>363.56</v>
      </c>
      <c r="R58" s="21">
        <f t="shared" si="6"/>
        <v>276.02327342680655</v>
      </c>
      <c r="S58" s="376">
        <f t="shared" si="7"/>
        <v>276.02327342680655</v>
      </c>
    </row>
    <row r="59" spans="1:19" s="22" customFormat="1" x14ac:dyDescent="0.35">
      <c r="A59" s="19">
        <v>47</v>
      </c>
      <c r="B59" s="19">
        <v>99204</v>
      </c>
      <c r="C59" s="20" t="s">
        <v>154</v>
      </c>
      <c r="D59" s="116">
        <f>'As-Filed Schedule 4'!D59</f>
        <v>3</v>
      </c>
      <c r="E59" s="388">
        <f>SUMIFS(Adjustments!$G:$G,Adjustments!$H:$H,"4",Adjustments!$I:$I,'Schedule 4 Adjustments'!$D$14,Adjustments!$J:$J,'Schedule 4 Adjustments'!$A59)</f>
        <v>0</v>
      </c>
      <c r="F59" s="380">
        <f t="shared" si="0"/>
        <v>3</v>
      </c>
      <c r="G59" s="410">
        <v>5.0199999999999996</v>
      </c>
      <c r="H59" s="47">
        <f t="shared" si="8"/>
        <v>15.059999999999999</v>
      </c>
      <c r="I59" s="378">
        <f t="shared" si="1"/>
        <v>15.059999999999999</v>
      </c>
      <c r="J59" s="21">
        <f t="shared" si="2"/>
        <v>567.88394778793804</v>
      </c>
      <c r="K59" s="376">
        <f t="shared" si="3"/>
        <v>567.88394778793804</v>
      </c>
      <c r="L59" s="150">
        <f>'As-Filed Schedule 4'!H59</f>
        <v>638</v>
      </c>
      <c r="M59" s="388">
        <f>SUMIFS(Adjustments!$G:$G,Adjustments!$H:$H,"4",Adjustments!$I:$I,'Schedule 4 Adjustments'!$L$14,Adjustments!$J:$J,'Schedule 4 Adjustments'!$A59)</f>
        <v>0</v>
      </c>
      <c r="N59" s="380">
        <f t="shared" si="4"/>
        <v>638</v>
      </c>
      <c r="O59" s="410">
        <v>3.97</v>
      </c>
      <c r="P59" s="47">
        <f t="shared" si="9"/>
        <v>2532.86</v>
      </c>
      <c r="Q59" s="378">
        <f t="shared" si="5"/>
        <v>2532.86</v>
      </c>
      <c r="R59" s="21">
        <f t="shared" si="6"/>
        <v>449.10344078050082</v>
      </c>
      <c r="S59" s="376">
        <f t="shared" si="7"/>
        <v>449.10344078050082</v>
      </c>
    </row>
    <row r="60" spans="1:19" s="22" customFormat="1" x14ac:dyDescent="0.35">
      <c r="A60" s="19">
        <v>48</v>
      </c>
      <c r="B60" s="19">
        <v>99205</v>
      </c>
      <c r="C60" s="20" t="s">
        <v>154</v>
      </c>
      <c r="D60" s="116">
        <f>'As-Filed Schedule 4'!D60</f>
        <v>0</v>
      </c>
      <c r="E60" s="388">
        <f>SUMIFS(Adjustments!$G:$G,Adjustments!$H:$H,"4",Adjustments!$I:$I,'Schedule 4 Adjustments'!$D$14,Adjustments!$J:$J,'Schedule 4 Adjustments'!$A60)</f>
        <v>0</v>
      </c>
      <c r="F60" s="380">
        <f t="shared" si="0"/>
        <v>0</v>
      </c>
      <c r="G60" s="410">
        <v>6.62</v>
      </c>
      <c r="H60" s="47">
        <f t="shared" si="8"/>
        <v>0</v>
      </c>
      <c r="I60" s="378">
        <f t="shared" si="1"/>
        <v>0</v>
      </c>
      <c r="J60" s="21">
        <f t="shared" si="2"/>
        <v>748.88281560879489</v>
      </c>
      <c r="K60" s="376">
        <f t="shared" si="3"/>
        <v>748.88281560879489</v>
      </c>
      <c r="L60" s="150">
        <f>'As-Filed Schedule 4'!H60</f>
        <v>24</v>
      </c>
      <c r="M60" s="388">
        <f>SUMIFS(Adjustments!$G:$G,Adjustments!$H:$H,"4",Adjustments!$I:$I,'Schedule 4 Adjustments'!$L$14,Adjustments!$J:$J,'Schedule 4 Adjustments'!$A60)</f>
        <v>0</v>
      </c>
      <c r="N60" s="380">
        <f t="shared" si="4"/>
        <v>24</v>
      </c>
      <c r="O60" s="410">
        <v>5.4</v>
      </c>
      <c r="P60" s="47">
        <f t="shared" si="9"/>
        <v>129.60000000000002</v>
      </c>
      <c r="Q60" s="378">
        <f t="shared" si="5"/>
        <v>129.60000000000002</v>
      </c>
      <c r="R60" s="21">
        <f t="shared" si="6"/>
        <v>610.87117889539161</v>
      </c>
      <c r="S60" s="376">
        <f t="shared" si="7"/>
        <v>610.87117889539161</v>
      </c>
    </row>
    <row r="61" spans="1:19" s="22" customFormat="1" ht="43.5" x14ac:dyDescent="0.35">
      <c r="A61" s="19">
        <v>49</v>
      </c>
      <c r="B61" s="19">
        <v>99211</v>
      </c>
      <c r="C61" s="20" t="s">
        <v>345</v>
      </c>
      <c r="D61" s="116">
        <f>'As-Filed Schedule 4'!D61</f>
        <v>1</v>
      </c>
      <c r="E61" s="388">
        <f>SUMIFS(Adjustments!$G:$G,Adjustments!$H:$H,"4",Adjustments!$I:$I,'Schedule 4 Adjustments'!$D$14,Adjustments!$J:$J,'Schedule 4 Adjustments'!$A61)</f>
        <v>0</v>
      </c>
      <c r="F61" s="380">
        <f t="shared" si="0"/>
        <v>1</v>
      </c>
      <c r="G61" s="410">
        <v>0.7</v>
      </c>
      <c r="H61" s="47">
        <f t="shared" si="8"/>
        <v>0.7</v>
      </c>
      <c r="I61" s="378">
        <f t="shared" si="1"/>
        <v>0.7</v>
      </c>
      <c r="J61" s="21">
        <f t="shared" si="2"/>
        <v>79.18700467162482</v>
      </c>
      <c r="K61" s="376">
        <f t="shared" si="3"/>
        <v>79.18700467162482</v>
      </c>
      <c r="L61" s="150">
        <f>'As-Filed Schedule 4'!H61</f>
        <v>69</v>
      </c>
      <c r="M61" s="388">
        <f>SUMIFS(Adjustments!$G:$G,Adjustments!$H:$H,"4",Adjustments!$I:$I,'Schedule 4 Adjustments'!$L$14,Adjustments!$J:$J,'Schedule 4 Adjustments'!$A61)</f>
        <v>0</v>
      </c>
      <c r="N61" s="380">
        <f t="shared" si="4"/>
        <v>69</v>
      </c>
      <c r="O61" s="410">
        <v>0.26</v>
      </c>
      <c r="P61" s="47">
        <f t="shared" si="9"/>
        <v>17.940000000000001</v>
      </c>
      <c r="Q61" s="378">
        <f t="shared" si="5"/>
        <v>17.940000000000001</v>
      </c>
      <c r="R61" s="21">
        <f t="shared" si="6"/>
        <v>29.412316020889225</v>
      </c>
      <c r="S61" s="376">
        <f t="shared" si="7"/>
        <v>29.412316020889225</v>
      </c>
    </row>
    <row r="62" spans="1:19" s="22" customFormat="1" x14ac:dyDescent="0.35">
      <c r="A62" s="19">
        <v>50</v>
      </c>
      <c r="B62" s="19">
        <v>99212</v>
      </c>
      <c r="C62" s="20" t="s">
        <v>155</v>
      </c>
      <c r="D62" s="116">
        <f>'As-Filed Schedule 4'!D62</f>
        <v>55</v>
      </c>
      <c r="E62" s="388">
        <f>SUMIFS(Adjustments!$G:$G,Adjustments!$H:$H,"4",Adjustments!$I:$I,'Schedule 4 Adjustments'!$D$14,Adjustments!$J:$J,'Schedule 4 Adjustments'!$A62)</f>
        <v>0</v>
      </c>
      <c r="F62" s="380">
        <f t="shared" si="0"/>
        <v>55</v>
      </c>
      <c r="G62" s="410">
        <v>1.7</v>
      </c>
      <c r="H62" s="47">
        <f t="shared" si="8"/>
        <v>93.5</v>
      </c>
      <c r="I62" s="378">
        <f t="shared" si="1"/>
        <v>93.5</v>
      </c>
      <c r="J62" s="21">
        <f t="shared" si="2"/>
        <v>192.31129705966029</v>
      </c>
      <c r="K62" s="376">
        <f t="shared" si="3"/>
        <v>192.31129705966029</v>
      </c>
      <c r="L62" s="150">
        <f>'As-Filed Schedule 4'!H62</f>
        <v>151</v>
      </c>
      <c r="M62" s="388">
        <f>SUMIFS(Adjustments!$G:$G,Adjustments!$H:$H,"4",Adjustments!$I:$I,'Schedule 4 Adjustments'!$L$14,Adjustments!$J:$J,'Schedule 4 Adjustments'!$A62)</f>
        <v>0</v>
      </c>
      <c r="N62" s="380">
        <f t="shared" si="4"/>
        <v>151</v>
      </c>
      <c r="O62" s="410">
        <v>1.05</v>
      </c>
      <c r="P62" s="47">
        <f t="shared" si="9"/>
        <v>158.55000000000001</v>
      </c>
      <c r="Q62" s="378">
        <f t="shared" si="5"/>
        <v>158.55000000000001</v>
      </c>
      <c r="R62" s="21">
        <f t="shared" si="6"/>
        <v>118.78050700743725</v>
      </c>
      <c r="S62" s="376">
        <f t="shared" si="7"/>
        <v>118.78050700743725</v>
      </c>
    </row>
    <row r="63" spans="1:19" s="22" customFormat="1" x14ac:dyDescent="0.35">
      <c r="A63" s="19">
        <v>51</v>
      </c>
      <c r="B63" s="19">
        <v>99213</v>
      </c>
      <c r="C63" s="20" t="s">
        <v>155</v>
      </c>
      <c r="D63" s="116">
        <f>'As-Filed Schedule 4'!D63</f>
        <v>1624</v>
      </c>
      <c r="E63" s="388">
        <f>SUMIFS(Adjustments!$G:$G,Adjustments!$H:$H,"4",Adjustments!$I:$I,'Schedule 4 Adjustments'!$D$14,Adjustments!$J:$J,'Schedule 4 Adjustments'!$A63)</f>
        <v>0</v>
      </c>
      <c r="F63" s="380">
        <f t="shared" si="0"/>
        <v>1624</v>
      </c>
      <c r="G63" s="410">
        <v>2.73</v>
      </c>
      <c r="H63" s="47">
        <f t="shared" si="8"/>
        <v>4433.5199999999995</v>
      </c>
      <c r="I63" s="378">
        <f t="shared" si="1"/>
        <v>4433.5199999999995</v>
      </c>
      <c r="J63" s="21">
        <f t="shared" si="2"/>
        <v>308.82931821933681</v>
      </c>
      <c r="K63" s="376">
        <f t="shared" si="3"/>
        <v>308.82931821933681</v>
      </c>
      <c r="L63" s="150">
        <f>'As-Filed Schedule 4'!H63</f>
        <v>3640</v>
      </c>
      <c r="M63" s="388">
        <f>SUMIFS(Adjustments!$G:$G,Adjustments!$H:$H,"4",Adjustments!$I:$I,'Schedule 4 Adjustments'!$L$14,Adjustments!$J:$J,'Schedule 4 Adjustments'!$A63)</f>
        <v>0</v>
      </c>
      <c r="N63" s="380">
        <f t="shared" si="4"/>
        <v>3640</v>
      </c>
      <c r="O63" s="410">
        <v>1.96</v>
      </c>
      <c r="P63" s="47">
        <f t="shared" si="9"/>
        <v>7134.4</v>
      </c>
      <c r="Q63" s="378">
        <f t="shared" si="5"/>
        <v>7134.4</v>
      </c>
      <c r="R63" s="21">
        <f t="shared" si="6"/>
        <v>221.72361308054951</v>
      </c>
      <c r="S63" s="376">
        <f t="shared" si="7"/>
        <v>221.72361308054951</v>
      </c>
    </row>
    <row r="64" spans="1:19" s="22" customFormat="1" x14ac:dyDescent="0.35">
      <c r="A64" s="19">
        <v>52</v>
      </c>
      <c r="B64" s="19">
        <v>99214</v>
      </c>
      <c r="C64" s="20" t="s">
        <v>155</v>
      </c>
      <c r="D64" s="116">
        <f>'As-Filed Schedule 4'!D64</f>
        <v>5296</v>
      </c>
      <c r="E64" s="388">
        <f>SUMIFS(Adjustments!$G:$G,Adjustments!$H:$H,"4",Adjustments!$I:$I,'Schedule 4 Adjustments'!$D$14,Adjustments!$J:$J,'Schedule 4 Adjustments'!$A64)</f>
        <v>0</v>
      </c>
      <c r="F64" s="380">
        <f t="shared" si="0"/>
        <v>5296</v>
      </c>
      <c r="G64" s="410">
        <v>3.85</v>
      </c>
      <c r="H64" s="47">
        <f t="shared" si="8"/>
        <v>20389.600000000002</v>
      </c>
      <c r="I64" s="378">
        <f t="shared" si="1"/>
        <v>20389.600000000002</v>
      </c>
      <c r="J64" s="21">
        <f t="shared" si="2"/>
        <v>435.52852569393656</v>
      </c>
      <c r="K64" s="376">
        <f t="shared" si="3"/>
        <v>435.52852569393656</v>
      </c>
      <c r="L64" s="150">
        <f>'As-Filed Schedule 4'!H64</f>
        <v>10281</v>
      </c>
      <c r="M64" s="388">
        <f>SUMIFS(Adjustments!$G:$G,Adjustments!$H:$H,"4",Adjustments!$I:$I,'Schedule 4 Adjustments'!$L$14,Adjustments!$J:$J,'Schedule 4 Adjustments'!$A64)</f>
        <v>0</v>
      </c>
      <c r="N64" s="380">
        <f t="shared" si="4"/>
        <v>10281</v>
      </c>
      <c r="O64" s="410">
        <v>2.89</v>
      </c>
      <c r="P64" s="47">
        <f t="shared" si="9"/>
        <v>29712.09</v>
      </c>
      <c r="Q64" s="378">
        <f t="shared" si="5"/>
        <v>29712.09</v>
      </c>
      <c r="R64" s="21">
        <f t="shared" si="6"/>
        <v>326.92920500142253</v>
      </c>
      <c r="S64" s="376">
        <f t="shared" si="7"/>
        <v>326.92920500142253</v>
      </c>
    </row>
    <row r="65" spans="1:19" s="22" customFormat="1" x14ac:dyDescent="0.35">
      <c r="A65" s="19">
        <v>53</v>
      </c>
      <c r="B65" s="19">
        <v>99215</v>
      </c>
      <c r="C65" s="20" t="s">
        <v>155</v>
      </c>
      <c r="D65" s="116">
        <f>'As-Filed Schedule 4'!D65</f>
        <v>1055</v>
      </c>
      <c r="E65" s="388">
        <f>SUMIFS(Adjustments!$G:$G,Adjustments!$H:$H,"4",Adjustments!$I:$I,'Schedule 4 Adjustments'!$D$14,Adjustments!$J:$J,'Schedule 4 Adjustments'!$A65)</f>
        <v>0</v>
      </c>
      <c r="F65" s="380">
        <f t="shared" si="0"/>
        <v>1055</v>
      </c>
      <c r="G65" s="410">
        <v>5.42</v>
      </c>
      <c r="H65" s="47">
        <f t="shared" si="8"/>
        <v>5718.1</v>
      </c>
      <c r="I65" s="378">
        <f t="shared" si="1"/>
        <v>5718.1</v>
      </c>
      <c r="J65" s="21">
        <f t="shared" si="2"/>
        <v>613.13366474315228</v>
      </c>
      <c r="K65" s="376">
        <f t="shared" si="3"/>
        <v>613.13366474315228</v>
      </c>
      <c r="L65" s="150">
        <f>'As-Filed Schedule 4'!H65</f>
        <v>739</v>
      </c>
      <c r="M65" s="388">
        <f>SUMIFS(Adjustments!$G:$G,Adjustments!$H:$H,"4",Adjustments!$I:$I,'Schedule 4 Adjustments'!$L$14,Adjustments!$J:$J,'Schedule 4 Adjustments'!$A65)</f>
        <v>0</v>
      </c>
      <c r="N65" s="380">
        <f t="shared" si="4"/>
        <v>739</v>
      </c>
      <c r="O65" s="410">
        <v>4.29</v>
      </c>
      <c r="P65" s="47">
        <f t="shared" si="9"/>
        <v>3170.31</v>
      </c>
      <c r="Q65" s="378">
        <f t="shared" si="5"/>
        <v>3170.31</v>
      </c>
      <c r="R65" s="21">
        <f t="shared" si="6"/>
        <v>485.3032143446722</v>
      </c>
      <c r="S65" s="376">
        <f t="shared" si="7"/>
        <v>485.3032143446722</v>
      </c>
    </row>
    <row r="66" spans="1:19" s="22" customFormat="1" x14ac:dyDescent="0.35">
      <c r="A66" s="19">
        <v>54</v>
      </c>
      <c r="B66" s="19">
        <v>99221</v>
      </c>
      <c r="C66" s="20" t="s">
        <v>121</v>
      </c>
      <c r="D66" s="116">
        <f>'As-Filed Schedule 4'!D66</f>
        <v>0</v>
      </c>
      <c r="E66" s="388">
        <f>SUMIFS(Adjustments!$G:$G,Adjustments!$H:$H,"4",Adjustments!$I:$I,'Schedule 4 Adjustments'!$D$14,Adjustments!$J:$J,'Schedule 4 Adjustments'!$A66)</f>
        <v>0</v>
      </c>
      <c r="F66" s="380">
        <f t="shared" si="0"/>
        <v>0</v>
      </c>
      <c r="G66" s="410">
        <v>2.46</v>
      </c>
      <c r="H66" s="47">
        <f t="shared" si="8"/>
        <v>0</v>
      </c>
      <c r="I66" s="378">
        <f t="shared" si="1"/>
        <v>0</v>
      </c>
      <c r="J66" s="21">
        <f t="shared" si="2"/>
        <v>278.28575927456723</v>
      </c>
      <c r="K66" s="376">
        <f t="shared" si="3"/>
        <v>278.28575927456723</v>
      </c>
      <c r="L66" s="150">
        <f>'As-Filed Schedule 4'!H66</f>
        <v>0</v>
      </c>
      <c r="M66" s="388">
        <f>SUMIFS(Adjustments!$G:$G,Adjustments!$H:$H,"4",Adjustments!$I:$I,'Schedule 4 Adjustments'!$L$14,Adjustments!$J:$J,'Schedule 4 Adjustments'!$A66)</f>
        <v>0</v>
      </c>
      <c r="N66" s="380">
        <f t="shared" si="4"/>
        <v>0</v>
      </c>
      <c r="O66" s="410">
        <v>2.46</v>
      </c>
      <c r="P66" s="47">
        <f t="shared" si="9"/>
        <v>0</v>
      </c>
      <c r="Q66" s="378">
        <f t="shared" si="5"/>
        <v>0</v>
      </c>
      <c r="R66" s="21">
        <f t="shared" si="6"/>
        <v>278.28575927456723</v>
      </c>
      <c r="S66" s="376">
        <f t="shared" si="7"/>
        <v>278.28575927456723</v>
      </c>
    </row>
    <row r="67" spans="1:19" s="22" customFormat="1" x14ac:dyDescent="0.35">
      <c r="A67" s="19">
        <v>55</v>
      </c>
      <c r="B67" s="19">
        <v>99222</v>
      </c>
      <c r="C67" s="20" t="s">
        <v>122</v>
      </c>
      <c r="D67" s="116">
        <f>'As-Filed Schedule 4'!D67</f>
        <v>0</v>
      </c>
      <c r="E67" s="388">
        <f>SUMIFS(Adjustments!$G:$G,Adjustments!$H:$H,"4",Adjustments!$I:$I,'Schedule 4 Adjustments'!$D$14,Adjustments!$J:$J,'Schedule 4 Adjustments'!$A67)</f>
        <v>0</v>
      </c>
      <c r="F67" s="380">
        <f t="shared" si="0"/>
        <v>0</v>
      </c>
      <c r="G67" s="410">
        <v>3.88</v>
      </c>
      <c r="H67" s="47">
        <f t="shared" si="8"/>
        <v>0</v>
      </c>
      <c r="I67" s="378">
        <f t="shared" si="1"/>
        <v>0</v>
      </c>
      <c r="J67" s="21">
        <f t="shared" si="2"/>
        <v>438.92225446557762</v>
      </c>
      <c r="K67" s="376">
        <f t="shared" si="3"/>
        <v>438.92225446557762</v>
      </c>
      <c r="L67" s="150">
        <f>'As-Filed Schedule 4'!H67</f>
        <v>0</v>
      </c>
      <c r="M67" s="388">
        <f>SUMIFS(Adjustments!$G:$G,Adjustments!$H:$H,"4",Adjustments!$I:$I,'Schedule 4 Adjustments'!$L$14,Adjustments!$J:$J,'Schedule 4 Adjustments'!$A67)</f>
        <v>0</v>
      </c>
      <c r="N67" s="380">
        <f t="shared" si="4"/>
        <v>0</v>
      </c>
      <c r="O67" s="410">
        <v>3.88</v>
      </c>
      <c r="P67" s="47">
        <f t="shared" si="9"/>
        <v>0</v>
      </c>
      <c r="Q67" s="378">
        <f t="shared" si="5"/>
        <v>0</v>
      </c>
      <c r="R67" s="21">
        <f t="shared" si="6"/>
        <v>438.92225446557762</v>
      </c>
      <c r="S67" s="376">
        <f t="shared" si="7"/>
        <v>438.92225446557762</v>
      </c>
    </row>
    <row r="68" spans="1:19" s="22" customFormat="1" x14ac:dyDescent="0.35">
      <c r="A68" s="19">
        <v>56</v>
      </c>
      <c r="B68" s="19">
        <v>99223</v>
      </c>
      <c r="C68" s="20" t="s">
        <v>123</v>
      </c>
      <c r="D68" s="116">
        <f>'As-Filed Schedule 4'!D68</f>
        <v>0</v>
      </c>
      <c r="E68" s="388">
        <f>SUMIFS(Adjustments!$G:$G,Adjustments!$H:$H,"4",Adjustments!$I:$I,'Schedule 4 Adjustments'!$D$14,Adjustments!$J:$J,'Schedule 4 Adjustments'!$A68)</f>
        <v>0</v>
      </c>
      <c r="F68" s="380">
        <f t="shared" si="0"/>
        <v>0</v>
      </c>
      <c r="G68" s="410">
        <v>5.14</v>
      </c>
      <c r="H68" s="47">
        <f t="shared" si="8"/>
        <v>0</v>
      </c>
      <c r="I68" s="378">
        <f t="shared" si="1"/>
        <v>0</v>
      </c>
      <c r="J68" s="21">
        <f t="shared" si="2"/>
        <v>581.4588628745023</v>
      </c>
      <c r="K68" s="376">
        <f t="shared" si="3"/>
        <v>581.4588628745023</v>
      </c>
      <c r="L68" s="150">
        <f>'As-Filed Schedule 4'!H68</f>
        <v>0</v>
      </c>
      <c r="M68" s="388">
        <f>SUMIFS(Adjustments!$G:$G,Adjustments!$H:$H,"4",Adjustments!$I:$I,'Schedule 4 Adjustments'!$L$14,Adjustments!$J:$J,'Schedule 4 Adjustments'!$A68)</f>
        <v>0</v>
      </c>
      <c r="N68" s="380">
        <f t="shared" si="4"/>
        <v>0</v>
      </c>
      <c r="O68" s="410">
        <v>5.14</v>
      </c>
      <c r="P68" s="47">
        <f t="shared" si="9"/>
        <v>0</v>
      </c>
      <c r="Q68" s="378">
        <f t="shared" si="5"/>
        <v>0</v>
      </c>
      <c r="R68" s="21">
        <f t="shared" si="6"/>
        <v>581.4588628745023</v>
      </c>
      <c r="S68" s="376">
        <f t="shared" si="7"/>
        <v>581.4588628745023</v>
      </c>
    </row>
    <row r="69" spans="1:19" s="22" customFormat="1" x14ac:dyDescent="0.35">
      <c r="A69" s="19">
        <v>57</v>
      </c>
      <c r="B69" s="19">
        <v>99231</v>
      </c>
      <c r="C69" s="20" t="s">
        <v>124</v>
      </c>
      <c r="D69" s="116">
        <f>'As-Filed Schedule 4'!D69</f>
        <v>0</v>
      </c>
      <c r="E69" s="388">
        <f>SUMIFS(Adjustments!$G:$G,Adjustments!$H:$H,"4",Adjustments!$I:$I,'Schedule 4 Adjustments'!$D$14,Adjustments!$J:$J,'Schedule 4 Adjustments'!$A69)</f>
        <v>0</v>
      </c>
      <c r="F69" s="380">
        <f t="shared" si="0"/>
        <v>0</v>
      </c>
      <c r="G69" s="410">
        <v>1.47</v>
      </c>
      <c r="H69" s="47">
        <f t="shared" si="8"/>
        <v>0</v>
      </c>
      <c r="I69" s="378">
        <f t="shared" si="1"/>
        <v>0</v>
      </c>
      <c r="J69" s="21">
        <f t="shared" si="2"/>
        <v>166.29270981041213</v>
      </c>
      <c r="K69" s="376">
        <f t="shared" si="3"/>
        <v>166.29270981041213</v>
      </c>
      <c r="L69" s="150">
        <f>'As-Filed Schedule 4'!H69</f>
        <v>0</v>
      </c>
      <c r="M69" s="388">
        <f>SUMIFS(Adjustments!$G:$G,Adjustments!$H:$H,"4",Adjustments!$I:$I,'Schedule 4 Adjustments'!$L$14,Adjustments!$J:$J,'Schedule 4 Adjustments'!$A69)</f>
        <v>0</v>
      </c>
      <c r="N69" s="380">
        <f t="shared" si="4"/>
        <v>0</v>
      </c>
      <c r="O69" s="410">
        <v>1.47</v>
      </c>
      <c r="P69" s="47">
        <f t="shared" si="9"/>
        <v>0</v>
      </c>
      <c r="Q69" s="378">
        <f t="shared" si="5"/>
        <v>0</v>
      </c>
      <c r="R69" s="21">
        <f t="shared" si="6"/>
        <v>166.29270981041213</v>
      </c>
      <c r="S69" s="376">
        <f t="shared" si="7"/>
        <v>166.29270981041213</v>
      </c>
    </row>
    <row r="70" spans="1:19" s="22" customFormat="1" x14ac:dyDescent="0.35">
      <c r="A70" s="19">
        <v>58</v>
      </c>
      <c r="B70" s="19">
        <v>99232</v>
      </c>
      <c r="C70" s="20" t="s">
        <v>125</v>
      </c>
      <c r="D70" s="116">
        <f>'As-Filed Schedule 4'!D70</f>
        <v>0</v>
      </c>
      <c r="E70" s="388">
        <f>SUMIFS(Adjustments!$G:$G,Adjustments!$H:$H,"4",Adjustments!$I:$I,'Schedule 4 Adjustments'!$D$14,Adjustments!$J:$J,'Schedule 4 Adjustments'!$A70)</f>
        <v>0</v>
      </c>
      <c r="F70" s="380">
        <f t="shared" si="0"/>
        <v>0</v>
      </c>
      <c r="G70" s="410">
        <v>2.34</v>
      </c>
      <c r="H70" s="47">
        <f t="shared" si="8"/>
        <v>0</v>
      </c>
      <c r="I70" s="378">
        <f t="shared" si="1"/>
        <v>0</v>
      </c>
      <c r="J70" s="21">
        <f t="shared" si="2"/>
        <v>264.71084418800297</v>
      </c>
      <c r="K70" s="376">
        <f t="shared" si="3"/>
        <v>264.71084418800297</v>
      </c>
      <c r="L70" s="150">
        <f>'As-Filed Schedule 4'!H70</f>
        <v>0</v>
      </c>
      <c r="M70" s="388">
        <f>SUMIFS(Adjustments!$G:$G,Adjustments!$H:$H,"4",Adjustments!$I:$I,'Schedule 4 Adjustments'!$L$14,Adjustments!$J:$J,'Schedule 4 Adjustments'!$A70)</f>
        <v>0</v>
      </c>
      <c r="N70" s="380">
        <f t="shared" si="4"/>
        <v>0</v>
      </c>
      <c r="O70" s="410">
        <v>2.34</v>
      </c>
      <c r="P70" s="47">
        <f t="shared" si="9"/>
        <v>0</v>
      </c>
      <c r="Q70" s="378">
        <f t="shared" si="5"/>
        <v>0</v>
      </c>
      <c r="R70" s="21">
        <f t="shared" si="6"/>
        <v>264.71084418800297</v>
      </c>
      <c r="S70" s="376">
        <f t="shared" si="7"/>
        <v>264.71084418800297</v>
      </c>
    </row>
    <row r="71" spans="1:19" s="22" customFormat="1" x14ac:dyDescent="0.35">
      <c r="A71" s="19">
        <v>59</v>
      </c>
      <c r="B71" s="19">
        <v>99233</v>
      </c>
      <c r="C71" s="20" t="s">
        <v>126</v>
      </c>
      <c r="D71" s="116">
        <f>'As-Filed Schedule 4'!D71</f>
        <v>0</v>
      </c>
      <c r="E71" s="388">
        <f>SUMIFS(Adjustments!$G:$G,Adjustments!$H:$H,"4",Adjustments!$I:$I,'Schedule 4 Adjustments'!$D$14,Adjustments!$J:$J,'Schedule 4 Adjustments'!$A71)</f>
        <v>0</v>
      </c>
      <c r="F71" s="380">
        <f t="shared" si="0"/>
        <v>0</v>
      </c>
      <c r="G71" s="410">
        <v>3.52</v>
      </c>
      <c r="H71" s="47">
        <f t="shared" si="8"/>
        <v>0</v>
      </c>
      <c r="I71" s="378">
        <f t="shared" si="1"/>
        <v>0</v>
      </c>
      <c r="J71" s="21">
        <f t="shared" si="2"/>
        <v>398.19750920588484</v>
      </c>
      <c r="K71" s="376">
        <f t="shared" si="3"/>
        <v>398.19750920588484</v>
      </c>
      <c r="L71" s="150">
        <f>'As-Filed Schedule 4'!H71</f>
        <v>0</v>
      </c>
      <c r="M71" s="388">
        <f>SUMIFS(Adjustments!$G:$G,Adjustments!$H:$H,"4",Adjustments!$I:$I,'Schedule 4 Adjustments'!$L$14,Adjustments!$J:$J,'Schedule 4 Adjustments'!$A71)</f>
        <v>0</v>
      </c>
      <c r="N71" s="380">
        <f t="shared" si="4"/>
        <v>0</v>
      </c>
      <c r="O71" s="410">
        <v>3.52</v>
      </c>
      <c r="P71" s="47">
        <f t="shared" si="9"/>
        <v>0</v>
      </c>
      <c r="Q71" s="378">
        <f t="shared" si="5"/>
        <v>0</v>
      </c>
      <c r="R71" s="21">
        <f t="shared" si="6"/>
        <v>398.19750920588484</v>
      </c>
      <c r="S71" s="376">
        <f t="shared" si="7"/>
        <v>398.19750920588484</v>
      </c>
    </row>
    <row r="72" spans="1:19" s="22" customFormat="1" ht="29" x14ac:dyDescent="0.35">
      <c r="A72" s="19">
        <v>60</v>
      </c>
      <c r="B72" s="19">
        <v>99234</v>
      </c>
      <c r="C72" s="20" t="s">
        <v>360</v>
      </c>
      <c r="D72" s="116">
        <f>'As-Filed Schedule 4'!D72</f>
        <v>0</v>
      </c>
      <c r="E72" s="388">
        <f>SUMIFS(Adjustments!$G:$G,Adjustments!$H:$H,"4",Adjustments!$I:$I,'Schedule 4 Adjustments'!$D$14,Adjustments!$J:$J,'Schedule 4 Adjustments'!$A72)</f>
        <v>0</v>
      </c>
      <c r="F72" s="380">
        <f t="shared" si="0"/>
        <v>0</v>
      </c>
      <c r="G72" s="410">
        <v>2.9</v>
      </c>
      <c r="H72" s="47">
        <f t="shared" si="8"/>
        <v>0</v>
      </c>
      <c r="I72" s="378">
        <f t="shared" si="1"/>
        <v>0</v>
      </c>
      <c r="J72" s="21">
        <f t="shared" si="2"/>
        <v>328.06044792530287</v>
      </c>
      <c r="K72" s="376">
        <f t="shared" si="3"/>
        <v>328.06044792530287</v>
      </c>
      <c r="L72" s="150">
        <f>'As-Filed Schedule 4'!H72</f>
        <v>0</v>
      </c>
      <c r="M72" s="388">
        <f>SUMIFS(Adjustments!$G:$G,Adjustments!$H:$H,"4",Adjustments!$I:$I,'Schedule 4 Adjustments'!$L$14,Adjustments!$J:$J,'Schedule 4 Adjustments'!$A72)</f>
        <v>0</v>
      </c>
      <c r="N72" s="380">
        <f t="shared" si="4"/>
        <v>0</v>
      </c>
      <c r="O72" s="410">
        <v>2.9</v>
      </c>
      <c r="P72" s="47">
        <f t="shared" si="9"/>
        <v>0</v>
      </c>
      <c r="Q72" s="378">
        <f t="shared" si="5"/>
        <v>0</v>
      </c>
      <c r="R72" s="21">
        <f t="shared" si="6"/>
        <v>328.06044792530287</v>
      </c>
      <c r="S72" s="376">
        <f t="shared" si="7"/>
        <v>328.06044792530287</v>
      </c>
    </row>
    <row r="73" spans="1:19" s="22" customFormat="1" ht="29" x14ac:dyDescent="0.35">
      <c r="A73" s="19">
        <v>61</v>
      </c>
      <c r="B73" s="19">
        <v>99235</v>
      </c>
      <c r="C73" s="20" t="s">
        <v>361</v>
      </c>
      <c r="D73" s="116">
        <f>'As-Filed Schedule 4'!D73</f>
        <v>0</v>
      </c>
      <c r="E73" s="388">
        <f>SUMIFS(Adjustments!$G:$G,Adjustments!$H:$H,"4",Adjustments!$I:$I,'Schedule 4 Adjustments'!$D$14,Adjustments!$J:$J,'Schedule 4 Adjustments'!$A73)</f>
        <v>0</v>
      </c>
      <c r="F73" s="380">
        <f t="shared" si="0"/>
        <v>0</v>
      </c>
      <c r="G73" s="410">
        <v>4.7300000000000004</v>
      </c>
      <c r="H73" s="47">
        <f t="shared" si="8"/>
        <v>0</v>
      </c>
      <c r="I73" s="378">
        <f t="shared" si="1"/>
        <v>0</v>
      </c>
      <c r="J73" s="21">
        <f t="shared" si="2"/>
        <v>535.07790299540784</v>
      </c>
      <c r="K73" s="376">
        <f t="shared" si="3"/>
        <v>535.07790299540784</v>
      </c>
      <c r="L73" s="150">
        <f>'As-Filed Schedule 4'!H73</f>
        <v>0</v>
      </c>
      <c r="M73" s="388">
        <f>SUMIFS(Adjustments!$G:$G,Adjustments!$H:$H,"4",Adjustments!$I:$I,'Schedule 4 Adjustments'!$L$14,Adjustments!$J:$J,'Schedule 4 Adjustments'!$A73)</f>
        <v>0</v>
      </c>
      <c r="N73" s="380">
        <f t="shared" si="4"/>
        <v>0</v>
      </c>
      <c r="O73" s="410">
        <v>4.7300000000000004</v>
      </c>
      <c r="P73" s="47">
        <f t="shared" si="9"/>
        <v>0</v>
      </c>
      <c r="Q73" s="378">
        <f t="shared" si="5"/>
        <v>0</v>
      </c>
      <c r="R73" s="21">
        <f t="shared" si="6"/>
        <v>535.07790299540784</v>
      </c>
      <c r="S73" s="376">
        <f t="shared" si="7"/>
        <v>535.07790299540784</v>
      </c>
    </row>
    <row r="74" spans="1:19" s="22" customFormat="1" ht="29" x14ac:dyDescent="0.35">
      <c r="A74" s="19">
        <v>62</v>
      </c>
      <c r="B74" s="19">
        <v>99236</v>
      </c>
      <c r="C74" s="20" t="s">
        <v>362</v>
      </c>
      <c r="D74" s="116">
        <f>'As-Filed Schedule 4'!D74</f>
        <v>0</v>
      </c>
      <c r="E74" s="388">
        <f>SUMIFS(Adjustments!$G:$G,Adjustments!$H:$H,"4",Adjustments!$I:$I,'Schedule 4 Adjustments'!$D$14,Adjustments!$J:$J,'Schedule 4 Adjustments'!$A74)</f>
        <v>0</v>
      </c>
      <c r="F74" s="380">
        <f t="shared" si="0"/>
        <v>0</v>
      </c>
      <c r="G74" s="410">
        <v>6.18</v>
      </c>
      <c r="H74" s="47">
        <f t="shared" si="8"/>
        <v>0</v>
      </c>
      <c r="I74" s="378">
        <f t="shared" si="1"/>
        <v>0</v>
      </c>
      <c r="J74" s="21">
        <f t="shared" si="2"/>
        <v>699.10812695805919</v>
      </c>
      <c r="K74" s="376">
        <f t="shared" si="3"/>
        <v>699.10812695805919</v>
      </c>
      <c r="L74" s="150">
        <f>'As-Filed Schedule 4'!H74</f>
        <v>0</v>
      </c>
      <c r="M74" s="388">
        <f>SUMIFS(Adjustments!$G:$G,Adjustments!$H:$H,"4",Adjustments!$I:$I,'Schedule 4 Adjustments'!$L$14,Adjustments!$J:$J,'Schedule 4 Adjustments'!$A74)</f>
        <v>0</v>
      </c>
      <c r="N74" s="380">
        <f t="shared" si="4"/>
        <v>0</v>
      </c>
      <c r="O74" s="410">
        <v>6.18</v>
      </c>
      <c r="P74" s="47">
        <f t="shared" si="9"/>
        <v>0</v>
      </c>
      <c r="Q74" s="378">
        <f t="shared" si="5"/>
        <v>0</v>
      </c>
      <c r="R74" s="21">
        <f t="shared" si="6"/>
        <v>699.10812695805919</v>
      </c>
      <c r="S74" s="376">
        <f t="shared" si="7"/>
        <v>699.10812695805919</v>
      </c>
    </row>
    <row r="75" spans="1:19" s="22" customFormat="1" x14ac:dyDescent="0.35">
      <c r="A75" s="19">
        <v>63</v>
      </c>
      <c r="B75" s="19">
        <v>99238</v>
      </c>
      <c r="C75" s="20" t="s">
        <v>346</v>
      </c>
      <c r="D75" s="116">
        <f>'As-Filed Schedule 4'!D75</f>
        <v>0</v>
      </c>
      <c r="E75" s="388">
        <f>SUMIFS(Adjustments!$G:$G,Adjustments!$H:$H,"4",Adjustments!$I:$I,'Schedule 4 Adjustments'!$D$14,Adjustments!$J:$J,'Schedule 4 Adjustments'!$A75)</f>
        <v>0</v>
      </c>
      <c r="F75" s="380">
        <f t="shared" si="0"/>
        <v>0</v>
      </c>
      <c r="G75" s="410">
        <v>2.41</v>
      </c>
      <c r="H75" s="47">
        <f t="shared" si="8"/>
        <v>0</v>
      </c>
      <c r="I75" s="378">
        <f t="shared" si="1"/>
        <v>0</v>
      </c>
      <c r="J75" s="21">
        <f t="shared" si="2"/>
        <v>272.62954465516549</v>
      </c>
      <c r="K75" s="376">
        <f t="shared" si="3"/>
        <v>272.62954465516549</v>
      </c>
      <c r="L75" s="150">
        <f>'As-Filed Schedule 4'!H75</f>
        <v>0</v>
      </c>
      <c r="M75" s="388">
        <f>SUMIFS(Adjustments!$G:$G,Adjustments!$H:$H,"4",Adjustments!$I:$I,'Schedule 4 Adjustments'!$L$14,Adjustments!$J:$J,'Schedule 4 Adjustments'!$A75)</f>
        <v>0</v>
      </c>
      <c r="N75" s="380">
        <f t="shared" si="4"/>
        <v>0</v>
      </c>
      <c r="O75" s="410">
        <v>2.41</v>
      </c>
      <c r="P75" s="47">
        <f t="shared" si="9"/>
        <v>0</v>
      </c>
      <c r="Q75" s="378">
        <f t="shared" si="5"/>
        <v>0</v>
      </c>
      <c r="R75" s="21">
        <f t="shared" si="6"/>
        <v>272.62954465516549</v>
      </c>
      <c r="S75" s="376">
        <f t="shared" si="7"/>
        <v>272.62954465516549</v>
      </c>
    </row>
    <row r="76" spans="1:19" s="22" customFormat="1" x14ac:dyDescent="0.35">
      <c r="A76" s="19">
        <v>64</v>
      </c>
      <c r="B76" s="19">
        <v>99239</v>
      </c>
      <c r="C76" s="20" t="s">
        <v>127</v>
      </c>
      <c r="D76" s="116">
        <f>'As-Filed Schedule 4'!D76</f>
        <v>0</v>
      </c>
      <c r="E76" s="388">
        <f>SUMIFS(Adjustments!$G:$G,Adjustments!$H:$H,"4",Adjustments!$I:$I,'Schedule 4 Adjustments'!$D$14,Adjustments!$J:$J,'Schedule 4 Adjustments'!$A76)</f>
        <v>0</v>
      </c>
      <c r="F76" s="380">
        <f t="shared" si="0"/>
        <v>0</v>
      </c>
      <c r="G76" s="410">
        <v>3.4</v>
      </c>
      <c r="H76" s="47">
        <f t="shared" si="8"/>
        <v>0</v>
      </c>
      <c r="I76" s="378">
        <f t="shared" si="1"/>
        <v>0</v>
      </c>
      <c r="J76" s="21">
        <f t="shared" si="2"/>
        <v>384.62259411932058</v>
      </c>
      <c r="K76" s="376">
        <f t="shared" si="3"/>
        <v>384.62259411932058</v>
      </c>
      <c r="L76" s="150">
        <f>'As-Filed Schedule 4'!H76</f>
        <v>0</v>
      </c>
      <c r="M76" s="388">
        <f>SUMIFS(Adjustments!$G:$G,Adjustments!$H:$H,"4",Adjustments!$I:$I,'Schedule 4 Adjustments'!$L$14,Adjustments!$J:$J,'Schedule 4 Adjustments'!$A76)</f>
        <v>0</v>
      </c>
      <c r="N76" s="380">
        <f t="shared" si="4"/>
        <v>0</v>
      </c>
      <c r="O76" s="410">
        <v>3.4</v>
      </c>
      <c r="P76" s="47">
        <f t="shared" si="9"/>
        <v>0</v>
      </c>
      <c r="Q76" s="378">
        <f t="shared" si="5"/>
        <v>0</v>
      </c>
      <c r="R76" s="21">
        <f t="shared" si="6"/>
        <v>384.62259411932058</v>
      </c>
      <c r="S76" s="376">
        <f t="shared" si="7"/>
        <v>384.62259411932058</v>
      </c>
    </row>
    <row r="77" spans="1:19" s="22" customFormat="1" x14ac:dyDescent="0.35">
      <c r="A77" s="19">
        <v>65</v>
      </c>
      <c r="B77" s="19">
        <v>99242</v>
      </c>
      <c r="C77" s="20" t="s">
        <v>347</v>
      </c>
      <c r="D77" s="116">
        <f>'As-Filed Schedule 4'!D77</f>
        <v>0</v>
      </c>
      <c r="E77" s="388">
        <f>SUMIFS(Adjustments!$G:$G,Adjustments!$H:$H,"4",Adjustments!$I:$I,'Schedule 4 Adjustments'!$D$14,Adjustments!$J:$J,'Schedule 4 Adjustments'!$A77)</f>
        <v>0</v>
      </c>
      <c r="F77" s="380">
        <f t="shared" si="0"/>
        <v>0</v>
      </c>
      <c r="G77" s="410">
        <v>2.25</v>
      </c>
      <c r="H77" s="148">
        <f t="shared" si="8"/>
        <v>0</v>
      </c>
      <c r="I77" s="378">
        <f t="shared" si="1"/>
        <v>0</v>
      </c>
      <c r="J77" s="149">
        <f t="shared" si="2"/>
        <v>254.5296578730798</v>
      </c>
      <c r="K77" s="376">
        <f t="shared" si="3"/>
        <v>254.5296578730798</v>
      </c>
      <c r="L77" s="150">
        <f>'As-Filed Schedule 4'!H77</f>
        <v>0</v>
      </c>
      <c r="M77" s="388">
        <f>SUMIFS(Adjustments!$G:$G,Adjustments!$H:$H,"4",Adjustments!$I:$I,'Schedule 4 Adjustments'!$L$14,Adjustments!$J:$J,'Schedule 4 Adjustments'!$A77)</f>
        <v>0</v>
      </c>
      <c r="N77" s="380">
        <f t="shared" si="4"/>
        <v>0</v>
      </c>
      <c r="O77" s="410">
        <v>1.66</v>
      </c>
      <c r="P77" s="47">
        <f t="shared" si="9"/>
        <v>0</v>
      </c>
      <c r="Q77" s="378">
        <f t="shared" si="5"/>
        <v>0</v>
      </c>
      <c r="R77" s="21">
        <f t="shared" si="6"/>
        <v>187.78632536413886</v>
      </c>
      <c r="S77" s="376">
        <f t="shared" si="7"/>
        <v>187.78632536413886</v>
      </c>
    </row>
    <row r="78" spans="1:19" s="22" customFormat="1" x14ac:dyDescent="0.35">
      <c r="A78" s="19">
        <v>66</v>
      </c>
      <c r="B78" s="19">
        <v>99243</v>
      </c>
      <c r="C78" s="20" t="s">
        <v>348</v>
      </c>
      <c r="D78" s="116">
        <f>'As-Filed Schedule 4'!D78</f>
        <v>0</v>
      </c>
      <c r="E78" s="388">
        <f>SUMIFS(Adjustments!$G:$G,Adjustments!$H:$H,"4",Adjustments!$I:$I,'Schedule 4 Adjustments'!$D$14,Adjustments!$J:$J,'Schedule 4 Adjustments'!$A78)</f>
        <v>0</v>
      </c>
      <c r="F78" s="380">
        <f t="shared" si="0"/>
        <v>0</v>
      </c>
      <c r="G78" s="410">
        <v>3.37</v>
      </c>
      <c r="H78" s="47">
        <f t="shared" si="8"/>
        <v>0</v>
      </c>
      <c r="I78" s="378">
        <f t="shared" si="1"/>
        <v>0</v>
      </c>
      <c r="J78" s="21">
        <f t="shared" si="2"/>
        <v>381.22886534767957</v>
      </c>
      <c r="K78" s="376">
        <f t="shared" si="3"/>
        <v>381.22886534767957</v>
      </c>
      <c r="L78" s="150">
        <f>'As-Filed Schedule 4'!H78</f>
        <v>0</v>
      </c>
      <c r="M78" s="388">
        <f>SUMIFS(Adjustments!$G:$G,Adjustments!$H:$H,"4",Adjustments!$I:$I,'Schedule 4 Adjustments'!$L$14,Adjustments!$J:$J,'Schedule 4 Adjustments'!$A78)</f>
        <v>0</v>
      </c>
      <c r="N78" s="380">
        <f t="shared" si="4"/>
        <v>0</v>
      </c>
      <c r="O78" s="410">
        <v>2.62</v>
      </c>
      <c r="P78" s="47">
        <f t="shared" si="9"/>
        <v>0</v>
      </c>
      <c r="Q78" s="378">
        <f t="shared" si="5"/>
        <v>0</v>
      </c>
      <c r="R78" s="21">
        <f t="shared" si="6"/>
        <v>296.38564605665294</v>
      </c>
      <c r="S78" s="376">
        <f t="shared" si="7"/>
        <v>296.38564605665294</v>
      </c>
    </row>
    <row r="79" spans="1:19" s="22" customFormat="1" x14ac:dyDescent="0.35">
      <c r="A79" s="19">
        <v>67</v>
      </c>
      <c r="B79" s="19">
        <v>99244</v>
      </c>
      <c r="C79" s="20" t="s">
        <v>349</v>
      </c>
      <c r="D79" s="116">
        <f>'As-Filed Schedule 4'!D79</f>
        <v>0</v>
      </c>
      <c r="E79" s="388">
        <f>SUMIFS(Adjustments!$G:$G,Adjustments!$H:$H,"4",Adjustments!$I:$I,'Schedule 4 Adjustments'!$D$14,Adjustments!$J:$J,'Schedule 4 Adjustments'!$A79)</f>
        <v>0</v>
      </c>
      <c r="F79" s="380">
        <f t="shared" si="0"/>
        <v>0</v>
      </c>
      <c r="G79" s="410">
        <v>4.8099999999999996</v>
      </c>
      <c r="H79" s="47">
        <f t="shared" si="8"/>
        <v>0</v>
      </c>
      <c r="I79" s="378">
        <f t="shared" si="1"/>
        <v>0</v>
      </c>
      <c r="J79" s="21">
        <f t="shared" si="2"/>
        <v>544.12784638645053</v>
      </c>
      <c r="K79" s="376">
        <f t="shared" si="3"/>
        <v>544.12784638645053</v>
      </c>
      <c r="L79" s="150">
        <f>'As-Filed Schedule 4'!H79</f>
        <v>0</v>
      </c>
      <c r="M79" s="388">
        <f>SUMIFS(Adjustments!$G:$G,Adjustments!$H:$H,"4",Adjustments!$I:$I,'Schedule 4 Adjustments'!$L$14,Adjustments!$J:$J,'Schedule 4 Adjustments'!$A79)</f>
        <v>0</v>
      </c>
      <c r="N79" s="380">
        <f t="shared" si="4"/>
        <v>0</v>
      </c>
      <c r="O79" s="410">
        <v>3.99</v>
      </c>
      <c r="P79" s="47">
        <f t="shared" si="9"/>
        <v>0</v>
      </c>
      <c r="Q79" s="378">
        <f t="shared" si="5"/>
        <v>0</v>
      </c>
      <c r="R79" s="21">
        <f t="shared" si="6"/>
        <v>451.36592662826155</v>
      </c>
      <c r="S79" s="376">
        <f t="shared" si="7"/>
        <v>451.36592662826155</v>
      </c>
    </row>
    <row r="80" spans="1:19" s="22" customFormat="1" x14ac:dyDescent="0.35">
      <c r="A80" s="19">
        <v>68</v>
      </c>
      <c r="B80" s="19">
        <v>99245</v>
      </c>
      <c r="C80" s="20" t="s">
        <v>350</v>
      </c>
      <c r="D80" s="116">
        <f>'As-Filed Schedule 4'!D80</f>
        <v>0</v>
      </c>
      <c r="E80" s="388">
        <f>SUMIFS(Adjustments!$G:$G,Adjustments!$H:$H,"4",Adjustments!$I:$I,'Schedule 4 Adjustments'!$D$14,Adjustments!$J:$J,'Schedule 4 Adjustments'!$A80)</f>
        <v>0</v>
      </c>
      <c r="F80" s="380">
        <f t="shared" si="0"/>
        <v>0</v>
      </c>
      <c r="G80" s="410">
        <v>6.28</v>
      </c>
      <c r="H80" s="47">
        <f t="shared" si="8"/>
        <v>0</v>
      </c>
      <c r="I80" s="378">
        <f t="shared" si="1"/>
        <v>0</v>
      </c>
      <c r="J80" s="21">
        <f t="shared" si="2"/>
        <v>710.42055619686278</v>
      </c>
      <c r="K80" s="376">
        <f t="shared" si="3"/>
        <v>710.42055619686278</v>
      </c>
      <c r="L80" s="150">
        <f>'As-Filed Schedule 4'!H80</f>
        <v>0</v>
      </c>
      <c r="M80" s="388">
        <f>SUMIFS(Adjustments!$G:$G,Adjustments!$H:$H,"4",Adjustments!$I:$I,'Schedule 4 Adjustments'!$L$14,Adjustments!$J:$J,'Schedule 4 Adjustments'!$A80)</f>
        <v>0</v>
      </c>
      <c r="N80" s="380">
        <f t="shared" si="4"/>
        <v>0</v>
      </c>
      <c r="O80" s="410">
        <v>5.36</v>
      </c>
      <c r="P80" s="47">
        <f t="shared" si="9"/>
        <v>0</v>
      </c>
      <c r="Q80" s="378">
        <f t="shared" si="5"/>
        <v>0</v>
      </c>
      <c r="R80" s="21">
        <f t="shared" si="6"/>
        <v>606.34620719987015</v>
      </c>
      <c r="S80" s="376">
        <f t="shared" si="7"/>
        <v>606.34620719987015</v>
      </c>
    </row>
    <row r="81" spans="1:19" s="22" customFormat="1" x14ac:dyDescent="0.35">
      <c r="A81" s="19">
        <v>69</v>
      </c>
      <c r="B81" s="19">
        <v>99252</v>
      </c>
      <c r="C81" s="20" t="s">
        <v>351</v>
      </c>
      <c r="D81" s="116">
        <f>'As-Filed Schedule 4'!D81</f>
        <v>0</v>
      </c>
      <c r="E81" s="388">
        <f>SUMIFS(Adjustments!$G:$G,Adjustments!$H:$H,"4",Adjustments!$I:$I,'Schedule 4 Adjustments'!$D$14,Adjustments!$J:$J,'Schedule 4 Adjustments'!$A81)</f>
        <v>0</v>
      </c>
      <c r="F81" s="380">
        <f t="shared" si="0"/>
        <v>0</v>
      </c>
      <c r="G81" s="410">
        <v>2.11</v>
      </c>
      <c r="H81" s="47">
        <f t="shared" si="8"/>
        <v>0</v>
      </c>
      <c r="I81" s="378">
        <f t="shared" si="1"/>
        <v>0</v>
      </c>
      <c r="J81" s="21">
        <f t="shared" si="2"/>
        <v>238.69225693875484</v>
      </c>
      <c r="K81" s="376">
        <f t="shared" si="3"/>
        <v>238.69225693875484</v>
      </c>
      <c r="L81" s="150">
        <f>'As-Filed Schedule 4'!H81</f>
        <v>0</v>
      </c>
      <c r="M81" s="388">
        <f>SUMIFS(Adjustments!$G:$G,Adjustments!$H:$H,"4",Adjustments!$I:$I,'Schedule 4 Adjustments'!$L$14,Adjustments!$J:$J,'Schedule 4 Adjustments'!$A81)</f>
        <v>0</v>
      </c>
      <c r="N81" s="380">
        <f t="shared" si="4"/>
        <v>0</v>
      </c>
      <c r="O81" s="410">
        <v>2.11</v>
      </c>
      <c r="P81" s="47">
        <f t="shared" si="9"/>
        <v>0</v>
      </c>
      <c r="Q81" s="378">
        <f t="shared" si="5"/>
        <v>0</v>
      </c>
      <c r="R81" s="21">
        <f t="shared" si="6"/>
        <v>238.69225693875484</v>
      </c>
      <c r="S81" s="376">
        <f t="shared" si="7"/>
        <v>238.69225693875484</v>
      </c>
    </row>
    <row r="82" spans="1:19" s="22" customFormat="1" x14ac:dyDescent="0.35">
      <c r="A82" s="19">
        <v>70</v>
      </c>
      <c r="B82" s="19">
        <v>99253</v>
      </c>
      <c r="C82" s="20" t="s">
        <v>352</v>
      </c>
      <c r="D82" s="116">
        <f>'As-Filed Schedule 4'!D82</f>
        <v>0</v>
      </c>
      <c r="E82" s="388">
        <f>SUMIFS(Adjustments!$G:$G,Adjustments!$H:$H,"4",Adjustments!$I:$I,'Schedule 4 Adjustments'!$D$14,Adjustments!$J:$J,'Schedule 4 Adjustments'!$A82)</f>
        <v>0</v>
      </c>
      <c r="F82" s="380">
        <f t="shared" si="0"/>
        <v>0</v>
      </c>
      <c r="G82" s="410">
        <v>2.96</v>
      </c>
      <c r="H82" s="47">
        <f t="shared" si="8"/>
        <v>0</v>
      </c>
      <c r="I82" s="378">
        <f t="shared" si="1"/>
        <v>0</v>
      </c>
      <c r="J82" s="21">
        <f t="shared" ref="J82:J145" si="10">G82*$H$12</f>
        <v>334.847905468585</v>
      </c>
      <c r="K82" s="376">
        <f t="shared" si="3"/>
        <v>334.847905468585</v>
      </c>
      <c r="L82" s="150">
        <f>'As-Filed Schedule 4'!H82</f>
        <v>0</v>
      </c>
      <c r="M82" s="388">
        <f>SUMIFS(Adjustments!$G:$G,Adjustments!$H:$H,"4",Adjustments!$I:$I,'Schedule 4 Adjustments'!$L$14,Adjustments!$J:$J,'Schedule 4 Adjustments'!$A82)</f>
        <v>0</v>
      </c>
      <c r="N82" s="380">
        <f t="shared" si="4"/>
        <v>0</v>
      </c>
      <c r="O82" s="410">
        <v>2.96</v>
      </c>
      <c r="P82" s="47">
        <f t="shared" si="9"/>
        <v>0</v>
      </c>
      <c r="Q82" s="378">
        <f t="shared" si="5"/>
        <v>0</v>
      </c>
      <c r="R82" s="21">
        <f t="shared" ref="R82:R145" si="11">O82*$H$12</f>
        <v>334.847905468585</v>
      </c>
      <c r="S82" s="376">
        <f t="shared" si="7"/>
        <v>334.847905468585</v>
      </c>
    </row>
    <row r="83" spans="1:19" s="22" customFormat="1" x14ac:dyDescent="0.35">
      <c r="A83" s="19">
        <v>71</v>
      </c>
      <c r="B83" s="19">
        <v>99254</v>
      </c>
      <c r="C83" s="20" t="s">
        <v>353</v>
      </c>
      <c r="D83" s="116">
        <f>'As-Filed Schedule 4'!D83</f>
        <v>0</v>
      </c>
      <c r="E83" s="388">
        <f>SUMIFS(Adjustments!$G:$G,Adjustments!$H:$H,"4",Adjustments!$I:$I,'Schedule 4 Adjustments'!$D$14,Adjustments!$J:$J,'Schedule 4 Adjustments'!$A83)</f>
        <v>0</v>
      </c>
      <c r="F83" s="380">
        <f t="shared" ref="F83:F146" si="12">SUM(D83:E83)</f>
        <v>0</v>
      </c>
      <c r="G83" s="410">
        <v>4.1100000000000003</v>
      </c>
      <c r="H83" s="47">
        <f t="shared" si="8"/>
        <v>0</v>
      </c>
      <c r="I83" s="378">
        <f t="shared" ref="I83:I146" si="13">F83*G83</f>
        <v>0</v>
      </c>
      <c r="J83" s="21">
        <f t="shared" si="10"/>
        <v>464.94084171482581</v>
      </c>
      <c r="K83" s="376">
        <f t="shared" ref="K83:K146" si="14">G83*$I$12</f>
        <v>464.94084171482581</v>
      </c>
      <c r="L83" s="150">
        <f>'As-Filed Schedule 4'!H83</f>
        <v>0</v>
      </c>
      <c r="M83" s="388">
        <f>SUMIFS(Adjustments!$G:$G,Adjustments!$H:$H,"4",Adjustments!$I:$I,'Schedule 4 Adjustments'!$L$14,Adjustments!$J:$J,'Schedule 4 Adjustments'!$A83)</f>
        <v>0</v>
      </c>
      <c r="N83" s="380">
        <f t="shared" ref="N83:N146" si="15">SUM(L83:M83)</f>
        <v>0</v>
      </c>
      <c r="O83" s="410">
        <v>4.1100000000000003</v>
      </c>
      <c r="P83" s="47">
        <f t="shared" ref="P83:P146" si="16">L83*O83</f>
        <v>0</v>
      </c>
      <c r="Q83" s="378">
        <f t="shared" ref="Q83:Q146" si="17">N83*O83</f>
        <v>0</v>
      </c>
      <c r="R83" s="21">
        <f t="shared" si="11"/>
        <v>464.94084171482581</v>
      </c>
      <c r="S83" s="376">
        <f t="shared" ref="S83:S146" si="18">O83*$I$12</f>
        <v>464.94084171482581</v>
      </c>
    </row>
    <row r="84" spans="1:19" s="22" customFormat="1" x14ac:dyDescent="0.35">
      <c r="A84" s="19">
        <v>72</v>
      </c>
      <c r="B84" s="19">
        <v>99255</v>
      </c>
      <c r="C84" s="20" t="s">
        <v>354</v>
      </c>
      <c r="D84" s="116">
        <f>'As-Filed Schedule 4'!D84</f>
        <v>0</v>
      </c>
      <c r="E84" s="388">
        <f>SUMIFS(Adjustments!$G:$G,Adjustments!$H:$H,"4",Adjustments!$I:$I,'Schedule 4 Adjustments'!$D$14,Adjustments!$J:$J,'Schedule 4 Adjustments'!$A84)</f>
        <v>0</v>
      </c>
      <c r="F84" s="380">
        <f t="shared" si="12"/>
        <v>0</v>
      </c>
      <c r="G84" s="410">
        <v>5.53</v>
      </c>
      <c r="H84" s="47">
        <f t="shared" ref="H84:H147" si="19">D84*G84</f>
        <v>0</v>
      </c>
      <c r="I84" s="378">
        <f t="shared" si="13"/>
        <v>0</v>
      </c>
      <c r="J84" s="21">
        <f t="shared" si="10"/>
        <v>625.57733690583621</v>
      </c>
      <c r="K84" s="376">
        <f t="shared" si="14"/>
        <v>625.57733690583621</v>
      </c>
      <c r="L84" s="150">
        <f>'As-Filed Schedule 4'!H84</f>
        <v>0</v>
      </c>
      <c r="M84" s="388">
        <f>SUMIFS(Adjustments!$G:$G,Adjustments!$H:$H,"4",Adjustments!$I:$I,'Schedule 4 Adjustments'!$L$14,Adjustments!$J:$J,'Schedule 4 Adjustments'!$A84)</f>
        <v>0</v>
      </c>
      <c r="N84" s="380">
        <f t="shared" si="15"/>
        <v>0</v>
      </c>
      <c r="O84" s="410">
        <v>5.53</v>
      </c>
      <c r="P84" s="47">
        <f t="shared" si="16"/>
        <v>0</v>
      </c>
      <c r="Q84" s="378">
        <f t="shared" si="17"/>
        <v>0</v>
      </c>
      <c r="R84" s="21">
        <f t="shared" si="11"/>
        <v>625.57733690583621</v>
      </c>
      <c r="S84" s="376">
        <f t="shared" si="18"/>
        <v>625.57733690583621</v>
      </c>
    </row>
    <row r="85" spans="1:19" s="22" customFormat="1" x14ac:dyDescent="0.35">
      <c r="A85" s="19">
        <v>73</v>
      </c>
      <c r="B85" s="19">
        <v>99281</v>
      </c>
      <c r="C85" s="20" t="s">
        <v>355</v>
      </c>
      <c r="D85" s="116">
        <f>'As-Filed Schedule 4'!D85</f>
        <v>0</v>
      </c>
      <c r="E85" s="388">
        <f>SUMIFS(Adjustments!$G:$G,Adjustments!$H:$H,"4",Adjustments!$I:$I,'Schedule 4 Adjustments'!$D$14,Adjustments!$J:$J,'Schedule 4 Adjustments'!$A85)</f>
        <v>0</v>
      </c>
      <c r="F85" s="380">
        <f t="shared" si="12"/>
        <v>0</v>
      </c>
      <c r="G85" s="410">
        <v>0.34</v>
      </c>
      <c r="H85" s="47">
        <f t="shared" si="19"/>
        <v>0</v>
      </c>
      <c r="I85" s="378">
        <f t="shared" si="13"/>
        <v>0</v>
      </c>
      <c r="J85" s="21">
        <f t="shared" si="10"/>
        <v>38.46225941193206</v>
      </c>
      <c r="K85" s="376">
        <f t="shared" si="14"/>
        <v>38.46225941193206</v>
      </c>
      <c r="L85" s="150">
        <f>'As-Filed Schedule 4'!H85</f>
        <v>0</v>
      </c>
      <c r="M85" s="388">
        <f>SUMIFS(Adjustments!$G:$G,Adjustments!$H:$H,"4",Adjustments!$I:$I,'Schedule 4 Adjustments'!$L$14,Adjustments!$J:$J,'Schedule 4 Adjustments'!$A85)</f>
        <v>0</v>
      </c>
      <c r="N85" s="380">
        <f t="shared" si="15"/>
        <v>0</v>
      </c>
      <c r="O85" s="410">
        <v>0.34</v>
      </c>
      <c r="P85" s="47">
        <f t="shared" si="16"/>
        <v>0</v>
      </c>
      <c r="Q85" s="378">
        <f t="shared" si="17"/>
        <v>0</v>
      </c>
      <c r="R85" s="21">
        <f t="shared" si="11"/>
        <v>38.46225941193206</v>
      </c>
      <c r="S85" s="376">
        <f t="shared" si="18"/>
        <v>38.46225941193206</v>
      </c>
    </row>
    <row r="86" spans="1:19" s="22" customFormat="1" x14ac:dyDescent="0.35">
      <c r="A86" s="19">
        <v>74</v>
      </c>
      <c r="B86" s="19">
        <v>99282</v>
      </c>
      <c r="C86" s="20" t="s">
        <v>356</v>
      </c>
      <c r="D86" s="116">
        <f>'As-Filed Schedule 4'!D86</f>
        <v>0</v>
      </c>
      <c r="E86" s="388">
        <f>SUMIFS(Adjustments!$G:$G,Adjustments!$H:$H,"4",Adjustments!$I:$I,'Schedule 4 Adjustments'!$D$14,Adjustments!$J:$J,'Schedule 4 Adjustments'!$A86)</f>
        <v>0</v>
      </c>
      <c r="F86" s="380">
        <f t="shared" si="12"/>
        <v>0</v>
      </c>
      <c r="G86" s="410">
        <v>1.24</v>
      </c>
      <c r="H86" s="47">
        <f t="shared" si="19"/>
        <v>0</v>
      </c>
      <c r="I86" s="378">
        <f t="shared" si="13"/>
        <v>0</v>
      </c>
      <c r="J86" s="21">
        <f t="shared" si="10"/>
        <v>140.27412256116398</v>
      </c>
      <c r="K86" s="376">
        <f t="shared" si="14"/>
        <v>140.27412256116398</v>
      </c>
      <c r="L86" s="150">
        <f>'As-Filed Schedule 4'!H86</f>
        <v>0</v>
      </c>
      <c r="M86" s="388">
        <f>SUMIFS(Adjustments!$G:$G,Adjustments!$H:$H,"4",Adjustments!$I:$I,'Schedule 4 Adjustments'!$L$14,Adjustments!$J:$J,'Schedule 4 Adjustments'!$A86)</f>
        <v>0</v>
      </c>
      <c r="N86" s="380">
        <f t="shared" si="15"/>
        <v>0</v>
      </c>
      <c r="O86" s="410">
        <v>1.24</v>
      </c>
      <c r="P86" s="47">
        <f t="shared" si="16"/>
        <v>0</v>
      </c>
      <c r="Q86" s="378">
        <f t="shared" si="17"/>
        <v>0</v>
      </c>
      <c r="R86" s="21">
        <f t="shared" si="11"/>
        <v>140.27412256116398</v>
      </c>
      <c r="S86" s="376">
        <f t="shared" si="18"/>
        <v>140.27412256116398</v>
      </c>
    </row>
    <row r="87" spans="1:19" s="22" customFormat="1" x14ac:dyDescent="0.35">
      <c r="A87" s="19">
        <v>75</v>
      </c>
      <c r="B87" s="19">
        <v>99283</v>
      </c>
      <c r="C87" s="20" t="s">
        <v>357</v>
      </c>
      <c r="D87" s="116">
        <f>'As-Filed Schedule 4'!D87</f>
        <v>0</v>
      </c>
      <c r="E87" s="388">
        <f>SUMIFS(Adjustments!$G:$G,Adjustments!$H:$H,"4",Adjustments!$I:$I,'Schedule 4 Adjustments'!$D$14,Adjustments!$J:$J,'Schedule 4 Adjustments'!$A87)</f>
        <v>0</v>
      </c>
      <c r="F87" s="380">
        <f t="shared" si="12"/>
        <v>0</v>
      </c>
      <c r="G87" s="410">
        <v>2.11</v>
      </c>
      <c r="H87" s="47">
        <f t="shared" si="19"/>
        <v>0</v>
      </c>
      <c r="I87" s="378">
        <f t="shared" si="13"/>
        <v>0</v>
      </c>
      <c r="J87" s="21">
        <f t="shared" si="10"/>
        <v>238.69225693875484</v>
      </c>
      <c r="K87" s="376">
        <f t="shared" si="14"/>
        <v>238.69225693875484</v>
      </c>
      <c r="L87" s="150">
        <f>'As-Filed Schedule 4'!H87</f>
        <v>0</v>
      </c>
      <c r="M87" s="388">
        <f>SUMIFS(Adjustments!$G:$G,Adjustments!$H:$H,"4",Adjustments!$I:$I,'Schedule 4 Adjustments'!$L$14,Adjustments!$J:$J,'Schedule 4 Adjustments'!$A87)</f>
        <v>0</v>
      </c>
      <c r="N87" s="380">
        <f t="shared" si="15"/>
        <v>0</v>
      </c>
      <c r="O87" s="410">
        <v>2.11</v>
      </c>
      <c r="P87" s="47">
        <f t="shared" si="16"/>
        <v>0</v>
      </c>
      <c r="Q87" s="378">
        <f t="shared" si="17"/>
        <v>0</v>
      </c>
      <c r="R87" s="21">
        <f t="shared" si="11"/>
        <v>238.69225693875484</v>
      </c>
      <c r="S87" s="376">
        <f t="shared" si="18"/>
        <v>238.69225693875484</v>
      </c>
    </row>
    <row r="88" spans="1:19" s="22" customFormat="1" x14ac:dyDescent="0.35">
      <c r="A88" s="19">
        <v>76</v>
      </c>
      <c r="B88" s="19">
        <v>99284</v>
      </c>
      <c r="C88" s="20" t="s">
        <v>358</v>
      </c>
      <c r="D88" s="116">
        <f>'As-Filed Schedule 4'!D88</f>
        <v>0</v>
      </c>
      <c r="E88" s="388">
        <f>SUMIFS(Adjustments!$G:$G,Adjustments!$H:$H,"4",Adjustments!$I:$I,'Schedule 4 Adjustments'!$D$14,Adjustments!$J:$J,'Schedule 4 Adjustments'!$A88)</f>
        <v>0</v>
      </c>
      <c r="F88" s="380">
        <f t="shared" si="12"/>
        <v>0</v>
      </c>
      <c r="G88" s="410">
        <v>3.59</v>
      </c>
      <c r="H88" s="47">
        <f t="shared" si="19"/>
        <v>0</v>
      </c>
      <c r="I88" s="378">
        <f t="shared" si="13"/>
        <v>0</v>
      </c>
      <c r="J88" s="21">
        <f t="shared" si="10"/>
        <v>406.11620967304731</v>
      </c>
      <c r="K88" s="376">
        <f t="shared" si="14"/>
        <v>406.11620967304731</v>
      </c>
      <c r="L88" s="150">
        <f>'As-Filed Schedule 4'!H88</f>
        <v>0</v>
      </c>
      <c r="M88" s="388">
        <f>SUMIFS(Adjustments!$G:$G,Adjustments!$H:$H,"4",Adjustments!$I:$I,'Schedule 4 Adjustments'!$L$14,Adjustments!$J:$J,'Schedule 4 Adjustments'!$A88)</f>
        <v>0</v>
      </c>
      <c r="N88" s="380">
        <f t="shared" si="15"/>
        <v>0</v>
      </c>
      <c r="O88" s="410">
        <v>3.59</v>
      </c>
      <c r="P88" s="47">
        <f t="shared" si="16"/>
        <v>0</v>
      </c>
      <c r="Q88" s="378">
        <f t="shared" si="17"/>
        <v>0</v>
      </c>
      <c r="R88" s="21">
        <f t="shared" si="11"/>
        <v>406.11620967304731</v>
      </c>
      <c r="S88" s="376">
        <f t="shared" si="18"/>
        <v>406.11620967304731</v>
      </c>
    </row>
    <row r="89" spans="1:19" s="22" customFormat="1" x14ac:dyDescent="0.35">
      <c r="A89" s="19">
        <v>77</v>
      </c>
      <c r="B89" s="19">
        <v>99285</v>
      </c>
      <c r="C89" s="20" t="s">
        <v>359</v>
      </c>
      <c r="D89" s="116">
        <f>'As-Filed Schedule 4'!D89</f>
        <v>0</v>
      </c>
      <c r="E89" s="388">
        <f>SUMIFS(Adjustments!$G:$G,Adjustments!$H:$H,"4",Adjustments!$I:$I,'Schedule 4 Adjustments'!$D$14,Adjustments!$J:$J,'Schedule 4 Adjustments'!$A89)</f>
        <v>0</v>
      </c>
      <c r="F89" s="380">
        <f t="shared" si="12"/>
        <v>0</v>
      </c>
      <c r="G89" s="410">
        <v>5.2</v>
      </c>
      <c r="H89" s="47">
        <f t="shared" si="19"/>
        <v>0</v>
      </c>
      <c r="I89" s="378">
        <f t="shared" si="13"/>
        <v>0</v>
      </c>
      <c r="J89" s="21">
        <f t="shared" si="10"/>
        <v>588.24632041778443</v>
      </c>
      <c r="K89" s="376">
        <f t="shared" si="14"/>
        <v>588.24632041778443</v>
      </c>
      <c r="L89" s="150">
        <f>'As-Filed Schedule 4'!H89</f>
        <v>0</v>
      </c>
      <c r="M89" s="388">
        <f>SUMIFS(Adjustments!$G:$G,Adjustments!$H:$H,"4",Adjustments!$I:$I,'Schedule 4 Adjustments'!$L$14,Adjustments!$J:$J,'Schedule 4 Adjustments'!$A89)</f>
        <v>0</v>
      </c>
      <c r="N89" s="380">
        <f t="shared" si="15"/>
        <v>0</v>
      </c>
      <c r="O89" s="410">
        <v>5.2</v>
      </c>
      <c r="P89" s="47">
        <f t="shared" si="16"/>
        <v>0</v>
      </c>
      <c r="Q89" s="378">
        <f t="shared" si="17"/>
        <v>0</v>
      </c>
      <c r="R89" s="21">
        <f t="shared" si="11"/>
        <v>588.24632041778443</v>
      </c>
      <c r="S89" s="376">
        <f t="shared" si="18"/>
        <v>588.24632041778443</v>
      </c>
    </row>
    <row r="90" spans="1:19" s="22" customFormat="1" x14ac:dyDescent="0.35">
      <c r="A90" s="19">
        <v>78</v>
      </c>
      <c r="B90" s="19">
        <v>99304</v>
      </c>
      <c r="C90" s="20" t="s">
        <v>363</v>
      </c>
      <c r="D90" s="116">
        <f>'As-Filed Schedule 4'!D90</f>
        <v>0</v>
      </c>
      <c r="E90" s="388">
        <f>SUMIFS(Adjustments!$G:$G,Adjustments!$H:$H,"4",Adjustments!$I:$I,'Schedule 4 Adjustments'!$D$14,Adjustments!$J:$J,'Schedule 4 Adjustments'!$A90)</f>
        <v>0</v>
      </c>
      <c r="F90" s="380">
        <f t="shared" si="12"/>
        <v>0</v>
      </c>
      <c r="G90" s="410">
        <v>2.39</v>
      </c>
      <c r="H90" s="47">
        <f t="shared" si="19"/>
        <v>0</v>
      </c>
      <c r="I90" s="378">
        <f t="shared" si="13"/>
        <v>0</v>
      </c>
      <c r="J90" s="21">
        <f t="shared" si="10"/>
        <v>270.36705880740482</v>
      </c>
      <c r="K90" s="376">
        <f t="shared" si="14"/>
        <v>270.36705880740482</v>
      </c>
      <c r="L90" s="150">
        <f>'As-Filed Schedule 4'!H90</f>
        <v>0</v>
      </c>
      <c r="M90" s="388">
        <f>SUMIFS(Adjustments!$G:$G,Adjustments!$H:$H,"4",Adjustments!$I:$I,'Schedule 4 Adjustments'!$L$14,Adjustments!$J:$J,'Schedule 4 Adjustments'!$A90)</f>
        <v>0</v>
      </c>
      <c r="N90" s="380">
        <f t="shared" si="15"/>
        <v>0</v>
      </c>
      <c r="O90" s="410">
        <v>2.39</v>
      </c>
      <c r="P90" s="47">
        <f t="shared" si="16"/>
        <v>0</v>
      </c>
      <c r="Q90" s="378">
        <f t="shared" si="17"/>
        <v>0</v>
      </c>
      <c r="R90" s="21">
        <f t="shared" si="11"/>
        <v>270.36705880740482</v>
      </c>
      <c r="S90" s="376">
        <f t="shared" si="18"/>
        <v>270.36705880740482</v>
      </c>
    </row>
    <row r="91" spans="1:19" s="22" customFormat="1" x14ac:dyDescent="0.35">
      <c r="A91" s="19">
        <v>79</v>
      </c>
      <c r="B91" s="19">
        <v>99305</v>
      </c>
      <c r="C91" s="20" t="s">
        <v>364</v>
      </c>
      <c r="D91" s="116">
        <f>'As-Filed Schedule 4'!D91</f>
        <v>0</v>
      </c>
      <c r="E91" s="388">
        <f>SUMIFS(Adjustments!$G:$G,Adjustments!$H:$H,"4",Adjustments!$I:$I,'Schedule 4 Adjustments'!$D$14,Adjustments!$J:$J,'Schedule 4 Adjustments'!$A91)</f>
        <v>0</v>
      </c>
      <c r="F91" s="380">
        <f t="shared" si="12"/>
        <v>0</v>
      </c>
      <c r="G91" s="410">
        <v>3.97</v>
      </c>
      <c r="H91" s="47">
        <f t="shared" si="19"/>
        <v>0</v>
      </c>
      <c r="I91" s="378">
        <f t="shared" si="13"/>
        <v>0</v>
      </c>
      <c r="J91" s="21">
        <f t="shared" si="10"/>
        <v>449.10344078050082</v>
      </c>
      <c r="K91" s="376">
        <f t="shared" si="14"/>
        <v>449.10344078050082</v>
      </c>
      <c r="L91" s="150">
        <f>'As-Filed Schedule 4'!H91</f>
        <v>0</v>
      </c>
      <c r="M91" s="388">
        <f>SUMIFS(Adjustments!$G:$G,Adjustments!$H:$H,"4",Adjustments!$I:$I,'Schedule 4 Adjustments'!$L$14,Adjustments!$J:$J,'Schedule 4 Adjustments'!$A91)</f>
        <v>0</v>
      </c>
      <c r="N91" s="380">
        <f t="shared" si="15"/>
        <v>0</v>
      </c>
      <c r="O91" s="410">
        <v>3.97</v>
      </c>
      <c r="P91" s="47">
        <f t="shared" si="16"/>
        <v>0</v>
      </c>
      <c r="Q91" s="378">
        <f t="shared" si="17"/>
        <v>0</v>
      </c>
      <c r="R91" s="21">
        <f t="shared" si="11"/>
        <v>449.10344078050082</v>
      </c>
      <c r="S91" s="376">
        <f t="shared" si="18"/>
        <v>449.10344078050082</v>
      </c>
    </row>
    <row r="92" spans="1:19" s="22" customFormat="1" x14ac:dyDescent="0.35">
      <c r="A92" s="19">
        <v>80</v>
      </c>
      <c r="B92" s="19">
        <v>99306</v>
      </c>
      <c r="C92" s="20" t="s">
        <v>365</v>
      </c>
      <c r="D92" s="116">
        <f>'As-Filed Schedule 4'!D92</f>
        <v>0</v>
      </c>
      <c r="E92" s="388">
        <f>SUMIFS(Adjustments!$G:$G,Adjustments!$H:$H,"4",Adjustments!$I:$I,'Schedule 4 Adjustments'!$D$14,Adjustments!$J:$J,'Schedule 4 Adjustments'!$A92)</f>
        <v>0</v>
      </c>
      <c r="F92" s="380">
        <f t="shared" si="12"/>
        <v>0</v>
      </c>
      <c r="G92" s="410">
        <v>5.42</v>
      </c>
      <c r="H92" s="47">
        <f t="shared" si="19"/>
        <v>0</v>
      </c>
      <c r="I92" s="378">
        <f t="shared" si="13"/>
        <v>0</v>
      </c>
      <c r="J92" s="21">
        <f t="shared" si="10"/>
        <v>613.13366474315228</v>
      </c>
      <c r="K92" s="376">
        <f t="shared" si="14"/>
        <v>613.13366474315228</v>
      </c>
      <c r="L92" s="150">
        <f>'As-Filed Schedule 4'!H92</f>
        <v>0</v>
      </c>
      <c r="M92" s="388">
        <f>SUMIFS(Adjustments!$G:$G,Adjustments!$H:$H,"4",Adjustments!$I:$I,'Schedule 4 Adjustments'!$L$14,Adjustments!$J:$J,'Schedule 4 Adjustments'!$A92)</f>
        <v>0</v>
      </c>
      <c r="N92" s="380">
        <f t="shared" si="15"/>
        <v>0</v>
      </c>
      <c r="O92" s="410">
        <v>5.42</v>
      </c>
      <c r="P92" s="47">
        <f t="shared" si="16"/>
        <v>0</v>
      </c>
      <c r="Q92" s="378">
        <f t="shared" si="17"/>
        <v>0</v>
      </c>
      <c r="R92" s="21">
        <f t="shared" si="11"/>
        <v>613.13366474315228</v>
      </c>
      <c r="S92" s="376">
        <f t="shared" si="18"/>
        <v>613.13366474315228</v>
      </c>
    </row>
    <row r="93" spans="1:19" s="22" customFormat="1" x14ac:dyDescent="0.35">
      <c r="A93" s="19">
        <v>81</v>
      </c>
      <c r="B93" s="19">
        <v>99307</v>
      </c>
      <c r="C93" s="20" t="s">
        <v>366</v>
      </c>
      <c r="D93" s="116">
        <f>'As-Filed Schedule 4'!D93</f>
        <v>0</v>
      </c>
      <c r="E93" s="388">
        <f>SUMIFS(Adjustments!$G:$G,Adjustments!$H:$H,"4",Adjustments!$I:$I,'Schedule 4 Adjustments'!$D$14,Adjustments!$J:$J,'Schedule 4 Adjustments'!$A93)</f>
        <v>0</v>
      </c>
      <c r="F93" s="380">
        <f t="shared" si="12"/>
        <v>0</v>
      </c>
      <c r="G93" s="410">
        <v>1.2</v>
      </c>
      <c r="H93" s="47">
        <f t="shared" si="19"/>
        <v>0</v>
      </c>
      <c r="I93" s="378">
        <f t="shared" si="13"/>
        <v>0</v>
      </c>
      <c r="J93" s="21">
        <f t="shared" si="10"/>
        <v>135.74915086564255</v>
      </c>
      <c r="K93" s="376">
        <f t="shared" si="14"/>
        <v>135.74915086564255</v>
      </c>
      <c r="L93" s="150">
        <f>'As-Filed Schedule 4'!H93</f>
        <v>0</v>
      </c>
      <c r="M93" s="388">
        <f>SUMIFS(Adjustments!$G:$G,Adjustments!$H:$H,"4",Adjustments!$I:$I,'Schedule 4 Adjustments'!$L$14,Adjustments!$J:$J,'Schedule 4 Adjustments'!$A93)</f>
        <v>0</v>
      </c>
      <c r="N93" s="380">
        <f t="shared" si="15"/>
        <v>0</v>
      </c>
      <c r="O93" s="410">
        <v>1.2</v>
      </c>
      <c r="P93" s="47">
        <f t="shared" si="16"/>
        <v>0</v>
      </c>
      <c r="Q93" s="378">
        <f t="shared" si="17"/>
        <v>0</v>
      </c>
      <c r="R93" s="21">
        <f t="shared" si="11"/>
        <v>135.74915086564255</v>
      </c>
      <c r="S93" s="376">
        <f t="shared" si="18"/>
        <v>135.74915086564255</v>
      </c>
    </row>
    <row r="94" spans="1:19" s="22" customFormat="1" x14ac:dyDescent="0.35">
      <c r="A94" s="19">
        <v>82</v>
      </c>
      <c r="B94" s="19">
        <v>99308</v>
      </c>
      <c r="C94" s="20" t="s">
        <v>367</v>
      </c>
      <c r="D94" s="116">
        <f>'As-Filed Schedule 4'!D94</f>
        <v>0</v>
      </c>
      <c r="E94" s="388">
        <f>SUMIFS(Adjustments!$G:$G,Adjustments!$H:$H,"4",Adjustments!$I:$I,'Schedule 4 Adjustments'!$D$14,Adjustments!$J:$J,'Schedule 4 Adjustments'!$A94)</f>
        <v>0</v>
      </c>
      <c r="F94" s="380">
        <f t="shared" si="12"/>
        <v>0</v>
      </c>
      <c r="G94" s="410">
        <v>2.2200000000000002</v>
      </c>
      <c r="H94" s="47">
        <f t="shared" si="19"/>
        <v>0</v>
      </c>
      <c r="I94" s="378">
        <f t="shared" si="13"/>
        <v>0</v>
      </c>
      <c r="J94" s="21">
        <f t="shared" si="10"/>
        <v>251.13592910143876</v>
      </c>
      <c r="K94" s="376">
        <f t="shared" si="14"/>
        <v>251.13592910143876</v>
      </c>
      <c r="L94" s="150">
        <f>'As-Filed Schedule 4'!H94</f>
        <v>0</v>
      </c>
      <c r="M94" s="388">
        <f>SUMIFS(Adjustments!$G:$G,Adjustments!$H:$H,"4",Adjustments!$I:$I,'Schedule 4 Adjustments'!$L$14,Adjustments!$J:$J,'Schedule 4 Adjustments'!$A94)</f>
        <v>0</v>
      </c>
      <c r="N94" s="380">
        <f t="shared" si="15"/>
        <v>0</v>
      </c>
      <c r="O94" s="410">
        <v>2.2200000000000002</v>
      </c>
      <c r="P94" s="47">
        <f t="shared" si="16"/>
        <v>0</v>
      </c>
      <c r="Q94" s="378">
        <f t="shared" si="17"/>
        <v>0</v>
      </c>
      <c r="R94" s="21">
        <f t="shared" si="11"/>
        <v>251.13592910143876</v>
      </c>
      <c r="S94" s="376">
        <f t="shared" si="18"/>
        <v>251.13592910143876</v>
      </c>
    </row>
    <row r="95" spans="1:19" s="22" customFormat="1" x14ac:dyDescent="0.35">
      <c r="A95" s="19">
        <v>83</v>
      </c>
      <c r="B95" s="19">
        <v>99309</v>
      </c>
      <c r="C95" s="20" t="s">
        <v>368</v>
      </c>
      <c r="D95" s="116">
        <f>'As-Filed Schedule 4'!D95</f>
        <v>2</v>
      </c>
      <c r="E95" s="388">
        <f>SUMIFS(Adjustments!$G:$G,Adjustments!$H:$H,"4",Adjustments!$I:$I,'Schedule 4 Adjustments'!$D$14,Adjustments!$J:$J,'Schedule 4 Adjustments'!$A95)</f>
        <v>0</v>
      </c>
      <c r="F95" s="380">
        <f t="shared" si="12"/>
        <v>2</v>
      </c>
      <c r="G95" s="410">
        <v>3.21</v>
      </c>
      <c r="H95" s="47">
        <f t="shared" si="19"/>
        <v>6.42</v>
      </c>
      <c r="I95" s="378">
        <f t="shared" si="13"/>
        <v>6.42</v>
      </c>
      <c r="J95" s="21">
        <f t="shared" si="10"/>
        <v>363.12897856559385</v>
      </c>
      <c r="K95" s="376">
        <f t="shared" si="14"/>
        <v>363.12897856559385</v>
      </c>
      <c r="L95" s="150">
        <f>'As-Filed Schedule 4'!H95</f>
        <v>0</v>
      </c>
      <c r="M95" s="388">
        <f>SUMIFS(Adjustments!$G:$G,Adjustments!$H:$H,"4",Adjustments!$I:$I,'Schedule 4 Adjustments'!$L$14,Adjustments!$J:$J,'Schedule 4 Adjustments'!$A95)</f>
        <v>0</v>
      </c>
      <c r="N95" s="380">
        <f t="shared" si="15"/>
        <v>0</v>
      </c>
      <c r="O95" s="410">
        <v>3.21</v>
      </c>
      <c r="P95" s="47">
        <f t="shared" si="16"/>
        <v>0</v>
      </c>
      <c r="Q95" s="378">
        <f t="shared" si="17"/>
        <v>0</v>
      </c>
      <c r="R95" s="21">
        <f t="shared" si="11"/>
        <v>363.12897856559385</v>
      </c>
      <c r="S95" s="376">
        <f t="shared" si="18"/>
        <v>363.12897856559385</v>
      </c>
    </row>
    <row r="96" spans="1:19" s="22" customFormat="1" x14ac:dyDescent="0.35">
      <c r="A96" s="19">
        <v>84</v>
      </c>
      <c r="B96" s="19">
        <v>99310</v>
      </c>
      <c r="C96" s="20" t="s">
        <v>369</v>
      </c>
      <c r="D96" s="116">
        <f>'As-Filed Schedule 4'!D96</f>
        <v>1</v>
      </c>
      <c r="E96" s="388">
        <f>SUMIFS(Adjustments!$G:$G,Adjustments!$H:$H,"4",Adjustments!$I:$I,'Schedule 4 Adjustments'!$D$14,Adjustments!$J:$J,'Schedule 4 Adjustments'!$A96)</f>
        <v>0</v>
      </c>
      <c r="F96" s="380">
        <f t="shared" si="12"/>
        <v>1</v>
      </c>
      <c r="G96" s="410">
        <v>4.58</v>
      </c>
      <c r="H96" s="47">
        <f t="shared" si="19"/>
        <v>4.58</v>
      </c>
      <c r="I96" s="378">
        <f t="shared" si="13"/>
        <v>4.58</v>
      </c>
      <c r="J96" s="21">
        <f t="shared" si="10"/>
        <v>518.10925913720246</v>
      </c>
      <c r="K96" s="376">
        <f t="shared" si="14"/>
        <v>518.10925913720246</v>
      </c>
      <c r="L96" s="150">
        <f>'As-Filed Schedule 4'!H96</f>
        <v>0</v>
      </c>
      <c r="M96" s="388">
        <f>SUMIFS(Adjustments!$G:$G,Adjustments!$H:$H,"4",Adjustments!$I:$I,'Schedule 4 Adjustments'!$L$14,Adjustments!$J:$J,'Schedule 4 Adjustments'!$A96)</f>
        <v>0</v>
      </c>
      <c r="N96" s="380">
        <f t="shared" si="15"/>
        <v>0</v>
      </c>
      <c r="O96" s="410">
        <v>4.58</v>
      </c>
      <c r="P96" s="47">
        <f t="shared" si="16"/>
        <v>0</v>
      </c>
      <c r="Q96" s="378">
        <f t="shared" si="17"/>
        <v>0</v>
      </c>
      <c r="R96" s="21">
        <f t="shared" si="11"/>
        <v>518.10925913720246</v>
      </c>
      <c r="S96" s="376">
        <f t="shared" si="18"/>
        <v>518.10925913720246</v>
      </c>
    </row>
    <row r="97" spans="1:19" s="22" customFormat="1" x14ac:dyDescent="0.35">
      <c r="A97" s="19">
        <v>85</v>
      </c>
      <c r="B97" s="19">
        <v>99315</v>
      </c>
      <c r="C97" s="20" t="s">
        <v>370</v>
      </c>
      <c r="D97" s="116">
        <f>'As-Filed Schedule 4'!D97</f>
        <v>0</v>
      </c>
      <c r="E97" s="388">
        <f>SUMIFS(Adjustments!$G:$G,Adjustments!$H:$H,"4",Adjustments!$I:$I,'Schedule 4 Adjustments'!$D$14,Adjustments!$J:$J,'Schedule 4 Adjustments'!$A97)</f>
        <v>0</v>
      </c>
      <c r="F97" s="380">
        <f t="shared" si="12"/>
        <v>0</v>
      </c>
      <c r="G97" s="410">
        <v>2.4300000000000002</v>
      </c>
      <c r="H97" s="47">
        <f t="shared" si="19"/>
        <v>0</v>
      </c>
      <c r="I97" s="378">
        <f t="shared" si="13"/>
        <v>0</v>
      </c>
      <c r="J97" s="21">
        <f t="shared" si="10"/>
        <v>274.89203050292622</v>
      </c>
      <c r="K97" s="376">
        <f t="shared" si="14"/>
        <v>274.89203050292622</v>
      </c>
      <c r="L97" s="150">
        <f>'As-Filed Schedule 4'!H97</f>
        <v>0</v>
      </c>
      <c r="M97" s="388">
        <f>SUMIFS(Adjustments!$G:$G,Adjustments!$H:$H,"4",Adjustments!$I:$I,'Schedule 4 Adjustments'!$L$14,Adjustments!$J:$J,'Schedule 4 Adjustments'!$A97)</f>
        <v>0</v>
      </c>
      <c r="N97" s="380">
        <f t="shared" si="15"/>
        <v>0</v>
      </c>
      <c r="O97" s="410">
        <v>2.4300000000000002</v>
      </c>
      <c r="P97" s="47">
        <f t="shared" si="16"/>
        <v>0</v>
      </c>
      <c r="Q97" s="378">
        <f t="shared" si="17"/>
        <v>0</v>
      </c>
      <c r="R97" s="21">
        <f t="shared" si="11"/>
        <v>274.89203050292622</v>
      </c>
      <c r="S97" s="376">
        <f t="shared" si="18"/>
        <v>274.89203050292622</v>
      </c>
    </row>
    <row r="98" spans="1:19" s="22" customFormat="1" x14ac:dyDescent="0.35">
      <c r="A98" s="19">
        <v>86</v>
      </c>
      <c r="B98" s="19">
        <v>99316</v>
      </c>
      <c r="C98" s="20" t="s">
        <v>128</v>
      </c>
      <c r="D98" s="116">
        <f>'As-Filed Schedule 4'!D98</f>
        <v>0</v>
      </c>
      <c r="E98" s="388">
        <f>SUMIFS(Adjustments!$G:$G,Adjustments!$H:$H,"4",Adjustments!$I:$I,'Schedule 4 Adjustments'!$D$14,Adjustments!$J:$J,'Schedule 4 Adjustments'!$A98)</f>
        <v>0</v>
      </c>
      <c r="F98" s="380">
        <f t="shared" si="12"/>
        <v>0</v>
      </c>
      <c r="G98" s="410">
        <v>3.9</v>
      </c>
      <c r="H98" s="47">
        <f t="shared" si="19"/>
        <v>0</v>
      </c>
      <c r="I98" s="378">
        <f t="shared" si="13"/>
        <v>0</v>
      </c>
      <c r="J98" s="21">
        <f t="shared" si="10"/>
        <v>441.18474031333835</v>
      </c>
      <c r="K98" s="376">
        <f t="shared" si="14"/>
        <v>441.18474031333835</v>
      </c>
      <c r="L98" s="150">
        <f>'As-Filed Schedule 4'!H98</f>
        <v>0</v>
      </c>
      <c r="M98" s="388">
        <f>SUMIFS(Adjustments!$G:$G,Adjustments!$H:$H,"4",Adjustments!$I:$I,'Schedule 4 Adjustments'!$L$14,Adjustments!$J:$J,'Schedule 4 Adjustments'!$A98)</f>
        <v>0</v>
      </c>
      <c r="N98" s="380">
        <f t="shared" si="15"/>
        <v>0</v>
      </c>
      <c r="O98" s="410">
        <v>3.9</v>
      </c>
      <c r="P98" s="47">
        <f t="shared" si="16"/>
        <v>0</v>
      </c>
      <c r="Q98" s="378">
        <f t="shared" si="17"/>
        <v>0</v>
      </c>
      <c r="R98" s="21">
        <f t="shared" si="11"/>
        <v>441.18474031333835</v>
      </c>
      <c r="S98" s="376">
        <f t="shared" si="18"/>
        <v>441.18474031333835</v>
      </c>
    </row>
    <row r="99" spans="1:19" s="22" customFormat="1" x14ac:dyDescent="0.35">
      <c r="A99" s="19">
        <v>87</v>
      </c>
      <c r="B99" s="19">
        <v>99341</v>
      </c>
      <c r="C99" s="20" t="s">
        <v>371</v>
      </c>
      <c r="D99" s="116">
        <f>'As-Filed Schedule 4'!D99</f>
        <v>0</v>
      </c>
      <c r="E99" s="388">
        <f>SUMIFS(Adjustments!$G:$G,Adjustments!$H:$H,"4",Adjustments!$I:$I,'Schedule 4 Adjustments'!$D$14,Adjustments!$J:$J,'Schedule 4 Adjustments'!$A99)</f>
        <v>0</v>
      </c>
      <c r="F99" s="380">
        <f t="shared" si="12"/>
        <v>0</v>
      </c>
      <c r="G99" s="410">
        <v>1.47</v>
      </c>
      <c r="H99" s="47">
        <f t="shared" si="19"/>
        <v>0</v>
      </c>
      <c r="I99" s="378">
        <f t="shared" si="13"/>
        <v>0</v>
      </c>
      <c r="J99" s="21">
        <f t="shared" si="10"/>
        <v>166.29270981041213</v>
      </c>
      <c r="K99" s="376">
        <f t="shared" si="14"/>
        <v>166.29270981041213</v>
      </c>
      <c r="L99" s="150">
        <f>'As-Filed Schedule 4'!H99</f>
        <v>0</v>
      </c>
      <c r="M99" s="388">
        <f>SUMIFS(Adjustments!$G:$G,Adjustments!$H:$H,"4",Adjustments!$I:$I,'Schedule 4 Adjustments'!$L$14,Adjustments!$J:$J,'Schedule 4 Adjustments'!$A99)</f>
        <v>0</v>
      </c>
      <c r="N99" s="380">
        <f t="shared" si="15"/>
        <v>0</v>
      </c>
      <c r="O99" s="410">
        <v>1.47</v>
      </c>
      <c r="P99" s="47">
        <f t="shared" si="16"/>
        <v>0</v>
      </c>
      <c r="Q99" s="378">
        <f t="shared" si="17"/>
        <v>0</v>
      </c>
      <c r="R99" s="21">
        <f t="shared" si="11"/>
        <v>166.29270981041213</v>
      </c>
      <c r="S99" s="376">
        <f t="shared" si="18"/>
        <v>166.29270981041213</v>
      </c>
    </row>
    <row r="100" spans="1:19" s="22" customFormat="1" x14ac:dyDescent="0.35">
      <c r="A100" s="19">
        <v>88</v>
      </c>
      <c r="B100" s="19">
        <v>99342</v>
      </c>
      <c r="C100" s="20" t="s">
        <v>372</v>
      </c>
      <c r="D100" s="116">
        <f>'As-Filed Schedule 4'!D100</f>
        <v>0</v>
      </c>
      <c r="E100" s="388">
        <f>SUMIFS(Adjustments!$G:$G,Adjustments!$H:$H,"4",Adjustments!$I:$I,'Schedule 4 Adjustments'!$D$14,Adjustments!$J:$J,'Schedule 4 Adjustments'!$A100)</f>
        <v>0</v>
      </c>
      <c r="F100" s="380">
        <f t="shared" si="12"/>
        <v>0</v>
      </c>
      <c r="G100" s="410">
        <v>2.33</v>
      </c>
      <c r="H100" s="47">
        <f t="shared" si="19"/>
        <v>0</v>
      </c>
      <c r="I100" s="378">
        <f t="shared" si="13"/>
        <v>0</v>
      </c>
      <c r="J100" s="21">
        <f t="shared" si="10"/>
        <v>263.57960126412263</v>
      </c>
      <c r="K100" s="376">
        <f t="shared" si="14"/>
        <v>263.57960126412263</v>
      </c>
      <c r="L100" s="150">
        <f>'As-Filed Schedule 4'!H100</f>
        <v>0</v>
      </c>
      <c r="M100" s="388">
        <f>SUMIFS(Adjustments!$G:$G,Adjustments!$H:$H,"4",Adjustments!$I:$I,'Schedule 4 Adjustments'!$L$14,Adjustments!$J:$J,'Schedule 4 Adjustments'!$A100)</f>
        <v>0</v>
      </c>
      <c r="N100" s="380">
        <f t="shared" si="15"/>
        <v>0</v>
      </c>
      <c r="O100" s="410">
        <v>2.33</v>
      </c>
      <c r="P100" s="47">
        <f t="shared" si="16"/>
        <v>0</v>
      </c>
      <c r="Q100" s="378">
        <f t="shared" si="17"/>
        <v>0</v>
      </c>
      <c r="R100" s="21">
        <f t="shared" si="11"/>
        <v>263.57960126412263</v>
      </c>
      <c r="S100" s="376">
        <f t="shared" si="18"/>
        <v>263.57960126412263</v>
      </c>
    </row>
    <row r="101" spans="1:19" s="22" customFormat="1" x14ac:dyDescent="0.35">
      <c r="A101" s="19">
        <v>89</v>
      </c>
      <c r="B101" s="19">
        <v>99344</v>
      </c>
      <c r="C101" s="20" t="s">
        <v>373</v>
      </c>
      <c r="D101" s="116">
        <f>'As-Filed Schedule 4'!D101</f>
        <v>0</v>
      </c>
      <c r="E101" s="388">
        <f>SUMIFS(Adjustments!$G:$G,Adjustments!$H:$H,"4",Adjustments!$I:$I,'Schedule 4 Adjustments'!$D$14,Adjustments!$J:$J,'Schedule 4 Adjustments'!$A101)</f>
        <v>0</v>
      </c>
      <c r="F101" s="380">
        <f t="shared" si="12"/>
        <v>0</v>
      </c>
      <c r="G101" s="410">
        <v>4.2300000000000004</v>
      </c>
      <c r="H101" s="47">
        <f t="shared" si="19"/>
        <v>0</v>
      </c>
      <c r="I101" s="378">
        <f t="shared" si="13"/>
        <v>0</v>
      </c>
      <c r="J101" s="21">
        <f t="shared" si="10"/>
        <v>478.51575680139007</v>
      </c>
      <c r="K101" s="376">
        <f t="shared" si="14"/>
        <v>478.51575680139007</v>
      </c>
      <c r="L101" s="150">
        <f>'As-Filed Schedule 4'!H101</f>
        <v>0</v>
      </c>
      <c r="M101" s="388">
        <f>SUMIFS(Adjustments!$G:$G,Adjustments!$H:$H,"4",Adjustments!$I:$I,'Schedule 4 Adjustments'!$L$14,Adjustments!$J:$J,'Schedule 4 Adjustments'!$A101)</f>
        <v>0</v>
      </c>
      <c r="N101" s="380">
        <f t="shared" si="15"/>
        <v>0</v>
      </c>
      <c r="O101" s="410">
        <v>4.2300000000000004</v>
      </c>
      <c r="P101" s="47">
        <f t="shared" si="16"/>
        <v>0</v>
      </c>
      <c r="Q101" s="378">
        <f t="shared" si="17"/>
        <v>0</v>
      </c>
      <c r="R101" s="21">
        <f t="shared" si="11"/>
        <v>478.51575680139007</v>
      </c>
      <c r="S101" s="376">
        <f t="shared" si="18"/>
        <v>478.51575680139007</v>
      </c>
    </row>
    <row r="102" spans="1:19" s="22" customFormat="1" x14ac:dyDescent="0.35">
      <c r="A102" s="19">
        <v>90</v>
      </c>
      <c r="B102" s="19">
        <v>99345</v>
      </c>
      <c r="C102" s="20" t="s">
        <v>374</v>
      </c>
      <c r="D102" s="116">
        <f>'As-Filed Schedule 4'!D102</f>
        <v>0</v>
      </c>
      <c r="E102" s="388">
        <f>SUMIFS(Adjustments!$G:$G,Adjustments!$H:$H,"4",Adjustments!$I:$I,'Schedule 4 Adjustments'!$D$14,Adjustments!$J:$J,'Schedule 4 Adjustments'!$A102)</f>
        <v>0</v>
      </c>
      <c r="F102" s="380">
        <f t="shared" si="12"/>
        <v>0</v>
      </c>
      <c r="G102" s="410">
        <v>6.01</v>
      </c>
      <c r="H102" s="47">
        <f t="shared" si="19"/>
        <v>0</v>
      </c>
      <c r="I102" s="378">
        <f t="shared" si="13"/>
        <v>0</v>
      </c>
      <c r="J102" s="21">
        <f t="shared" si="10"/>
        <v>679.87699725209313</v>
      </c>
      <c r="K102" s="376">
        <f t="shared" si="14"/>
        <v>679.87699725209313</v>
      </c>
      <c r="L102" s="150">
        <f>'As-Filed Schedule 4'!H102</f>
        <v>0</v>
      </c>
      <c r="M102" s="388">
        <f>SUMIFS(Adjustments!$G:$G,Adjustments!$H:$H,"4",Adjustments!$I:$I,'Schedule 4 Adjustments'!$L$14,Adjustments!$J:$J,'Schedule 4 Adjustments'!$A102)</f>
        <v>0</v>
      </c>
      <c r="N102" s="380">
        <f t="shared" si="15"/>
        <v>0</v>
      </c>
      <c r="O102" s="410">
        <v>6.01</v>
      </c>
      <c r="P102" s="47">
        <f t="shared" si="16"/>
        <v>0</v>
      </c>
      <c r="Q102" s="378">
        <f t="shared" si="17"/>
        <v>0</v>
      </c>
      <c r="R102" s="21">
        <f t="shared" si="11"/>
        <v>679.87699725209313</v>
      </c>
      <c r="S102" s="376">
        <f t="shared" si="18"/>
        <v>679.87699725209313</v>
      </c>
    </row>
    <row r="103" spans="1:19" s="22" customFormat="1" x14ac:dyDescent="0.35">
      <c r="A103" s="19">
        <v>91</v>
      </c>
      <c r="B103" s="19">
        <v>99347</v>
      </c>
      <c r="C103" s="20" t="s">
        <v>375</v>
      </c>
      <c r="D103" s="116">
        <f>'As-Filed Schedule 4'!D103</f>
        <v>0</v>
      </c>
      <c r="E103" s="388">
        <f>SUMIFS(Adjustments!$G:$G,Adjustments!$H:$H,"4",Adjustments!$I:$I,'Schedule 4 Adjustments'!$D$14,Adjustments!$J:$J,'Schedule 4 Adjustments'!$A103)</f>
        <v>0</v>
      </c>
      <c r="F103" s="380">
        <f t="shared" si="12"/>
        <v>0</v>
      </c>
      <c r="G103" s="410">
        <v>1.35</v>
      </c>
      <c r="H103" s="47">
        <f t="shared" si="19"/>
        <v>0</v>
      </c>
      <c r="I103" s="378">
        <f t="shared" si="13"/>
        <v>0</v>
      </c>
      <c r="J103" s="21">
        <f t="shared" si="10"/>
        <v>152.7177947238479</v>
      </c>
      <c r="K103" s="376">
        <f t="shared" si="14"/>
        <v>152.7177947238479</v>
      </c>
      <c r="L103" s="150">
        <f>'As-Filed Schedule 4'!H103</f>
        <v>0</v>
      </c>
      <c r="M103" s="388">
        <f>SUMIFS(Adjustments!$G:$G,Adjustments!$H:$H,"4",Adjustments!$I:$I,'Schedule 4 Adjustments'!$L$14,Adjustments!$J:$J,'Schedule 4 Adjustments'!$A103)</f>
        <v>0</v>
      </c>
      <c r="N103" s="380">
        <f t="shared" si="15"/>
        <v>0</v>
      </c>
      <c r="O103" s="410">
        <v>1.35</v>
      </c>
      <c r="P103" s="47">
        <f t="shared" si="16"/>
        <v>0</v>
      </c>
      <c r="Q103" s="378">
        <f t="shared" si="17"/>
        <v>0</v>
      </c>
      <c r="R103" s="21">
        <f t="shared" si="11"/>
        <v>152.7177947238479</v>
      </c>
      <c r="S103" s="376">
        <f t="shared" si="18"/>
        <v>152.7177947238479</v>
      </c>
    </row>
    <row r="104" spans="1:19" s="22" customFormat="1" x14ac:dyDescent="0.35">
      <c r="A104" s="19">
        <v>92</v>
      </c>
      <c r="B104" s="19">
        <v>99348</v>
      </c>
      <c r="C104" s="20" t="s">
        <v>376</v>
      </c>
      <c r="D104" s="116">
        <f>'As-Filed Schedule 4'!D104</f>
        <v>0</v>
      </c>
      <c r="E104" s="388">
        <f>SUMIFS(Adjustments!$G:$G,Adjustments!$H:$H,"4",Adjustments!$I:$I,'Schedule 4 Adjustments'!$D$14,Adjustments!$J:$J,'Schedule 4 Adjustments'!$A104)</f>
        <v>0</v>
      </c>
      <c r="F104" s="380">
        <f t="shared" si="12"/>
        <v>0</v>
      </c>
      <c r="G104" s="410">
        <v>2.2799999999999998</v>
      </c>
      <c r="H104" s="47">
        <f t="shared" si="19"/>
        <v>0</v>
      </c>
      <c r="I104" s="378">
        <f t="shared" si="13"/>
        <v>0</v>
      </c>
      <c r="J104" s="21">
        <f t="shared" si="10"/>
        <v>257.92338664472084</v>
      </c>
      <c r="K104" s="376">
        <f t="shared" si="14"/>
        <v>257.92338664472084</v>
      </c>
      <c r="L104" s="150">
        <f>'As-Filed Schedule 4'!H104</f>
        <v>0</v>
      </c>
      <c r="M104" s="388">
        <f>SUMIFS(Adjustments!$G:$G,Adjustments!$H:$H,"4",Adjustments!$I:$I,'Schedule 4 Adjustments'!$L$14,Adjustments!$J:$J,'Schedule 4 Adjustments'!$A104)</f>
        <v>0</v>
      </c>
      <c r="N104" s="380">
        <f t="shared" si="15"/>
        <v>0</v>
      </c>
      <c r="O104" s="410">
        <v>2.2799999999999998</v>
      </c>
      <c r="P104" s="47">
        <f t="shared" si="16"/>
        <v>0</v>
      </c>
      <c r="Q104" s="378">
        <f t="shared" si="17"/>
        <v>0</v>
      </c>
      <c r="R104" s="21">
        <f t="shared" si="11"/>
        <v>257.92338664472084</v>
      </c>
      <c r="S104" s="376">
        <f t="shared" si="18"/>
        <v>257.92338664472084</v>
      </c>
    </row>
    <row r="105" spans="1:19" s="22" customFormat="1" x14ac:dyDescent="0.35">
      <c r="A105" s="19">
        <v>93</v>
      </c>
      <c r="B105" s="19">
        <v>99349</v>
      </c>
      <c r="C105" s="20" t="s">
        <v>377</v>
      </c>
      <c r="D105" s="116">
        <f>'As-Filed Schedule 4'!D105</f>
        <v>0</v>
      </c>
      <c r="E105" s="388">
        <f>SUMIFS(Adjustments!$G:$G,Adjustments!$H:$H,"4",Adjustments!$I:$I,'Schedule 4 Adjustments'!$D$14,Adjustments!$J:$J,'Schedule 4 Adjustments'!$A105)</f>
        <v>0</v>
      </c>
      <c r="F105" s="380">
        <f t="shared" si="12"/>
        <v>0</v>
      </c>
      <c r="G105" s="410">
        <v>3.79</v>
      </c>
      <c r="H105" s="47">
        <f t="shared" si="19"/>
        <v>0</v>
      </c>
      <c r="I105" s="378">
        <f t="shared" si="13"/>
        <v>0</v>
      </c>
      <c r="J105" s="21">
        <f t="shared" si="10"/>
        <v>428.74106815065443</v>
      </c>
      <c r="K105" s="376">
        <f t="shared" si="14"/>
        <v>428.74106815065443</v>
      </c>
      <c r="L105" s="150">
        <f>'As-Filed Schedule 4'!H105</f>
        <v>0</v>
      </c>
      <c r="M105" s="388">
        <f>SUMIFS(Adjustments!$G:$G,Adjustments!$H:$H,"4",Adjustments!$I:$I,'Schedule 4 Adjustments'!$L$14,Adjustments!$J:$J,'Schedule 4 Adjustments'!$A105)</f>
        <v>0</v>
      </c>
      <c r="N105" s="380">
        <f t="shared" si="15"/>
        <v>0</v>
      </c>
      <c r="O105" s="410">
        <v>3.79</v>
      </c>
      <c r="P105" s="47">
        <f t="shared" si="16"/>
        <v>0</v>
      </c>
      <c r="Q105" s="378">
        <f t="shared" si="17"/>
        <v>0</v>
      </c>
      <c r="R105" s="21">
        <f t="shared" si="11"/>
        <v>428.74106815065443</v>
      </c>
      <c r="S105" s="376">
        <f t="shared" si="18"/>
        <v>428.74106815065443</v>
      </c>
    </row>
    <row r="106" spans="1:19" s="22" customFormat="1" x14ac:dyDescent="0.35">
      <c r="A106" s="19">
        <v>94</v>
      </c>
      <c r="B106" s="19">
        <v>99350</v>
      </c>
      <c r="C106" s="20" t="s">
        <v>378</v>
      </c>
      <c r="D106" s="116">
        <f>'As-Filed Schedule 4'!D106</f>
        <v>0</v>
      </c>
      <c r="E106" s="388">
        <f>SUMIFS(Adjustments!$G:$G,Adjustments!$H:$H,"4",Adjustments!$I:$I,'Schedule 4 Adjustments'!$D$14,Adjustments!$J:$J,'Schedule 4 Adjustments'!$A106)</f>
        <v>0</v>
      </c>
      <c r="F106" s="380">
        <f t="shared" si="12"/>
        <v>0</v>
      </c>
      <c r="G106" s="410">
        <v>5.52</v>
      </c>
      <c r="H106" s="47">
        <f t="shared" si="19"/>
        <v>0</v>
      </c>
      <c r="I106" s="378">
        <f t="shared" si="13"/>
        <v>0</v>
      </c>
      <c r="J106" s="21">
        <f t="shared" si="10"/>
        <v>624.44609398195576</v>
      </c>
      <c r="K106" s="376">
        <f t="shared" si="14"/>
        <v>624.44609398195576</v>
      </c>
      <c r="L106" s="150">
        <f>'As-Filed Schedule 4'!H106</f>
        <v>0</v>
      </c>
      <c r="M106" s="388">
        <f>SUMIFS(Adjustments!$G:$G,Adjustments!$H:$H,"4",Adjustments!$I:$I,'Schedule 4 Adjustments'!$L$14,Adjustments!$J:$J,'Schedule 4 Adjustments'!$A106)</f>
        <v>0</v>
      </c>
      <c r="N106" s="380">
        <f t="shared" si="15"/>
        <v>0</v>
      </c>
      <c r="O106" s="410">
        <v>5.52</v>
      </c>
      <c r="P106" s="47">
        <f t="shared" si="16"/>
        <v>0</v>
      </c>
      <c r="Q106" s="378">
        <f t="shared" si="17"/>
        <v>0</v>
      </c>
      <c r="R106" s="21">
        <f t="shared" si="11"/>
        <v>624.44609398195576</v>
      </c>
      <c r="S106" s="376">
        <f t="shared" si="18"/>
        <v>624.44609398195576</v>
      </c>
    </row>
    <row r="107" spans="1:19" s="22" customFormat="1" x14ac:dyDescent="0.35">
      <c r="A107" s="19">
        <v>95</v>
      </c>
      <c r="B107" s="19">
        <v>99366</v>
      </c>
      <c r="C107" s="20" t="s">
        <v>379</v>
      </c>
      <c r="D107" s="116">
        <f>'As-Filed Schedule 4'!D107</f>
        <v>0</v>
      </c>
      <c r="E107" s="388">
        <f>SUMIFS(Adjustments!$G:$G,Adjustments!$H:$H,"4",Adjustments!$I:$I,'Schedule 4 Adjustments'!$D$14,Adjustments!$J:$J,'Schedule 4 Adjustments'!$A107)</f>
        <v>0</v>
      </c>
      <c r="F107" s="380">
        <f t="shared" si="12"/>
        <v>0</v>
      </c>
      <c r="G107" s="410">
        <v>1.22</v>
      </c>
      <c r="H107" s="47">
        <f t="shared" si="19"/>
        <v>0</v>
      </c>
      <c r="I107" s="378">
        <f t="shared" si="13"/>
        <v>0</v>
      </c>
      <c r="J107" s="21">
        <f t="shared" si="10"/>
        <v>138.01163671340328</v>
      </c>
      <c r="K107" s="376">
        <f t="shared" si="14"/>
        <v>138.01163671340328</v>
      </c>
      <c r="L107" s="150">
        <f>'As-Filed Schedule 4'!H107</f>
        <v>0</v>
      </c>
      <c r="M107" s="388">
        <f>SUMIFS(Adjustments!$G:$G,Adjustments!$H:$H,"4",Adjustments!$I:$I,'Schedule 4 Adjustments'!$L$14,Adjustments!$J:$J,'Schedule 4 Adjustments'!$A107)</f>
        <v>0</v>
      </c>
      <c r="N107" s="380">
        <f t="shared" si="15"/>
        <v>0</v>
      </c>
      <c r="O107" s="410">
        <v>1.19</v>
      </c>
      <c r="P107" s="47">
        <f t="shared" si="16"/>
        <v>0</v>
      </c>
      <c r="Q107" s="378">
        <f t="shared" si="17"/>
        <v>0</v>
      </c>
      <c r="R107" s="21">
        <f t="shared" si="11"/>
        <v>134.61790794176221</v>
      </c>
      <c r="S107" s="376">
        <f t="shared" si="18"/>
        <v>134.61790794176221</v>
      </c>
    </row>
    <row r="108" spans="1:19" s="22" customFormat="1" x14ac:dyDescent="0.35">
      <c r="A108" s="19">
        <v>96</v>
      </c>
      <c r="B108" s="19">
        <v>99367</v>
      </c>
      <c r="C108" s="20" t="s">
        <v>380</v>
      </c>
      <c r="D108" s="116">
        <f>'As-Filed Schedule 4'!D108</f>
        <v>0</v>
      </c>
      <c r="E108" s="388">
        <f>SUMIFS(Adjustments!$G:$G,Adjustments!$H:$H,"4",Adjustments!$I:$I,'Schedule 4 Adjustments'!$D$14,Adjustments!$J:$J,'Schedule 4 Adjustments'!$A108)</f>
        <v>0</v>
      </c>
      <c r="F108" s="380">
        <f t="shared" si="12"/>
        <v>0</v>
      </c>
      <c r="G108" s="410">
        <v>1.6</v>
      </c>
      <c r="H108" s="47">
        <f t="shared" si="19"/>
        <v>0</v>
      </c>
      <c r="I108" s="378">
        <f t="shared" si="13"/>
        <v>0</v>
      </c>
      <c r="J108" s="21">
        <f t="shared" si="10"/>
        <v>180.99886782085676</v>
      </c>
      <c r="K108" s="376">
        <f t="shared" si="14"/>
        <v>180.99886782085676</v>
      </c>
      <c r="L108" s="150">
        <f>'As-Filed Schedule 4'!H108</f>
        <v>0</v>
      </c>
      <c r="M108" s="388">
        <f>SUMIFS(Adjustments!$G:$G,Adjustments!$H:$H,"4",Adjustments!$I:$I,'Schedule 4 Adjustments'!$L$14,Adjustments!$J:$J,'Schedule 4 Adjustments'!$A108)</f>
        <v>0</v>
      </c>
      <c r="N108" s="380">
        <f t="shared" si="15"/>
        <v>0</v>
      </c>
      <c r="O108" s="410">
        <v>1.6</v>
      </c>
      <c r="P108" s="47">
        <f t="shared" si="16"/>
        <v>0</v>
      </c>
      <c r="Q108" s="378">
        <f t="shared" si="17"/>
        <v>0</v>
      </c>
      <c r="R108" s="21">
        <f t="shared" si="11"/>
        <v>180.99886782085676</v>
      </c>
      <c r="S108" s="376">
        <f t="shared" si="18"/>
        <v>180.99886782085676</v>
      </c>
    </row>
    <row r="109" spans="1:19" s="22" customFormat="1" x14ac:dyDescent="0.35">
      <c r="A109" s="19">
        <v>97</v>
      </c>
      <c r="B109" s="19">
        <v>99368</v>
      </c>
      <c r="C109" s="20" t="s">
        <v>381</v>
      </c>
      <c r="D109" s="116">
        <f>'As-Filed Schedule 4'!D109</f>
        <v>0</v>
      </c>
      <c r="E109" s="388">
        <f>SUMIFS(Adjustments!$G:$G,Adjustments!$H:$H,"4",Adjustments!$I:$I,'Schedule 4 Adjustments'!$D$14,Adjustments!$J:$J,'Schedule 4 Adjustments'!$A109)</f>
        <v>0</v>
      </c>
      <c r="F109" s="380">
        <f t="shared" si="12"/>
        <v>0</v>
      </c>
      <c r="G109" s="410">
        <v>1.04</v>
      </c>
      <c r="H109" s="47">
        <f t="shared" si="19"/>
        <v>0</v>
      </c>
      <c r="I109" s="378">
        <f t="shared" si="13"/>
        <v>0</v>
      </c>
      <c r="J109" s="21">
        <f t="shared" si="10"/>
        <v>117.6492640835569</v>
      </c>
      <c r="K109" s="376">
        <f t="shared" si="14"/>
        <v>117.6492640835569</v>
      </c>
      <c r="L109" s="150">
        <f>'As-Filed Schedule 4'!H109</f>
        <v>0</v>
      </c>
      <c r="M109" s="388">
        <f>SUMIFS(Adjustments!$G:$G,Adjustments!$H:$H,"4",Adjustments!$I:$I,'Schedule 4 Adjustments'!$L$14,Adjustments!$J:$J,'Schedule 4 Adjustments'!$A109)</f>
        <v>0</v>
      </c>
      <c r="N109" s="380">
        <f t="shared" si="15"/>
        <v>0</v>
      </c>
      <c r="O109" s="410">
        <v>1.04</v>
      </c>
      <c r="P109" s="47">
        <f t="shared" si="16"/>
        <v>0</v>
      </c>
      <c r="Q109" s="378">
        <f t="shared" si="17"/>
        <v>0</v>
      </c>
      <c r="R109" s="21">
        <f t="shared" si="11"/>
        <v>117.6492640835569</v>
      </c>
      <c r="S109" s="376">
        <f t="shared" si="18"/>
        <v>117.6492640835569</v>
      </c>
    </row>
    <row r="110" spans="1:19" s="22" customFormat="1" x14ac:dyDescent="0.35">
      <c r="A110" s="19">
        <v>98</v>
      </c>
      <c r="B110" s="19">
        <v>99441</v>
      </c>
      <c r="C110" s="20" t="s">
        <v>382</v>
      </c>
      <c r="D110" s="116">
        <f>'As-Filed Schedule 4'!D110</f>
        <v>26</v>
      </c>
      <c r="E110" s="388">
        <f>SUMIFS(Adjustments!$G:$G,Adjustments!$H:$H,"4",Adjustments!$I:$I,'Schedule 4 Adjustments'!$D$14,Adjustments!$J:$J,'Schedule 4 Adjustments'!$A110)</f>
        <v>0</v>
      </c>
      <c r="F110" s="380">
        <f t="shared" si="12"/>
        <v>26</v>
      </c>
      <c r="G110" s="410">
        <v>1.69</v>
      </c>
      <c r="H110" s="47">
        <f t="shared" si="19"/>
        <v>43.94</v>
      </c>
      <c r="I110" s="378">
        <f t="shared" si="13"/>
        <v>43.94</v>
      </c>
      <c r="J110" s="21">
        <f t="shared" si="10"/>
        <v>191.18005413577993</v>
      </c>
      <c r="K110" s="376">
        <f t="shared" si="14"/>
        <v>191.18005413577993</v>
      </c>
      <c r="L110" s="150">
        <f>'As-Filed Schedule 4'!H110</f>
        <v>3</v>
      </c>
      <c r="M110" s="388">
        <f>SUMIFS(Adjustments!$G:$G,Adjustments!$H:$H,"4",Adjustments!$I:$I,'Schedule 4 Adjustments'!$L$14,Adjustments!$J:$J,'Schedule 4 Adjustments'!$A110)</f>
        <v>0</v>
      </c>
      <c r="N110" s="380">
        <f t="shared" si="15"/>
        <v>3</v>
      </c>
      <c r="O110" s="410">
        <v>1.04</v>
      </c>
      <c r="P110" s="47">
        <f t="shared" si="16"/>
        <v>3.12</v>
      </c>
      <c r="Q110" s="378">
        <f t="shared" si="17"/>
        <v>3.12</v>
      </c>
      <c r="R110" s="21">
        <f t="shared" si="11"/>
        <v>117.6492640835569</v>
      </c>
      <c r="S110" s="376">
        <f t="shared" si="18"/>
        <v>117.6492640835569</v>
      </c>
    </row>
    <row r="111" spans="1:19" s="22" customFormat="1" x14ac:dyDescent="0.35">
      <c r="A111" s="19">
        <v>99</v>
      </c>
      <c r="B111" s="19">
        <v>99442</v>
      </c>
      <c r="C111" s="20" t="s">
        <v>383</v>
      </c>
      <c r="D111" s="116">
        <f>'As-Filed Schedule 4'!D111</f>
        <v>8</v>
      </c>
      <c r="E111" s="388">
        <f>SUMIFS(Adjustments!$G:$G,Adjustments!$H:$H,"4",Adjustments!$I:$I,'Schedule 4 Adjustments'!$D$14,Adjustments!$J:$J,'Schedule 4 Adjustments'!$A111)</f>
        <v>0</v>
      </c>
      <c r="F111" s="380">
        <f t="shared" si="12"/>
        <v>8</v>
      </c>
      <c r="G111" s="410">
        <v>2.72</v>
      </c>
      <c r="H111" s="47">
        <f t="shared" si="19"/>
        <v>21.76</v>
      </c>
      <c r="I111" s="378">
        <f t="shared" si="13"/>
        <v>21.76</v>
      </c>
      <c r="J111" s="21">
        <f t="shared" si="10"/>
        <v>307.69807529545648</v>
      </c>
      <c r="K111" s="376">
        <f t="shared" si="14"/>
        <v>307.69807529545648</v>
      </c>
      <c r="L111" s="150">
        <f>'As-Filed Schedule 4'!H111</f>
        <v>2</v>
      </c>
      <c r="M111" s="388">
        <f>SUMIFS(Adjustments!$G:$G,Adjustments!$H:$H,"4",Adjustments!$I:$I,'Schedule 4 Adjustments'!$L$14,Adjustments!$J:$J,'Schedule 4 Adjustments'!$A111)</f>
        <v>0</v>
      </c>
      <c r="N111" s="380">
        <f t="shared" si="15"/>
        <v>2</v>
      </c>
      <c r="O111" s="410">
        <v>1.95</v>
      </c>
      <c r="P111" s="47">
        <f t="shared" si="16"/>
        <v>3.9</v>
      </c>
      <c r="Q111" s="378">
        <f t="shared" si="17"/>
        <v>3.9</v>
      </c>
      <c r="R111" s="21">
        <f t="shared" si="11"/>
        <v>220.59237015666918</v>
      </c>
      <c r="S111" s="376">
        <f t="shared" si="18"/>
        <v>220.59237015666918</v>
      </c>
    </row>
    <row r="112" spans="1:19" s="22" customFormat="1" x14ac:dyDescent="0.35">
      <c r="A112" s="19">
        <v>100</v>
      </c>
      <c r="B112" s="19">
        <v>99443</v>
      </c>
      <c r="C112" s="20" t="s">
        <v>384</v>
      </c>
      <c r="D112" s="116">
        <f>'As-Filed Schedule 4'!D112</f>
        <v>3</v>
      </c>
      <c r="E112" s="388">
        <f>SUMIFS(Adjustments!$G:$G,Adjustments!$H:$H,"4",Adjustments!$I:$I,'Schedule 4 Adjustments'!$D$14,Adjustments!$J:$J,'Schedule 4 Adjustments'!$A112)</f>
        <v>0</v>
      </c>
      <c r="F112" s="380">
        <f t="shared" si="12"/>
        <v>3</v>
      </c>
      <c r="G112" s="410">
        <v>3.85</v>
      </c>
      <c r="H112" s="47">
        <f t="shared" si="19"/>
        <v>11.55</v>
      </c>
      <c r="I112" s="378">
        <f t="shared" si="13"/>
        <v>11.55</v>
      </c>
      <c r="J112" s="21">
        <f t="shared" si="10"/>
        <v>435.52852569393656</v>
      </c>
      <c r="K112" s="376">
        <f t="shared" si="14"/>
        <v>435.52852569393656</v>
      </c>
      <c r="L112" s="150">
        <f>'As-Filed Schedule 4'!H112</f>
        <v>1</v>
      </c>
      <c r="M112" s="388">
        <f>SUMIFS(Adjustments!$G:$G,Adjustments!$H:$H,"4",Adjustments!$I:$I,'Schedule 4 Adjustments'!$L$14,Adjustments!$J:$J,'Schedule 4 Adjustments'!$A112)</f>
        <v>0</v>
      </c>
      <c r="N112" s="380">
        <f t="shared" si="15"/>
        <v>1</v>
      </c>
      <c r="O112" s="410">
        <v>2.89</v>
      </c>
      <c r="P112" s="47">
        <f t="shared" si="16"/>
        <v>2.89</v>
      </c>
      <c r="Q112" s="378">
        <f t="shared" si="17"/>
        <v>2.89</v>
      </c>
      <c r="R112" s="21">
        <f t="shared" si="11"/>
        <v>326.92920500142253</v>
      </c>
      <c r="S112" s="376">
        <f t="shared" si="18"/>
        <v>326.92920500142253</v>
      </c>
    </row>
    <row r="113" spans="1:19" s="22" customFormat="1" ht="34.5" customHeight="1" x14ac:dyDescent="0.35">
      <c r="A113" s="19">
        <v>101</v>
      </c>
      <c r="B113" s="19" t="s">
        <v>42</v>
      </c>
      <c r="C113" s="20" t="s">
        <v>385</v>
      </c>
      <c r="D113" s="116">
        <f>'As-Filed Schedule 4'!D113</f>
        <v>0</v>
      </c>
      <c r="E113" s="388">
        <f>SUMIFS(Adjustments!$G:$G,Adjustments!$H:$H,"4",Adjustments!$I:$I,'Schedule 4 Adjustments'!$D$14,Adjustments!$J:$J,'Schedule 4 Adjustments'!$A113)</f>
        <v>0</v>
      </c>
      <c r="F113" s="380">
        <f t="shared" si="12"/>
        <v>0</v>
      </c>
      <c r="G113" s="410">
        <v>1.27</v>
      </c>
      <c r="H113" s="47">
        <f t="shared" si="19"/>
        <v>0</v>
      </c>
      <c r="I113" s="378">
        <f t="shared" si="13"/>
        <v>0</v>
      </c>
      <c r="J113" s="21">
        <f t="shared" si="10"/>
        <v>143.66785133280504</v>
      </c>
      <c r="K113" s="376">
        <f t="shared" si="14"/>
        <v>143.66785133280504</v>
      </c>
      <c r="L113" s="150">
        <f>'As-Filed Schedule 4'!H113</f>
        <v>0</v>
      </c>
      <c r="M113" s="388">
        <f>SUMIFS(Adjustments!$G:$G,Adjustments!$H:$H,"4",Adjustments!$I:$I,'Schedule 4 Adjustments'!$L$14,Adjustments!$J:$J,'Schedule 4 Adjustments'!$A113)</f>
        <v>0</v>
      </c>
      <c r="N113" s="380">
        <f t="shared" si="15"/>
        <v>0</v>
      </c>
      <c r="O113" s="410">
        <v>1.1100000000000001</v>
      </c>
      <c r="P113" s="47">
        <f t="shared" si="16"/>
        <v>0</v>
      </c>
      <c r="Q113" s="378">
        <f t="shared" si="17"/>
        <v>0</v>
      </c>
      <c r="R113" s="21">
        <f t="shared" si="11"/>
        <v>125.56796455071938</v>
      </c>
      <c r="S113" s="376">
        <f t="shared" si="18"/>
        <v>125.56796455071938</v>
      </c>
    </row>
    <row r="114" spans="1:19" s="22" customFormat="1" ht="29" x14ac:dyDescent="0.35">
      <c r="A114" s="19">
        <v>102</v>
      </c>
      <c r="B114" s="19" t="s">
        <v>43</v>
      </c>
      <c r="C114" s="20" t="s">
        <v>386</v>
      </c>
      <c r="D114" s="116">
        <f>'As-Filed Schedule 4'!D114</f>
        <v>0</v>
      </c>
      <c r="E114" s="388">
        <f>SUMIFS(Adjustments!$G:$G,Adjustments!$H:$H,"4",Adjustments!$I:$I,'Schedule 4 Adjustments'!$D$14,Adjustments!$J:$J,'Schedule 4 Adjustments'!$A114)</f>
        <v>0</v>
      </c>
      <c r="F114" s="380">
        <f t="shared" si="12"/>
        <v>0</v>
      </c>
      <c r="G114" s="410">
        <v>0.75</v>
      </c>
      <c r="H114" s="47">
        <f t="shared" si="19"/>
        <v>0</v>
      </c>
      <c r="I114" s="378">
        <f t="shared" si="13"/>
        <v>0</v>
      </c>
      <c r="J114" s="21">
        <f t="shared" si="10"/>
        <v>84.8432192910266</v>
      </c>
      <c r="K114" s="376">
        <f t="shared" si="14"/>
        <v>84.8432192910266</v>
      </c>
      <c r="L114" s="150">
        <f>'As-Filed Schedule 4'!H114</f>
        <v>0</v>
      </c>
      <c r="M114" s="388">
        <f>SUMIFS(Adjustments!$G:$G,Adjustments!$H:$H,"4",Adjustments!$I:$I,'Schedule 4 Adjustments'!$L$14,Adjustments!$J:$J,'Schedule 4 Adjustments'!$A114)</f>
        <v>0</v>
      </c>
      <c r="N114" s="380">
        <f t="shared" si="15"/>
        <v>0</v>
      </c>
      <c r="O114" s="410">
        <v>0.37</v>
      </c>
      <c r="P114" s="47">
        <f t="shared" si="16"/>
        <v>0</v>
      </c>
      <c r="Q114" s="378">
        <f t="shared" si="17"/>
        <v>0</v>
      </c>
      <c r="R114" s="21">
        <f t="shared" si="11"/>
        <v>41.855988183573125</v>
      </c>
      <c r="S114" s="376">
        <f t="shared" si="18"/>
        <v>41.855988183573125</v>
      </c>
    </row>
    <row r="115" spans="1:19" s="22" customFormat="1" x14ac:dyDescent="0.35">
      <c r="A115" s="19">
        <v>103</v>
      </c>
      <c r="B115" s="19" t="s">
        <v>44</v>
      </c>
      <c r="C115" s="20" t="s">
        <v>129</v>
      </c>
      <c r="D115" s="116">
        <f>'As-Filed Schedule 4'!D115</f>
        <v>2</v>
      </c>
      <c r="E115" s="388">
        <f>SUMIFS(Adjustments!$G:$G,Adjustments!$H:$H,"4",Adjustments!$I:$I,'Schedule 4 Adjustments'!$D$14,Adjustments!$J:$J,'Schedule 4 Adjustments'!$A115)</f>
        <v>0</v>
      </c>
      <c r="F115" s="380">
        <f t="shared" si="12"/>
        <v>2</v>
      </c>
      <c r="G115" s="410">
        <v>5.17</v>
      </c>
      <c r="H115" s="47">
        <f t="shared" si="19"/>
        <v>10.34</v>
      </c>
      <c r="I115" s="378">
        <f t="shared" si="13"/>
        <v>10.34</v>
      </c>
      <c r="J115" s="21">
        <f t="shared" si="10"/>
        <v>584.85259164614342</v>
      </c>
      <c r="K115" s="376">
        <f t="shared" si="14"/>
        <v>584.85259164614342</v>
      </c>
      <c r="L115" s="150">
        <f>'As-Filed Schedule 4'!H115</f>
        <v>27</v>
      </c>
      <c r="M115" s="388">
        <f>SUMIFS(Adjustments!$G:$G,Adjustments!$H:$H,"4",Adjustments!$I:$I,'Schedule 4 Adjustments'!$L$14,Adjustments!$J:$J,'Schedule 4 Adjustments'!$A115)</f>
        <v>0</v>
      </c>
      <c r="N115" s="380">
        <f t="shared" si="15"/>
        <v>27</v>
      </c>
      <c r="O115" s="410">
        <v>4.43</v>
      </c>
      <c r="P115" s="47">
        <f t="shared" si="16"/>
        <v>119.60999999999999</v>
      </c>
      <c r="Q115" s="378">
        <f t="shared" si="17"/>
        <v>119.60999999999999</v>
      </c>
      <c r="R115" s="21">
        <f t="shared" si="11"/>
        <v>501.14061527899713</v>
      </c>
      <c r="S115" s="376">
        <f t="shared" si="18"/>
        <v>501.14061527899713</v>
      </c>
    </row>
    <row r="116" spans="1:19" s="22" customFormat="1" x14ac:dyDescent="0.35">
      <c r="A116" s="19">
        <v>104</v>
      </c>
      <c r="B116" s="19" t="s">
        <v>45</v>
      </c>
      <c r="C116" s="20" t="s">
        <v>387</v>
      </c>
      <c r="D116" s="116">
        <f>'As-Filed Schedule 4'!D116</f>
        <v>2628</v>
      </c>
      <c r="E116" s="388">
        <f>SUMIFS(Adjustments!$G:$G,Adjustments!$H:$H,"4",Adjustments!$I:$I,'Schedule 4 Adjustments'!$D$14,Adjustments!$J:$J,'Schedule 4 Adjustments'!$A116)</f>
        <v>0</v>
      </c>
      <c r="F116" s="380">
        <f t="shared" si="12"/>
        <v>2628</v>
      </c>
      <c r="G116" s="410">
        <v>0.72</v>
      </c>
      <c r="H116" s="47">
        <f t="shared" si="19"/>
        <v>1892.1599999999999</v>
      </c>
      <c r="I116" s="378">
        <f t="shared" si="13"/>
        <v>1892.1599999999999</v>
      </c>
      <c r="J116" s="21">
        <f t="shared" si="10"/>
        <v>81.449490519385535</v>
      </c>
      <c r="K116" s="376">
        <f t="shared" si="14"/>
        <v>81.449490519385535</v>
      </c>
      <c r="L116" s="150">
        <f>'As-Filed Schedule 4'!H116</f>
        <v>7912</v>
      </c>
      <c r="M116" s="388">
        <f>SUMIFS(Adjustments!$G:$G,Adjustments!$H:$H,"4",Adjustments!$I:$I,'Schedule 4 Adjustments'!$L$14,Adjustments!$J:$J,'Schedule 4 Adjustments'!$A116)</f>
        <v>0</v>
      </c>
      <c r="N116" s="380">
        <f t="shared" si="15"/>
        <v>7912</v>
      </c>
      <c r="O116" s="410">
        <v>0.66</v>
      </c>
      <c r="P116" s="47">
        <f t="shared" si="16"/>
        <v>5221.92</v>
      </c>
      <c r="Q116" s="378">
        <f t="shared" si="17"/>
        <v>5221.92</v>
      </c>
      <c r="R116" s="21">
        <f t="shared" si="11"/>
        <v>74.662032976103418</v>
      </c>
      <c r="S116" s="376">
        <f t="shared" si="18"/>
        <v>74.662032976103418</v>
      </c>
    </row>
    <row r="117" spans="1:19" s="22" customFormat="1" ht="29" x14ac:dyDescent="0.35">
      <c r="A117" s="19">
        <v>105</v>
      </c>
      <c r="B117" s="19" t="s">
        <v>19</v>
      </c>
      <c r="C117" s="20" t="s">
        <v>39</v>
      </c>
      <c r="D117" s="116">
        <f>'As-Filed Schedule 4'!D117</f>
        <v>0</v>
      </c>
      <c r="E117" s="388">
        <f>SUMIFS(Adjustments!$G:$G,Adjustments!$H:$H,"4",Adjustments!$I:$I,'Schedule 4 Adjustments'!$D$14,Adjustments!$J:$J,'Schedule 4 Adjustments'!$A117)</f>
        <v>0</v>
      </c>
      <c r="F117" s="380">
        <f t="shared" si="12"/>
        <v>0</v>
      </c>
      <c r="G117" s="410">
        <v>0</v>
      </c>
      <c r="H117" s="47">
        <f t="shared" si="19"/>
        <v>0</v>
      </c>
      <c r="I117" s="378">
        <f t="shared" si="13"/>
        <v>0</v>
      </c>
      <c r="J117" s="21">
        <f t="shared" si="10"/>
        <v>0</v>
      </c>
      <c r="K117" s="376">
        <f t="shared" si="14"/>
        <v>0</v>
      </c>
      <c r="L117" s="150">
        <f>'As-Filed Schedule 4'!H117</f>
        <v>0</v>
      </c>
      <c r="M117" s="388">
        <f>SUMIFS(Adjustments!$G:$G,Adjustments!$H:$H,"4",Adjustments!$I:$I,'Schedule 4 Adjustments'!$L$14,Adjustments!$J:$J,'Schedule 4 Adjustments'!$A117)</f>
        <v>0</v>
      </c>
      <c r="N117" s="380">
        <f t="shared" si="15"/>
        <v>0</v>
      </c>
      <c r="O117" s="410">
        <v>0</v>
      </c>
      <c r="P117" s="47">
        <f t="shared" si="16"/>
        <v>0</v>
      </c>
      <c r="Q117" s="378">
        <f t="shared" si="17"/>
        <v>0</v>
      </c>
      <c r="R117" s="21">
        <f t="shared" si="11"/>
        <v>0</v>
      </c>
      <c r="S117" s="376">
        <f t="shared" si="18"/>
        <v>0</v>
      </c>
    </row>
    <row r="118" spans="1:19" s="22" customFormat="1" x14ac:dyDescent="0.35">
      <c r="A118" s="19">
        <v>106</v>
      </c>
      <c r="B118" s="19" t="s">
        <v>46</v>
      </c>
      <c r="C118" s="20" t="s">
        <v>130</v>
      </c>
      <c r="D118" s="116">
        <f>'As-Filed Schedule 4'!D118</f>
        <v>11980</v>
      </c>
      <c r="E118" s="388">
        <f>SUMIFS(Adjustments!$G:$G,Adjustments!$H:$H,"4",Adjustments!$I:$I,'Schedule 4 Adjustments'!$D$14,Adjustments!$J:$J,'Schedule 4 Adjustments'!$A118)</f>
        <v>0</v>
      </c>
      <c r="F118" s="380">
        <f t="shared" si="12"/>
        <v>11980</v>
      </c>
      <c r="G118" s="410">
        <v>1.18</v>
      </c>
      <c r="H118" s="47">
        <f t="shared" si="19"/>
        <v>14136.4</v>
      </c>
      <c r="I118" s="378">
        <f t="shared" si="13"/>
        <v>14136.4</v>
      </c>
      <c r="J118" s="21">
        <f t="shared" si="10"/>
        <v>133.48666501788185</v>
      </c>
      <c r="K118" s="376">
        <f t="shared" si="14"/>
        <v>133.48666501788185</v>
      </c>
      <c r="L118" s="150">
        <f>'As-Filed Schedule 4'!H118</f>
        <v>13463</v>
      </c>
      <c r="M118" s="388">
        <f>SUMIFS(Adjustments!$G:$G,Adjustments!$H:$H,"4",Adjustments!$I:$I,'Schedule 4 Adjustments'!$L$14,Adjustments!$J:$J,'Schedule 4 Adjustments'!$A118)</f>
        <v>0</v>
      </c>
      <c r="N118" s="380">
        <f t="shared" si="15"/>
        <v>13463</v>
      </c>
      <c r="O118" s="410">
        <v>1.03</v>
      </c>
      <c r="P118" s="47">
        <f t="shared" si="16"/>
        <v>13866.890000000001</v>
      </c>
      <c r="Q118" s="378">
        <f t="shared" si="17"/>
        <v>13866.890000000001</v>
      </c>
      <c r="R118" s="21">
        <f t="shared" si="11"/>
        <v>116.51802115967654</v>
      </c>
      <c r="S118" s="376">
        <f t="shared" si="18"/>
        <v>116.51802115967654</v>
      </c>
    </row>
    <row r="119" spans="1:19" s="22" customFormat="1" x14ac:dyDescent="0.35">
      <c r="A119" s="19">
        <v>107</v>
      </c>
      <c r="B119" s="19" t="s">
        <v>47</v>
      </c>
      <c r="C119" s="20" t="s">
        <v>131</v>
      </c>
      <c r="D119" s="116">
        <f>'As-Filed Schedule 4'!D119</f>
        <v>2087</v>
      </c>
      <c r="E119" s="388">
        <f>SUMIFS(Adjustments!$G:$G,Adjustments!$H:$H,"4",Adjustments!$I:$I,'Schedule 4 Adjustments'!$D$14,Adjustments!$J:$J,'Schedule 4 Adjustments'!$A119)</f>
        <v>0</v>
      </c>
      <c r="F119" s="380">
        <f t="shared" si="12"/>
        <v>2087</v>
      </c>
      <c r="G119" s="410">
        <v>0.83</v>
      </c>
      <c r="H119" s="47">
        <f t="shared" si="19"/>
        <v>1732.2099999999998</v>
      </c>
      <c r="I119" s="378">
        <f t="shared" si="13"/>
        <v>1732.2099999999998</v>
      </c>
      <c r="J119" s="21">
        <f t="shared" si="10"/>
        <v>93.893162682069431</v>
      </c>
      <c r="K119" s="376">
        <f t="shared" si="14"/>
        <v>93.893162682069431</v>
      </c>
      <c r="L119" s="150">
        <f>'As-Filed Schedule 4'!H119</f>
        <v>3739</v>
      </c>
      <c r="M119" s="388">
        <f>SUMIFS(Adjustments!$G:$G,Adjustments!$H:$H,"4",Adjustments!$I:$I,'Schedule 4 Adjustments'!$L$14,Adjustments!$J:$J,'Schedule 4 Adjustments'!$A119)</f>
        <v>0</v>
      </c>
      <c r="N119" s="380">
        <f t="shared" si="15"/>
        <v>3739</v>
      </c>
      <c r="O119" s="410">
        <v>0.72</v>
      </c>
      <c r="P119" s="47">
        <f t="shared" si="16"/>
        <v>2692.08</v>
      </c>
      <c r="Q119" s="378">
        <f t="shared" si="17"/>
        <v>2692.08</v>
      </c>
      <c r="R119" s="21">
        <f t="shared" si="11"/>
        <v>81.449490519385535</v>
      </c>
      <c r="S119" s="376">
        <f t="shared" si="18"/>
        <v>81.449490519385535</v>
      </c>
    </row>
    <row r="120" spans="1:19" s="22" customFormat="1" x14ac:dyDescent="0.35">
      <c r="A120" s="19">
        <v>108</v>
      </c>
      <c r="B120" s="19" t="s">
        <v>48</v>
      </c>
      <c r="C120" s="20" t="s">
        <v>132</v>
      </c>
      <c r="D120" s="116">
        <f>'As-Filed Schedule 4'!D120</f>
        <v>45</v>
      </c>
      <c r="E120" s="388">
        <f>SUMIFS(Adjustments!$G:$G,Adjustments!$H:$H,"4",Adjustments!$I:$I,'Schedule 4 Adjustments'!$D$14,Adjustments!$J:$J,'Schedule 4 Adjustments'!$A120)</f>
        <v>0</v>
      </c>
      <c r="F120" s="380">
        <f t="shared" si="12"/>
        <v>45</v>
      </c>
      <c r="G120" s="410">
        <v>0.64</v>
      </c>
      <c r="H120" s="47">
        <f t="shared" si="19"/>
        <v>28.8</v>
      </c>
      <c r="I120" s="378">
        <f t="shared" si="13"/>
        <v>28.8</v>
      </c>
      <c r="J120" s="21">
        <f t="shared" si="10"/>
        <v>72.399547128342704</v>
      </c>
      <c r="K120" s="376">
        <f t="shared" si="14"/>
        <v>72.399547128342704</v>
      </c>
      <c r="L120" s="150">
        <f>'As-Filed Schedule 4'!H120</f>
        <v>246</v>
      </c>
      <c r="M120" s="388">
        <f>SUMIFS(Adjustments!$G:$G,Adjustments!$H:$H,"4",Adjustments!$I:$I,'Schedule 4 Adjustments'!$L$14,Adjustments!$J:$J,'Schedule 4 Adjustments'!$A120)</f>
        <v>0</v>
      </c>
      <c r="N120" s="380">
        <f t="shared" si="15"/>
        <v>246</v>
      </c>
      <c r="O120" s="410">
        <v>0.6</v>
      </c>
      <c r="P120" s="47">
        <f t="shared" si="16"/>
        <v>147.6</v>
      </c>
      <c r="Q120" s="378">
        <f t="shared" si="17"/>
        <v>147.6</v>
      </c>
      <c r="R120" s="21">
        <f t="shared" si="11"/>
        <v>67.874575432821274</v>
      </c>
      <c r="S120" s="376">
        <f t="shared" si="18"/>
        <v>67.874575432821274</v>
      </c>
    </row>
    <row r="121" spans="1:19" s="22" customFormat="1" x14ac:dyDescent="0.35">
      <c r="A121" s="19">
        <v>109</v>
      </c>
      <c r="B121" s="19" t="s">
        <v>21</v>
      </c>
      <c r="C121" s="20" t="s">
        <v>24</v>
      </c>
      <c r="D121" s="116">
        <f>'As-Filed Schedule 4'!D121</f>
        <v>0</v>
      </c>
      <c r="E121" s="388">
        <f>SUMIFS(Adjustments!$G:$G,Adjustments!$H:$H,"4",Adjustments!$I:$I,'Schedule 4 Adjustments'!$D$14,Adjustments!$J:$J,'Schedule 4 Adjustments'!$A121)</f>
        <v>0</v>
      </c>
      <c r="F121" s="380">
        <f t="shared" si="12"/>
        <v>0</v>
      </c>
      <c r="G121" s="410">
        <v>0</v>
      </c>
      <c r="H121" s="47">
        <f t="shared" si="19"/>
        <v>0</v>
      </c>
      <c r="I121" s="378">
        <f t="shared" si="13"/>
        <v>0</v>
      </c>
      <c r="J121" s="21">
        <f t="shared" si="10"/>
        <v>0</v>
      </c>
      <c r="K121" s="376">
        <f t="shared" si="14"/>
        <v>0</v>
      </c>
      <c r="L121" s="150">
        <f>'As-Filed Schedule 4'!H121</f>
        <v>0</v>
      </c>
      <c r="M121" s="388">
        <f>SUMIFS(Adjustments!$G:$G,Adjustments!$H:$H,"4",Adjustments!$I:$I,'Schedule 4 Adjustments'!$L$14,Adjustments!$J:$J,'Schedule 4 Adjustments'!$A121)</f>
        <v>0</v>
      </c>
      <c r="N121" s="380">
        <f t="shared" si="15"/>
        <v>0</v>
      </c>
      <c r="O121" s="410">
        <v>0</v>
      </c>
      <c r="P121" s="47">
        <f t="shared" si="16"/>
        <v>0</v>
      </c>
      <c r="Q121" s="378">
        <f t="shared" si="17"/>
        <v>0</v>
      </c>
      <c r="R121" s="21">
        <f t="shared" si="11"/>
        <v>0</v>
      </c>
      <c r="S121" s="376">
        <f t="shared" si="18"/>
        <v>0</v>
      </c>
    </row>
    <row r="122" spans="1:19" s="22" customFormat="1" ht="29" x14ac:dyDescent="0.35">
      <c r="A122" s="19">
        <v>110</v>
      </c>
      <c r="B122" s="19" t="s">
        <v>49</v>
      </c>
      <c r="C122" s="20" t="s">
        <v>388</v>
      </c>
      <c r="D122" s="116">
        <f>'As-Filed Schedule 4'!D122</f>
        <v>0</v>
      </c>
      <c r="E122" s="388">
        <f>SUMIFS(Adjustments!$G:$G,Adjustments!$H:$H,"4",Adjustments!$I:$I,'Schedule 4 Adjustments'!$D$14,Adjustments!$J:$J,'Schedule 4 Adjustments'!$A122)</f>
        <v>0</v>
      </c>
      <c r="F122" s="380">
        <f t="shared" si="12"/>
        <v>0</v>
      </c>
      <c r="G122" s="410">
        <v>0</v>
      </c>
      <c r="H122" s="47">
        <f t="shared" si="19"/>
        <v>0</v>
      </c>
      <c r="I122" s="378">
        <f t="shared" si="13"/>
        <v>0</v>
      </c>
      <c r="J122" s="21">
        <f t="shared" si="10"/>
        <v>0</v>
      </c>
      <c r="K122" s="376">
        <f t="shared" si="14"/>
        <v>0</v>
      </c>
      <c r="L122" s="150">
        <f>'As-Filed Schedule 4'!H122</f>
        <v>0</v>
      </c>
      <c r="M122" s="388">
        <f>SUMIFS(Adjustments!$G:$G,Adjustments!$H:$H,"4",Adjustments!$I:$I,'Schedule 4 Adjustments'!$L$14,Adjustments!$J:$J,'Schedule 4 Adjustments'!$A122)</f>
        <v>0</v>
      </c>
      <c r="N122" s="380">
        <f t="shared" si="15"/>
        <v>0</v>
      </c>
      <c r="O122" s="410">
        <v>0</v>
      </c>
      <c r="P122" s="47">
        <f t="shared" si="16"/>
        <v>0</v>
      </c>
      <c r="Q122" s="378">
        <f t="shared" si="17"/>
        <v>0</v>
      </c>
      <c r="R122" s="21">
        <f t="shared" si="11"/>
        <v>0</v>
      </c>
      <c r="S122" s="376">
        <f t="shared" si="18"/>
        <v>0</v>
      </c>
    </row>
    <row r="123" spans="1:19" s="22" customFormat="1" ht="29" x14ac:dyDescent="0.35">
      <c r="A123" s="19">
        <v>111</v>
      </c>
      <c r="B123" s="19" t="s">
        <v>33</v>
      </c>
      <c r="C123" s="20" t="s">
        <v>389</v>
      </c>
      <c r="D123" s="116">
        <f>'As-Filed Schedule 4'!D123</f>
        <v>0</v>
      </c>
      <c r="E123" s="388">
        <f>SUMIFS(Adjustments!$G:$G,Adjustments!$H:$H,"4",Adjustments!$I:$I,'Schedule 4 Adjustments'!$D$14,Adjustments!$J:$J,'Schedule 4 Adjustments'!$A123)</f>
        <v>0</v>
      </c>
      <c r="F123" s="380">
        <f t="shared" si="12"/>
        <v>0</v>
      </c>
      <c r="G123" s="410">
        <v>0</v>
      </c>
      <c r="H123" s="47">
        <f t="shared" si="19"/>
        <v>0</v>
      </c>
      <c r="I123" s="378">
        <f t="shared" si="13"/>
        <v>0</v>
      </c>
      <c r="J123" s="21">
        <f t="shared" si="10"/>
        <v>0</v>
      </c>
      <c r="K123" s="376">
        <f t="shared" si="14"/>
        <v>0</v>
      </c>
      <c r="L123" s="150">
        <f>'As-Filed Schedule 4'!H123</f>
        <v>0</v>
      </c>
      <c r="M123" s="388">
        <f>SUMIFS(Adjustments!$G:$G,Adjustments!$H:$H,"4",Adjustments!$I:$I,'Schedule 4 Adjustments'!$L$14,Adjustments!$J:$J,'Schedule 4 Adjustments'!$A123)</f>
        <v>0</v>
      </c>
      <c r="N123" s="380">
        <f t="shared" si="15"/>
        <v>0</v>
      </c>
      <c r="O123" s="410">
        <v>0</v>
      </c>
      <c r="P123" s="47">
        <f t="shared" si="16"/>
        <v>0</v>
      </c>
      <c r="Q123" s="378">
        <f t="shared" si="17"/>
        <v>0</v>
      </c>
      <c r="R123" s="21">
        <f t="shared" si="11"/>
        <v>0</v>
      </c>
      <c r="S123" s="376">
        <f t="shared" si="18"/>
        <v>0</v>
      </c>
    </row>
    <row r="124" spans="1:19" s="22" customFormat="1" x14ac:dyDescent="0.35">
      <c r="A124" s="19">
        <v>112</v>
      </c>
      <c r="B124" s="19" t="s">
        <v>50</v>
      </c>
      <c r="C124" s="20" t="s">
        <v>390</v>
      </c>
      <c r="D124" s="116">
        <f>'As-Filed Schedule 4'!D124</f>
        <v>0</v>
      </c>
      <c r="E124" s="388">
        <f>SUMIFS(Adjustments!$G:$G,Adjustments!$H:$H,"4",Adjustments!$I:$I,'Schedule 4 Adjustments'!$D$14,Adjustments!$J:$J,'Schedule 4 Adjustments'!$A124)</f>
        <v>0</v>
      </c>
      <c r="F124" s="380">
        <f t="shared" si="12"/>
        <v>0</v>
      </c>
      <c r="G124" s="410">
        <v>2.64</v>
      </c>
      <c r="H124" s="47">
        <f t="shared" si="19"/>
        <v>0</v>
      </c>
      <c r="I124" s="378">
        <f t="shared" si="13"/>
        <v>0</v>
      </c>
      <c r="J124" s="21">
        <f t="shared" si="10"/>
        <v>298.64813190441367</v>
      </c>
      <c r="K124" s="376">
        <f t="shared" si="14"/>
        <v>298.64813190441367</v>
      </c>
      <c r="L124" s="150">
        <f>'As-Filed Schedule 4'!H124</f>
        <v>0</v>
      </c>
      <c r="M124" s="388">
        <f>SUMIFS(Adjustments!$G:$G,Adjustments!$H:$H,"4",Adjustments!$I:$I,'Schedule 4 Adjustments'!$L$14,Adjustments!$J:$J,'Schedule 4 Adjustments'!$A124)</f>
        <v>0</v>
      </c>
      <c r="N124" s="380">
        <f t="shared" si="15"/>
        <v>0</v>
      </c>
      <c r="O124" s="410">
        <v>2.64</v>
      </c>
      <c r="P124" s="47">
        <f t="shared" si="16"/>
        <v>0</v>
      </c>
      <c r="Q124" s="378">
        <f t="shared" si="17"/>
        <v>0</v>
      </c>
      <c r="R124" s="21">
        <f t="shared" si="11"/>
        <v>298.64813190441367</v>
      </c>
      <c r="S124" s="376">
        <f t="shared" si="18"/>
        <v>298.64813190441367</v>
      </c>
    </row>
    <row r="125" spans="1:19" s="22" customFormat="1" x14ac:dyDescent="0.35">
      <c r="A125" s="19">
        <v>113</v>
      </c>
      <c r="B125" s="19" t="s">
        <v>51</v>
      </c>
      <c r="C125" s="20" t="s">
        <v>133</v>
      </c>
      <c r="D125" s="116">
        <f>'As-Filed Schedule 4'!D125</f>
        <v>0</v>
      </c>
      <c r="E125" s="388">
        <f>SUMIFS(Adjustments!$G:$G,Adjustments!$H:$H,"4",Adjustments!$I:$I,'Schedule 4 Adjustments'!$D$14,Adjustments!$J:$J,'Schedule 4 Adjustments'!$A125)</f>
        <v>0</v>
      </c>
      <c r="F125" s="380">
        <f t="shared" si="12"/>
        <v>0</v>
      </c>
      <c r="G125" s="410">
        <v>0</v>
      </c>
      <c r="H125" s="47">
        <f t="shared" si="19"/>
        <v>0</v>
      </c>
      <c r="I125" s="378">
        <f t="shared" si="13"/>
        <v>0</v>
      </c>
      <c r="J125" s="21">
        <f t="shared" si="10"/>
        <v>0</v>
      </c>
      <c r="K125" s="376">
        <f t="shared" si="14"/>
        <v>0</v>
      </c>
      <c r="L125" s="150">
        <f>'As-Filed Schedule 4'!H125</f>
        <v>1986</v>
      </c>
      <c r="M125" s="388">
        <f>SUMIFS(Adjustments!$G:$G,Adjustments!$H:$H,"4",Adjustments!$I:$I,'Schedule 4 Adjustments'!$L$14,Adjustments!$J:$J,'Schedule 4 Adjustments'!$A125)</f>
        <v>0</v>
      </c>
      <c r="N125" s="380">
        <f t="shared" si="15"/>
        <v>1986</v>
      </c>
      <c r="O125" s="410">
        <v>0</v>
      </c>
      <c r="P125" s="47">
        <f t="shared" si="16"/>
        <v>0</v>
      </c>
      <c r="Q125" s="378">
        <f t="shared" si="17"/>
        <v>0</v>
      </c>
      <c r="R125" s="21">
        <f t="shared" si="11"/>
        <v>0</v>
      </c>
      <c r="S125" s="376">
        <f t="shared" si="18"/>
        <v>0</v>
      </c>
    </row>
    <row r="126" spans="1:19" s="22" customFormat="1" x14ac:dyDescent="0.35">
      <c r="A126" s="19">
        <v>114</v>
      </c>
      <c r="B126" s="19" t="s">
        <v>52</v>
      </c>
      <c r="C126" s="20" t="s">
        <v>134</v>
      </c>
      <c r="D126" s="116">
        <f>'As-Filed Schedule 4'!D126</f>
        <v>0</v>
      </c>
      <c r="E126" s="388">
        <f>SUMIFS(Adjustments!$G:$G,Adjustments!$H:$H,"4",Adjustments!$I:$I,'Schedule 4 Adjustments'!$D$14,Adjustments!$J:$J,'Schedule 4 Adjustments'!$A126)</f>
        <v>0</v>
      </c>
      <c r="F126" s="380">
        <f t="shared" si="12"/>
        <v>0</v>
      </c>
      <c r="G126" s="410">
        <v>0</v>
      </c>
      <c r="H126" s="47">
        <f t="shared" si="19"/>
        <v>0</v>
      </c>
      <c r="I126" s="378">
        <f t="shared" si="13"/>
        <v>0</v>
      </c>
      <c r="J126" s="21">
        <f t="shared" si="10"/>
        <v>0</v>
      </c>
      <c r="K126" s="376">
        <f t="shared" si="14"/>
        <v>0</v>
      </c>
      <c r="L126" s="150">
        <f>'As-Filed Schedule 4'!H126</f>
        <v>0</v>
      </c>
      <c r="M126" s="388">
        <f>SUMIFS(Adjustments!$G:$G,Adjustments!$H:$H,"4",Adjustments!$I:$I,'Schedule 4 Adjustments'!$L$14,Adjustments!$J:$J,'Schedule 4 Adjustments'!$A126)</f>
        <v>0</v>
      </c>
      <c r="N126" s="380">
        <f t="shared" si="15"/>
        <v>0</v>
      </c>
      <c r="O126" s="410">
        <v>0</v>
      </c>
      <c r="P126" s="47">
        <f t="shared" si="16"/>
        <v>0</v>
      </c>
      <c r="Q126" s="378">
        <f t="shared" si="17"/>
        <v>0</v>
      </c>
      <c r="R126" s="21">
        <f t="shared" si="11"/>
        <v>0</v>
      </c>
      <c r="S126" s="376">
        <f t="shared" si="18"/>
        <v>0</v>
      </c>
    </row>
    <row r="127" spans="1:19" s="22" customFormat="1" x14ac:dyDescent="0.35">
      <c r="A127" s="19">
        <v>115</v>
      </c>
      <c r="B127" s="19" t="s">
        <v>53</v>
      </c>
      <c r="C127" s="20" t="s">
        <v>135</v>
      </c>
      <c r="D127" s="116">
        <f>'As-Filed Schedule 4'!D127</f>
        <v>0</v>
      </c>
      <c r="E127" s="388">
        <f>SUMIFS(Adjustments!$G:$G,Adjustments!$H:$H,"4",Adjustments!$I:$I,'Schedule 4 Adjustments'!$D$14,Adjustments!$J:$J,'Schedule 4 Adjustments'!$A127)</f>
        <v>0</v>
      </c>
      <c r="F127" s="380">
        <f t="shared" si="12"/>
        <v>0</v>
      </c>
      <c r="G127" s="410">
        <v>0</v>
      </c>
      <c r="H127" s="47">
        <f t="shared" si="19"/>
        <v>0</v>
      </c>
      <c r="I127" s="378">
        <f t="shared" si="13"/>
        <v>0</v>
      </c>
      <c r="J127" s="21">
        <f t="shared" si="10"/>
        <v>0</v>
      </c>
      <c r="K127" s="376">
        <f t="shared" si="14"/>
        <v>0</v>
      </c>
      <c r="L127" s="150">
        <f>'As-Filed Schedule 4'!H127</f>
        <v>0</v>
      </c>
      <c r="M127" s="388">
        <f>SUMIFS(Adjustments!$G:$G,Adjustments!$H:$H,"4",Adjustments!$I:$I,'Schedule 4 Adjustments'!$L$14,Adjustments!$J:$J,'Schedule 4 Adjustments'!$A127)</f>
        <v>0</v>
      </c>
      <c r="N127" s="380">
        <f t="shared" si="15"/>
        <v>0</v>
      </c>
      <c r="O127" s="410">
        <v>0</v>
      </c>
      <c r="P127" s="47">
        <f t="shared" si="16"/>
        <v>0</v>
      </c>
      <c r="Q127" s="378">
        <f t="shared" si="17"/>
        <v>0</v>
      </c>
      <c r="R127" s="21">
        <f t="shared" si="11"/>
        <v>0</v>
      </c>
      <c r="S127" s="376">
        <f t="shared" si="18"/>
        <v>0</v>
      </c>
    </row>
    <row r="128" spans="1:19" s="22" customFormat="1" ht="29" x14ac:dyDescent="0.35">
      <c r="A128" s="19">
        <v>116</v>
      </c>
      <c r="B128" s="19" t="s">
        <v>54</v>
      </c>
      <c r="C128" s="20" t="s">
        <v>391</v>
      </c>
      <c r="D128" s="116">
        <f>'As-Filed Schedule 4'!D128</f>
        <v>8185</v>
      </c>
      <c r="E128" s="388">
        <f>SUMIFS(Adjustments!$G:$G,Adjustments!$H:$H,"4",Adjustments!$I:$I,'Schedule 4 Adjustments'!$D$14,Adjustments!$J:$J,'Schedule 4 Adjustments'!$A128)</f>
        <v>0</v>
      </c>
      <c r="F128" s="380">
        <f t="shared" si="12"/>
        <v>8185</v>
      </c>
      <c r="G128" s="410">
        <v>1.02</v>
      </c>
      <c r="H128" s="47">
        <f t="shared" si="19"/>
        <v>8348.7000000000007</v>
      </c>
      <c r="I128" s="378">
        <f t="shared" si="13"/>
        <v>8348.7000000000007</v>
      </c>
      <c r="J128" s="21">
        <f t="shared" si="10"/>
        <v>115.38677823579619</v>
      </c>
      <c r="K128" s="376">
        <f t="shared" si="14"/>
        <v>115.38677823579619</v>
      </c>
      <c r="L128" s="150">
        <f>'As-Filed Schedule 4'!H128</f>
        <v>13709</v>
      </c>
      <c r="M128" s="388">
        <f>SUMIFS(Adjustments!$G:$G,Adjustments!$H:$H,"4",Adjustments!$I:$I,'Schedule 4 Adjustments'!$L$14,Adjustments!$J:$J,'Schedule 4 Adjustments'!$A128)</f>
        <v>0</v>
      </c>
      <c r="N128" s="380">
        <f t="shared" si="15"/>
        <v>13709</v>
      </c>
      <c r="O128" s="410">
        <v>0.94</v>
      </c>
      <c r="P128" s="47">
        <f t="shared" si="16"/>
        <v>12886.46</v>
      </c>
      <c r="Q128" s="378">
        <f t="shared" si="17"/>
        <v>12886.46</v>
      </c>
      <c r="R128" s="21">
        <f t="shared" si="11"/>
        <v>106.33683484475334</v>
      </c>
      <c r="S128" s="376">
        <f t="shared" si="18"/>
        <v>106.33683484475334</v>
      </c>
    </row>
    <row r="129" spans="1:19" s="22" customFormat="1" x14ac:dyDescent="0.35">
      <c r="A129" s="19">
        <v>117</v>
      </c>
      <c r="B129" s="19" t="s">
        <v>22</v>
      </c>
      <c r="C129" s="20" t="s">
        <v>25</v>
      </c>
      <c r="D129" s="116">
        <f>'As-Filed Schedule 4'!D129</f>
        <v>0</v>
      </c>
      <c r="E129" s="388">
        <f>SUMIFS(Adjustments!$G:$G,Adjustments!$H:$H,"4",Adjustments!$I:$I,'Schedule 4 Adjustments'!$D$14,Adjustments!$J:$J,'Schedule 4 Adjustments'!$A129)</f>
        <v>0</v>
      </c>
      <c r="F129" s="380">
        <f t="shared" si="12"/>
        <v>0</v>
      </c>
      <c r="G129" s="410">
        <v>0</v>
      </c>
      <c r="H129" s="47">
        <f t="shared" si="19"/>
        <v>0</v>
      </c>
      <c r="I129" s="378">
        <f t="shared" si="13"/>
        <v>0</v>
      </c>
      <c r="J129" s="21">
        <f t="shared" si="10"/>
        <v>0</v>
      </c>
      <c r="K129" s="376">
        <f t="shared" si="14"/>
        <v>0</v>
      </c>
      <c r="L129" s="150">
        <f>'As-Filed Schedule 4'!H129</f>
        <v>0</v>
      </c>
      <c r="M129" s="388">
        <f>SUMIFS(Adjustments!$G:$G,Adjustments!$H:$H,"4",Adjustments!$I:$I,'Schedule 4 Adjustments'!$L$14,Adjustments!$J:$J,'Schedule 4 Adjustments'!$A129)</f>
        <v>0</v>
      </c>
      <c r="N129" s="380">
        <f t="shared" si="15"/>
        <v>0</v>
      </c>
      <c r="O129" s="410">
        <v>0</v>
      </c>
      <c r="P129" s="47">
        <f t="shared" si="16"/>
        <v>0</v>
      </c>
      <c r="Q129" s="378">
        <f t="shared" si="17"/>
        <v>0</v>
      </c>
      <c r="R129" s="21">
        <f t="shared" si="11"/>
        <v>0</v>
      </c>
      <c r="S129" s="376">
        <f t="shared" si="18"/>
        <v>0</v>
      </c>
    </row>
    <row r="130" spans="1:19" s="22" customFormat="1" x14ac:dyDescent="0.35">
      <c r="A130" s="19">
        <v>118</v>
      </c>
      <c r="B130" s="19" t="s">
        <v>55</v>
      </c>
      <c r="C130" s="20" t="s">
        <v>392</v>
      </c>
      <c r="D130" s="116">
        <f>'As-Filed Schedule 4'!D130</f>
        <v>0</v>
      </c>
      <c r="E130" s="388">
        <f>SUMIFS(Adjustments!$G:$G,Adjustments!$H:$H,"4",Adjustments!$I:$I,'Schedule 4 Adjustments'!$D$14,Adjustments!$J:$J,'Schedule 4 Adjustments'!$A130)</f>
        <v>0</v>
      </c>
      <c r="F130" s="380">
        <f t="shared" si="12"/>
        <v>0</v>
      </c>
      <c r="G130" s="410">
        <v>0.12</v>
      </c>
      <c r="H130" s="47">
        <f t="shared" si="19"/>
        <v>0</v>
      </c>
      <c r="I130" s="378">
        <f t="shared" si="13"/>
        <v>0</v>
      </c>
      <c r="J130" s="21">
        <f t="shared" si="10"/>
        <v>13.574915086564255</v>
      </c>
      <c r="K130" s="376">
        <f t="shared" si="14"/>
        <v>13.574915086564255</v>
      </c>
      <c r="L130" s="150">
        <f>'As-Filed Schedule 4'!H130</f>
        <v>36122</v>
      </c>
      <c r="M130" s="388">
        <f>SUMIFS(Adjustments!$G:$G,Adjustments!$H:$H,"4",Adjustments!$I:$I,'Schedule 4 Adjustments'!$L$14,Adjustments!$J:$J,'Schedule 4 Adjustments'!$A130)</f>
        <v>0</v>
      </c>
      <c r="N130" s="380">
        <f t="shared" si="15"/>
        <v>36122</v>
      </c>
      <c r="O130" s="410">
        <v>0.09</v>
      </c>
      <c r="P130" s="47">
        <f t="shared" si="16"/>
        <v>3250.98</v>
      </c>
      <c r="Q130" s="378">
        <f t="shared" si="17"/>
        <v>3250.98</v>
      </c>
      <c r="R130" s="21">
        <f t="shared" si="11"/>
        <v>10.181186314923192</v>
      </c>
      <c r="S130" s="376">
        <f t="shared" si="18"/>
        <v>10.181186314923192</v>
      </c>
    </row>
    <row r="131" spans="1:19" s="22" customFormat="1" x14ac:dyDescent="0.35">
      <c r="A131" s="19">
        <v>119</v>
      </c>
      <c r="B131" s="19" t="s">
        <v>56</v>
      </c>
      <c r="C131" s="20" t="s">
        <v>393</v>
      </c>
      <c r="D131" s="116">
        <f>'As-Filed Schedule 4'!D131</f>
        <v>8597</v>
      </c>
      <c r="E131" s="388">
        <f>SUMIFS(Adjustments!$G:$G,Adjustments!$H:$H,"4",Adjustments!$I:$I,'Schedule 4 Adjustments'!$D$14,Adjustments!$J:$J,'Schedule 4 Adjustments'!$A131)</f>
        <v>0</v>
      </c>
      <c r="F131" s="380">
        <f t="shared" si="12"/>
        <v>8597</v>
      </c>
      <c r="G131" s="410">
        <v>0.59</v>
      </c>
      <c r="H131" s="47">
        <f t="shared" si="19"/>
        <v>5072.2299999999996</v>
      </c>
      <c r="I131" s="378">
        <f t="shared" si="13"/>
        <v>5072.2299999999996</v>
      </c>
      <c r="J131" s="21">
        <f t="shared" si="10"/>
        <v>66.743332508940924</v>
      </c>
      <c r="K131" s="376">
        <f t="shared" si="14"/>
        <v>66.743332508940924</v>
      </c>
      <c r="L131" s="150">
        <f>'As-Filed Schedule 4'!H131</f>
        <v>11088</v>
      </c>
      <c r="M131" s="388">
        <f>SUMIFS(Adjustments!$G:$G,Adjustments!$H:$H,"4",Adjustments!$I:$I,'Schedule 4 Adjustments'!$L$14,Adjustments!$J:$J,'Schedule 4 Adjustments'!$A131)</f>
        <v>0</v>
      </c>
      <c r="N131" s="380">
        <f t="shared" si="15"/>
        <v>11088</v>
      </c>
      <c r="O131" s="410">
        <v>0.55000000000000004</v>
      </c>
      <c r="P131" s="47">
        <f t="shared" si="16"/>
        <v>6098.4000000000005</v>
      </c>
      <c r="Q131" s="378">
        <f t="shared" si="17"/>
        <v>6098.4000000000005</v>
      </c>
      <c r="R131" s="21">
        <f t="shared" si="11"/>
        <v>62.218360813419515</v>
      </c>
      <c r="S131" s="376">
        <f t="shared" si="18"/>
        <v>62.218360813419515</v>
      </c>
    </row>
    <row r="132" spans="1:19" s="22" customFormat="1" ht="29" x14ac:dyDescent="0.35">
      <c r="A132" s="19">
        <v>120</v>
      </c>
      <c r="B132" s="19" t="s">
        <v>57</v>
      </c>
      <c r="C132" s="20" t="s">
        <v>136</v>
      </c>
      <c r="D132" s="116">
        <f>'As-Filed Schedule 4'!D132</f>
        <v>0</v>
      </c>
      <c r="E132" s="388">
        <f>SUMIFS(Adjustments!$G:$G,Adjustments!$H:$H,"4",Adjustments!$I:$I,'Schedule 4 Adjustments'!$D$14,Adjustments!$J:$J,'Schedule 4 Adjustments'!$A132)</f>
        <v>0</v>
      </c>
      <c r="F132" s="380">
        <f t="shared" si="12"/>
        <v>0</v>
      </c>
      <c r="G132" s="410">
        <v>0.75</v>
      </c>
      <c r="H132" s="47">
        <f t="shared" si="19"/>
        <v>0</v>
      </c>
      <c r="I132" s="378">
        <f t="shared" si="13"/>
        <v>0</v>
      </c>
      <c r="J132" s="21">
        <f t="shared" si="10"/>
        <v>84.8432192910266</v>
      </c>
      <c r="K132" s="376">
        <f t="shared" si="14"/>
        <v>84.8432192910266</v>
      </c>
      <c r="L132" s="150">
        <f>'As-Filed Schedule 4'!H132</f>
        <v>0</v>
      </c>
      <c r="M132" s="388">
        <f>SUMIFS(Adjustments!$G:$G,Adjustments!$H:$H,"4",Adjustments!$I:$I,'Schedule 4 Adjustments'!$L$14,Adjustments!$J:$J,'Schedule 4 Adjustments'!$A132)</f>
        <v>0</v>
      </c>
      <c r="N132" s="380">
        <f t="shared" si="15"/>
        <v>0</v>
      </c>
      <c r="O132" s="410">
        <v>0.37</v>
      </c>
      <c r="P132" s="47">
        <f t="shared" si="16"/>
        <v>0</v>
      </c>
      <c r="Q132" s="378">
        <f t="shared" si="17"/>
        <v>0</v>
      </c>
      <c r="R132" s="21">
        <f t="shared" si="11"/>
        <v>41.855988183573125</v>
      </c>
      <c r="S132" s="376">
        <f t="shared" si="18"/>
        <v>41.855988183573125</v>
      </c>
    </row>
    <row r="133" spans="1:19" s="22" customFormat="1" ht="29" x14ac:dyDescent="0.35">
      <c r="A133" s="19">
        <v>121</v>
      </c>
      <c r="B133" s="19" t="s">
        <v>58</v>
      </c>
      <c r="C133" s="20" t="s">
        <v>137</v>
      </c>
      <c r="D133" s="116">
        <f>'As-Filed Schedule 4'!D133</f>
        <v>0</v>
      </c>
      <c r="E133" s="388">
        <f>SUMIFS(Adjustments!$G:$G,Adjustments!$H:$H,"4",Adjustments!$I:$I,'Schedule 4 Adjustments'!$D$14,Adjustments!$J:$J,'Schedule 4 Adjustments'!$A133)</f>
        <v>0</v>
      </c>
      <c r="F133" s="380">
        <f t="shared" si="12"/>
        <v>0</v>
      </c>
      <c r="G133" s="410">
        <v>0.75</v>
      </c>
      <c r="H133" s="47">
        <f t="shared" si="19"/>
        <v>0</v>
      </c>
      <c r="I133" s="378">
        <f t="shared" si="13"/>
        <v>0</v>
      </c>
      <c r="J133" s="21">
        <f t="shared" si="10"/>
        <v>84.8432192910266</v>
      </c>
      <c r="K133" s="376">
        <f t="shared" si="14"/>
        <v>84.8432192910266</v>
      </c>
      <c r="L133" s="150">
        <f>'As-Filed Schedule 4'!H133</f>
        <v>7</v>
      </c>
      <c r="M133" s="388">
        <f>SUMIFS(Adjustments!$G:$G,Adjustments!$H:$H,"4",Adjustments!$I:$I,'Schedule 4 Adjustments'!$L$14,Adjustments!$J:$J,'Schedule 4 Adjustments'!$A133)</f>
        <v>0</v>
      </c>
      <c r="N133" s="380">
        <f t="shared" si="15"/>
        <v>7</v>
      </c>
      <c r="O133" s="410">
        <v>0.37</v>
      </c>
      <c r="P133" s="47">
        <f t="shared" si="16"/>
        <v>2.59</v>
      </c>
      <c r="Q133" s="378">
        <f t="shared" si="17"/>
        <v>2.59</v>
      </c>
      <c r="R133" s="21">
        <f t="shared" si="11"/>
        <v>41.855988183573125</v>
      </c>
      <c r="S133" s="376">
        <f t="shared" si="18"/>
        <v>41.855988183573125</v>
      </c>
    </row>
    <row r="134" spans="1:19" s="22" customFormat="1" ht="43.5" x14ac:dyDescent="0.35">
      <c r="A134" s="19">
        <v>122</v>
      </c>
      <c r="B134" s="19" t="s">
        <v>15</v>
      </c>
      <c r="C134" s="20" t="s">
        <v>18</v>
      </c>
      <c r="D134" s="116">
        <f>'As-Filed Schedule 4'!D134</f>
        <v>0</v>
      </c>
      <c r="E134" s="388">
        <f>SUMIFS(Adjustments!$G:$G,Adjustments!$H:$H,"4",Adjustments!$I:$I,'Schedule 4 Adjustments'!$D$14,Adjustments!$J:$J,'Schedule 4 Adjustments'!$A134)</f>
        <v>0</v>
      </c>
      <c r="F134" s="380">
        <f t="shared" si="12"/>
        <v>0</v>
      </c>
      <c r="G134" s="410">
        <v>0</v>
      </c>
      <c r="H134" s="47">
        <f t="shared" si="19"/>
        <v>0</v>
      </c>
      <c r="I134" s="378">
        <f t="shared" si="13"/>
        <v>0</v>
      </c>
      <c r="J134" s="21">
        <f t="shared" si="10"/>
        <v>0</v>
      </c>
      <c r="K134" s="376">
        <f t="shared" si="14"/>
        <v>0</v>
      </c>
      <c r="L134" s="150">
        <f>'As-Filed Schedule 4'!H134</f>
        <v>0</v>
      </c>
      <c r="M134" s="388">
        <f>SUMIFS(Adjustments!$G:$G,Adjustments!$H:$H,"4",Adjustments!$I:$I,'Schedule 4 Adjustments'!$L$14,Adjustments!$J:$J,'Schedule 4 Adjustments'!$A134)</f>
        <v>0</v>
      </c>
      <c r="N134" s="380">
        <f t="shared" si="15"/>
        <v>0</v>
      </c>
      <c r="O134" s="410">
        <v>0</v>
      </c>
      <c r="P134" s="47">
        <f t="shared" si="16"/>
        <v>0</v>
      </c>
      <c r="Q134" s="378">
        <f t="shared" si="17"/>
        <v>0</v>
      </c>
      <c r="R134" s="21">
        <f t="shared" si="11"/>
        <v>0</v>
      </c>
      <c r="S134" s="376">
        <f t="shared" si="18"/>
        <v>0</v>
      </c>
    </row>
    <row r="135" spans="1:19" s="22" customFormat="1" ht="29" x14ac:dyDescent="0.35">
      <c r="A135" s="19">
        <v>123</v>
      </c>
      <c r="B135" s="19" t="s">
        <v>16</v>
      </c>
      <c r="C135" s="20" t="s">
        <v>138</v>
      </c>
      <c r="D135" s="116">
        <f>'As-Filed Schedule 4'!D135</f>
        <v>0</v>
      </c>
      <c r="E135" s="388">
        <f>SUMIFS(Adjustments!$G:$G,Adjustments!$H:$H,"4",Adjustments!$I:$I,'Schedule 4 Adjustments'!$D$14,Adjustments!$J:$J,'Schedule 4 Adjustments'!$A135)</f>
        <v>0</v>
      </c>
      <c r="F135" s="380">
        <f t="shared" si="12"/>
        <v>0</v>
      </c>
      <c r="G135" s="410">
        <v>0</v>
      </c>
      <c r="H135" s="47">
        <f t="shared" si="19"/>
        <v>0</v>
      </c>
      <c r="I135" s="378">
        <f t="shared" si="13"/>
        <v>0</v>
      </c>
      <c r="J135" s="21">
        <f t="shared" si="10"/>
        <v>0</v>
      </c>
      <c r="K135" s="376">
        <f t="shared" si="14"/>
        <v>0</v>
      </c>
      <c r="L135" s="150">
        <f>'As-Filed Schedule 4'!H135</f>
        <v>0</v>
      </c>
      <c r="M135" s="388">
        <f>SUMIFS(Adjustments!$G:$G,Adjustments!$H:$H,"4",Adjustments!$I:$I,'Schedule 4 Adjustments'!$L$14,Adjustments!$J:$J,'Schedule 4 Adjustments'!$A135)</f>
        <v>0</v>
      </c>
      <c r="N135" s="380">
        <f t="shared" si="15"/>
        <v>0</v>
      </c>
      <c r="O135" s="410">
        <v>0</v>
      </c>
      <c r="P135" s="47">
        <f t="shared" si="16"/>
        <v>0</v>
      </c>
      <c r="Q135" s="378">
        <f t="shared" si="17"/>
        <v>0</v>
      </c>
      <c r="R135" s="21">
        <f t="shared" si="11"/>
        <v>0</v>
      </c>
      <c r="S135" s="376">
        <f t="shared" si="18"/>
        <v>0</v>
      </c>
    </row>
    <row r="136" spans="1:19" s="22" customFormat="1" ht="29" x14ac:dyDescent="0.35">
      <c r="A136" s="19">
        <v>124</v>
      </c>
      <c r="B136" s="19" t="s">
        <v>17</v>
      </c>
      <c r="C136" s="20" t="s">
        <v>139</v>
      </c>
      <c r="D136" s="116">
        <f>'As-Filed Schedule 4'!D136</f>
        <v>0</v>
      </c>
      <c r="E136" s="388">
        <f>SUMIFS(Adjustments!$G:$G,Adjustments!$H:$H,"4",Adjustments!$I:$I,'Schedule 4 Adjustments'!$D$14,Adjustments!$J:$J,'Schedule 4 Adjustments'!$A136)</f>
        <v>0</v>
      </c>
      <c r="F136" s="380">
        <f t="shared" si="12"/>
        <v>0</v>
      </c>
      <c r="G136" s="410">
        <v>0</v>
      </c>
      <c r="H136" s="47">
        <f t="shared" si="19"/>
        <v>0</v>
      </c>
      <c r="I136" s="378">
        <f t="shared" si="13"/>
        <v>0</v>
      </c>
      <c r="J136" s="21">
        <f t="shared" si="10"/>
        <v>0</v>
      </c>
      <c r="K136" s="376">
        <f t="shared" si="14"/>
        <v>0</v>
      </c>
      <c r="L136" s="150">
        <f>'As-Filed Schedule 4'!H136</f>
        <v>0</v>
      </c>
      <c r="M136" s="388">
        <f>SUMIFS(Adjustments!$G:$G,Adjustments!$H:$H,"4",Adjustments!$I:$I,'Schedule 4 Adjustments'!$L$14,Adjustments!$J:$J,'Schedule 4 Adjustments'!$A136)</f>
        <v>0</v>
      </c>
      <c r="N136" s="380">
        <f t="shared" si="15"/>
        <v>0</v>
      </c>
      <c r="O136" s="410">
        <v>0</v>
      </c>
      <c r="P136" s="47">
        <f t="shared" si="16"/>
        <v>0</v>
      </c>
      <c r="Q136" s="378">
        <f t="shared" si="17"/>
        <v>0</v>
      </c>
      <c r="R136" s="21">
        <f t="shared" si="11"/>
        <v>0</v>
      </c>
      <c r="S136" s="376">
        <f t="shared" si="18"/>
        <v>0</v>
      </c>
    </row>
    <row r="137" spans="1:19" s="22" customFormat="1" x14ac:dyDescent="0.35">
      <c r="A137" s="19">
        <v>125</v>
      </c>
      <c r="B137" s="19" t="s">
        <v>23</v>
      </c>
      <c r="C137" s="20" t="s">
        <v>140</v>
      </c>
      <c r="D137" s="116">
        <f>'As-Filed Schedule 4'!D137</f>
        <v>0</v>
      </c>
      <c r="E137" s="388">
        <f>SUMIFS(Adjustments!$G:$G,Adjustments!$H:$H,"4",Adjustments!$I:$I,'Schedule 4 Adjustments'!$D$14,Adjustments!$J:$J,'Schedule 4 Adjustments'!$A137)</f>
        <v>0</v>
      </c>
      <c r="F137" s="380">
        <f t="shared" si="12"/>
        <v>0</v>
      </c>
      <c r="G137" s="410">
        <v>0</v>
      </c>
      <c r="H137" s="47">
        <f t="shared" si="19"/>
        <v>0</v>
      </c>
      <c r="I137" s="378">
        <f t="shared" si="13"/>
        <v>0</v>
      </c>
      <c r="J137" s="21">
        <f t="shared" si="10"/>
        <v>0</v>
      </c>
      <c r="K137" s="376">
        <f t="shared" si="14"/>
        <v>0</v>
      </c>
      <c r="L137" s="150">
        <f>'As-Filed Schedule 4'!H137</f>
        <v>0</v>
      </c>
      <c r="M137" s="388">
        <f>SUMIFS(Adjustments!$G:$G,Adjustments!$H:$H,"4",Adjustments!$I:$I,'Schedule 4 Adjustments'!$L$14,Adjustments!$J:$J,'Schedule 4 Adjustments'!$A137)</f>
        <v>0</v>
      </c>
      <c r="N137" s="380">
        <f t="shared" si="15"/>
        <v>0</v>
      </c>
      <c r="O137" s="410">
        <v>0</v>
      </c>
      <c r="P137" s="47">
        <f t="shared" si="16"/>
        <v>0</v>
      </c>
      <c r="Q137" s="378">
        <f t="shared" si="17"/>
        <v>0</v>
      </c>
      <c r="R137" s="21">
        <f t="shared" si="11"/>
        <v>0</v>
      </c>
      <c r="S137" s="376">
        <f t="shared" si="18"/>
        <v>0</v>
      </c>
    </row>
    <row r="138" spans="1:19" s="22" customFormat="1" x14ac:dyDescent="0.35">
      <c r="A138" s="19">
        <v>126</v>
      </c>
      <c r="B138" s="19" t="s">
        <v>59</v>
      </c>
      <c r="C138" s="20" t="s">
        <v>395</v>
      </c>
      <c r="D138" s="116">
        <f>'As-Filed Schedule 4'!D138</f>
        <v>45</v>
      </c>
      <c r="E138" s="388">
        <f>SUMIFS(Adjustments!$G:$G,Adjustments!$H:$H,"4",Adjustments!$I:$I,'Schedule 4 Adjustments'!$D$14,Adjustments!$J:$J,'Schedule 4 Adjustments'!$A138)</f>
        <v>0</v>
      </c>
      <c r="F138" s="380">
        <f t="shared" si="12"/>
        <v>45</v>
      </c>
      <c r="G138" s="410">
        <v>3.27</v>
      </c>
      <c r="H138" s="47">
        <f t="shared" si="19"/>
        <v>147.15</v>
      </c>
      <c r="I138" s="378">
        <f t="shared" si="13"/>
        <v>147.15</v>
      </c>
      <c r="J138" s="21">
        <f t="shared" si="10"/>
        <v>369.91643610887598</v>
      </c>
      <c r="K138" s="376">
        <f t="shared" si="14"/>
        <v>369.91643610887598</v>
      </c>
      <c r="L138" s="150">
        <f>'As-Filed Schedule 4'!H138</f>
        <v>60</v>
      </c>
      <c r="M138" s="388">
        <f>SUMIFS(Adjustments!$G:$G,Adjustments!$H:$H,"4",Adjustments!$I:$I,'Schedule 4 Adjustments'!$L$14,Adjustments!$J:$J,'Schedule 4 Adjustments'!$A138)</f>
        <v>0</v>
      </c>
      <c r="N138" s="380">
        <f t="shared" si="15"/>
        <v>60</v>
      </c>
      <c r="O138" s="410">
        <v>2.17</v>
      </c>
      <c r="P138" s="47">
        <f t="shared" si="16"/>
        <v>130.19999999999999</v>
      </c>
      <c r="Q138" s="378">
        <f t="shared" si="17"/>
        <v>130.19999999999999</v>
      </c>
      <c r="R138" s="21">
        <f t="shared" si="11"/>
        <v>245.47971448203697</v>
      </c>
      <c r="S138" s="376">
        <f t="shared" si="18"/>
        <v>245.47971448203697</v>
      </c>
    </row>
    <row r="139" spans="1:19" s="22" customFormat="1" x14ac:dyDescent="0.35">
      <c r="A139" s="19">
        <v>127</v>
      </c>
      <c r="B139" s="19" t="s">
        <v>60</v>
      </c>
      <c r="C139" s="20" t="s">
        <v>394</v>
      </c>
      <c r="D139" s="116">
        <f>'As-Filed Schedule 4'!D139</f>
        <v>2913</v>
      </c>
      <c r="E139" s="388">
        <f>SUMIFS(Adjustments!$G:$G,Adjustments!$H:$H,"4",Adjustments!$I:$I,'Schedule 4 Adjustments'!$D$14,Adjustments!$J:$J,'Schedule 4 Adjustments'!$A139)</f>
        <v>0</v>
      </c>
      <c r="F139" s="380">
        <f t="shared" si="12"/>
        <v>2913</v>
      </c>
      <c r="G139" s="410">
        <v>1.1499999999999999</v>
      </c>
      <c r="H139" s="47">
        <f t="shared" si="19"/>
        <v>3349.95</v>
      </c>
      <c r="I139" s="378">
        <f t="shared" si="13"/>
        <v>3349.95</v>
      </c>
      <c r="J139" s="21">
        <f t="shared" si="10"/>
        <v>130.09293624624078</v>
      </c>
      <c r="K139" s="376">
        <f t="shared" si="14"/>
        <v>130.09293624624078</v>
      </c>
      <c r="L139" s="150">
        <f>'As-Filed Schedule 4'!H139</f>
        <v>7313</v>
      </c>
      <c r="M139" s="388">
        <f>SUMIFS(Adjustments!$G:$G,Adjustments!$H:$H,"4",Adjustments!$I:$I,'Schedule 4 Adjustments'!$L$14,Adjustments!$J:$J,'Schedule 4 Adjustments'!$A139)</f>
        <v>0</v>
      </c>
      <c r="N139" s="380">
        <f t="shared" si="15"/>
        <v>7313</v>
      </c>
      <c r="O139" s="410">
        <v>0.7</v>
      </c>
      <c r="P139" s="47">
        <f t="shared" si="16"/>
        <v>5119.0999999999995</v>
      </c>
      <c r="Q139" s="378">
        <f t="shared" si="17"/>
        <v>5119.0999999999995</v>
      </c>
      <c r="R139" s="21">
        <f t="shared" si="11"/>
        <v>79.18700467162482</v>
      </c>
      <c r="S139" s="376">
        <f t="shared" si="18"/>
        <v>79.18700467162482</v>
      </c>
    </row>
    <row r="140" spans="1:19" s="22" customFormat="1" x14ac:dyDescent="0.35">
      <c r="A140" s="19">
        <v>128</v>
      </c>
      <c r="B140" s="19" t="s">
        <v>61</v>
      </c>
      <c r="C140" s="20" t="s">
        <v>141</v>
      </c>
      <c r="D140" s="116">
        <f>'As-Filed Schedule 4'!D140</f>
        <v>5798</v>
      </c>
      <c r="E140" s="388">
        <f>SUMIFS(Adjustments!$G:$G,Adjustments!$H:$H,"4",Adjustments!$I:$I,'Schedule 4 Adjustments'!$D$14,Adjustments!$J:$J,'Schedule 4 Adjustments'!$A140)</f>
        <v>0</v>
      </c>
      <c r="F140" s="380">
        <f t="shared" si="12"/>
        <v>5798</v>
      </c>
      <c r="G140" s="410">
        <v>0.44</v>
      </c>
      <c r="H140" s="47">
        <f t="shared" si="19"/>
        <v>2551.12</v>
      </c>
      <c r="I140" s="378">
        <f t="shared" si="13"/>
        <v>2551.12</v>
      </c>
      <c r="J140" s="21">
        <f t="shared" si="10"/>
        <v>49.774688650735605</v>
      </c>
      <c r="K140" s="376">
        <f t="shared" si="14"/>
        <v>49.774688650735605</v>
      </c>
      <c r="L140" s="150">
        <f>'As-Filed Schedule 4'!H140</f>
        <v>30</v>
      </c>
      <c r="M140" s="388">
        <f>SUMIFS(Adjustments!$G:$G,Adjustments!$H:$H,"4",Adjustments!$I:$I,'Schedule 4 Adjustments'!$L$14,Adjustments!$J:$J,'Schedule 4 Adjustments'!$A140)</f>
        <v>0</v>
      </c>
      <c r="N140" s="380">
        <f t="shared" si="15"/>
        <v>30</v>
      </c>
      <c r="O140" s="410">
        <v>0.44</v>
      </c>
      <c r="P140" s="47">
        <f t="shared" si="16"/>
        <v>13.2</v>
      </c>
      <c r="Q140" s="378">
        <f t="shared" si="17"/>
        <v>13.2</v>
      </c>
      <c r="R140" s="21">
        <f t="shared" si="11"/>
        <v>49.774688650735605</v>
      </c>
      <c r="S140" s="376">
        <f t="shared" si="18"/>
        <v>49.774688650735605</v>
      </c>
    </row>
    <row r="141" spans="1:19" s="22" customFormat="1" x14ac:dyDescent="0.35">
      <c r="A141" s="19">
        <v>129</v>
      </c>
      <c r="B141" s="19" t="s">
        <v>62</v>
      </c>
      <c r="C141" s="20" t="s">
        <v>396</v>
      </c>
      <c r="D141" s="116">
        <f>'As-Filed Schedule 4'!D141</f>
        <v>3637</v>
      </c>
      <c r="E141" s="388">
        <f>SUMIFS(Adjustments!$G:$G,Adjustments!$H:$H,"4",Adjustments!$I:$I,'Schedule 4 Adjustments'!$D$14,Adjustments!$J:$J,'Schedule 4 Adjustments'!$A141)</f>
        <v>0</v>
      </c>
      <c r="F141" s="380">
        <f t="shared" si="12"/>
        <v>3637</v>
      </c>
      <c r="G141" s="410">
        <v>0.92</v>
      </c>
      <c r="H141" s="47">
        <f t="shared" si="19"/>
        <v>3346.04</v>
      </c>
      <c r="I141" s="378">
        <f t="shared" si="13"/>
        <v>3346.04</v>
      </c>
      <c r="J141" s="21">
        <f t="shared" si="10"/>
        <v>104.07434899699264</v>
      </c>
      <c r="K141" s="376">
        <f t="shared" si="14"/>
        <v>104.07434899699264</v>
      </c>
      <c r="L141" s="150">
        <f>'As-Filed Schedule 4'!H141</f>
        <v>16974</v>
      </c>
      <c r="M141" s="388">
        <f>SUMIFS(Adjustments!$G:$G,Adjustments!$H:$H,"4",Adjustments!$I:$I,'Schedule 4 Adjustments'!$L$14,Adjustments!$J:$J,'Schedule 4 Adjustments'!$A141)</f>
        <v>0</v>
      </c>
      <c r="N141" s="380">
        <f t="shared" si="15"/>
        <v>16974</v>
      </c>
      <c r="O141" s="410">
        <v>0.92</v>
      </c>
      <c r="P141" s="47">
        <f t="shared" si="16"/>
        <v>15616.08</v>
      </c>
      <c r="Q141" s="378">
        <f t="shared" si="17"/>
        <v>15616.08</v>
      </c>
      <c r="R141" s="21">
        <f t="shared" si="11"/>
        <v>104.07434899699264</v>
      </c>
      <c r="S141" s="376">
        <f t="shared" si="18"/>
        <v>104.07434899699264</v>
      </c>
    </row>
    <row r="142" spans="1:19" s="22" customFormat="1" x14ac:dyDescent="0.35">
      <c r="A142" s="19">
        <v>130</v>
      </c>
      <c r="B142" s="19" t="s">
        <v>63</v>
      </c>
      <c r="C142" s="20" t="s">
        <v>397</v>
      </c>
      <c r="D142" s="116">
        <f>'As-Filed Schedule 4'!D142</f>
        <v>0</v>
      </c>
      <c r="E142" s="388">
        <f>SUMIFS(Adjustments!$G:$G,Adjustments!$H:$H,"4",Adjustments!$I:$I,'Schedule 4 Adjustments'!$D$14,Adjustments!$J:$J,'Schedule 4 Adjustments'!$A142)</f>
        <v>0</v>
      </c>
      <c r="F142" s="380">
        <f t="shared" si="12"/>
        <v>0</v>
      </c>
      <c r="G142" s="410">
        <v>5.28</v>
      </c>
      <c r="H142" s="47">
        <f t="shared" si="19"/>
        <v>0</v>
      </c>
      <c r="I142" s="378">
        <f t="shared" si="13"/>
        <v>0</v>
      </c>
      <c r="J142" s="21">
        <f t="shared" si="10"/>
        <v>597.29626380882735</v>
      </c>
      <c r="K142" s="376">
        <f t="shared" si="14"/>
        <v>597.29626380882735</v>
      </c>
      <c r="L142" s="150">
        <f>'As-Filed Schedule 4'!H142</f>
        <v>0</v>
      </c>
      <c r="M142" s="388">
        <f>SUMIFS(Adjustments!$G:$G,Adjustments!$H:$H,"4",Adjustments!$I:$I,'Schedule 4 Adjustments'!$L$14,Adjustments!$J:$J,'Schedule 4 Adjustments'!$A142)</f>
        <v>0</v>
      </c>
      <c r="N142" s="380">
        <f t="shared" si="15"/>
        <v>0</v>
      </c>
      <c r="O142" s="410">
        <v>5.28</v>
      </c>
      <c r="P142" s="47">
        <f t="shared" si="16"/>
        <v>0</v>
      </c>
      <c r="Q142" s="378">
        <f t="shared" si="17"/>
        <v>0</v>
      </c>
      <c r="R142" s="21">
        <f t="shared" si="11"/>
        <v>597.29626380882735</v>
      </c>
      <c r="S142" s="376">
        <f t="shared" si="18"/>
        <v>597.29626380882735</v>
      </c>
    </row>
    <row r="143" spans="1:19" s="22" customFormat="1" x14ac:dyDescent="0.35">
      <c r="A143" s="19">
        <v>131</v>
      </c>
      <c r="B143" s="19" t="s">
        <v>64</v>
      </c>
      <c r="C143" s="20" t="s">
        <v>399</v>
      </c>
      <c r="D143" s="116">
        <f>'As-Filed Schedule 4'!D143</f>
        <v>1953</v>
      </c>
      <c r="E143" s="388">
        <f>SUMIFS(Adjustments!$G:$G,Adjustments!$H:$H,"4",Adjustments!$I:$I,'Schedule 4 Adjustments'!$D$14,Adjustments!$J:$J,'Schedule 4 Adjustments'!$A143)</f>
        <v>0</v>
      </c>
      <c r="F143" s="380">
        <f t="shared" si="12"/>
        <v>1953</v>
      </c>
      <c r="G143" s="410">
        <v>0.44</v>
      </c>
      <c r="H143" s="47">
        <f t="shared" si="19"/>
        <v>859.32</v>
      </c>
      <c r="I143" s="378">
        <f t="shared" si="13"/>
        <v>859.32</v>
      </c>
      <c r="J143" s="21">
        <f t="shared" si="10"/>
        <v>49.774688650735605</v>
      </c>
      <c r="K143" s="376">
        <f t="shared" si="14"/>
        <v>49.774688650735605</v>
      </c>
      <c r="L143" s="150">
        <f>'As-Filed Schedule 4'!H143</f>
        <v>374</v>
      </c>
      <c r="M143" s="388">
        <f>SUMIFS(Adjustments!$G:$G,Adjustments!$H:$H,"4",Adjustments!$I:$I,'Schedule 4 Adjustments'!$L$14,Adjustments!$J:$J,'Schedule 4 Adjustments'!$A143)</f>
        <v>0</v>
      </c>
      <c r="N143" s="380">
        <f t="shared" si="15"/>
        <v>374</v>
      </c>
      <c r="O143" s="410">
        <v>0.44</v>
      </c>
      <c r="P143" s="47">
        <f t="shared" si="16"/>
        <v>164.56</v>
      </c>
      <c r="Q143" s="378">
        <f t="shared" si="17"/>
        <v>164.56</v>
      </c>
      <c r="R143" s="21">
        <f t="shared" si="11"/>
        <v>49.774688650735605</v>
      </c>
      <c r="S143" s="376">
        <f t="shared" si="18"/>
        <v>49.774688650735605</v>
      </c>
    </row>
    <row r="144" spans="1:19" s="22" customFormat="1" x14ac:dyDescent="0.35">
      <c r="A144" s="19">
        <v>132</v>
      </c>
      <c r="B144" s="19" t="s">
        <v>65</v>
      </c>
      <c r="C144" s="20" t="s">
        <v>398</v>
      </c>
      <c r="D144" s="116">
        <f>'As-Filed Schedule 4'!D144</f>
        <v>0</v>
      </c>
      <c r="E144" s="388">
        <f>SUMIFS(Adjustments!$G:$G,Adjustments!$H:$H,"4",Adjustments!$I:$I,'Schedule 4 Adjustments'!$D$14,Adjustments!$J:$J,'Schedule 4 Adjustments'!$A144)</f>
        <v>0</v>
      </c>
      <c r="F144" s="380">
        <f t="shared" si="12"/>
        <v>0</v>
      </c>
      <c r="G144" s="410">
        <v>5.28</v>
      </c>
      <c r="H144" s="47">
        <f t="shared" si="19"/>
        <v>0</v>
      </c>
      <c r="I144" s="378">
        <f t="shared" si="13"/>
        <v>0</v>
      </c>
      <c r="J144" s="21">
        <f t="shared" si="10"/>
        <v>597.29626380882735</v>
      </c>
      <c r="K144" s="376">
        <f t="shared" si="14"/>
        <v>597.29626380882735</v>
      </c>
      <c r="L144" s="150">
        <f>'As-Filed Schedule 4'!H144</f>
        <v>0</v>
      </c>
      <c r="M144" s="388">
        <f>SUMIFS(Adjustments!$G:$G,Adjustments!$H:$H,"4",Adjustments!$I:$I,'Schedule 4 Adjustments'!$L$14,Adjustments!$J:$J,'Schedule 4 Adjustments'!$A144)</f>
        <v>0</v>
      </c>
      <c r="N144" s="380">
        <f t="shared" si="15"/>
        <v>0</v>
      </c>
      <c r="O144" s="410">
        <v>5.28</v>
      </c>
      <c r="P144" s="47">
        <f t="shared" si="16"/>
        <v>0</v>
      </c>
      <c r="Q144" s="378">
        <f t="shared" si="17"/>
        <v>0</v>
      </c>
      <c r="R144" s="21">
        <f t="shared" si="11"/>
        <v>597.29626380882735</v>
      </c>
      <c r="S144" s="376">
        <f t="shared" si="18"/>
        <v>597.29626380882735</v>
      </c>
    </row>
    <row r="145" spans="1:19" s="22" customFormat="1" x14ac:dyDescent="0.35">
      <c r="A145" s="19">
        <v>133</v>
      </c>
      <c r="B145" s="19" t="s">
        <v>66</v>
      </c>
      <c r="C145" s="20" t="s">
        <v>142</v>
      </c>
      <c r="D145" s="116">
        <f>'As-Filed Schedule 4'!D145</f>
        <v>1645</v>
      </c>
      <c r="E145" s="388">
        <f>SUMIFS(Adjustments!$G:$G,Adjustments!$H:$H,"4",Adjustments!$I:$I,'Schedule 4 Adjustments'!$D$14,Adjustments!$J:$J,'Schedule 4 Adjustments'!$A145)</f>
        <v>0</v>
      </c>
      <c r="F145" s="380">
        <f t="shared" si="12"/>
        <v>1645</v>
      </c>
      <c r="G145" s="410">
        <v>0.54</v>
      </c>
      <c r="H145" s="47">
        <f t="shared" si="19"/>
        <v>888.30000000000007</v>
      </c>
      <c r="I145" s="378">
        <f t="shared" si="13"/>
        <v>888.30000000000007</v>
      </c>
      <c r="J145" s="21">
        <f t="shared" si="10"/>
        <v>61.087117889539158</v>
      </c>
      <c r="K145" s="376">
        <f t="shared" si="14"/>
        <v>61.087117889539158</v>
      </c>
      <c r="L145" s="150">
        <f>'As-Filed Schedule 4'!H145</f>
        <v>3952</v>
      </c>
      <c r="M145" s="388">
        <f>SUMIFS(Adjustments!$G:$G,Adjustments!$H:$H,"4",Adjustments!$I:$I,'Schedule 4 Adjustments'!$L$14,Adjustments!$J:$J,'Schedule 4 Adjustments'!$A145)</f>
        <v>0</v>
      </c>
      <c r="N145" s="380">
        <f t="shared" si="15"/>
        <v>3952</v>
      </c>
      <c r="O145" s="410">
        <v>0.54</v>
      </c>
      <c r="P145" s="47">
        <f t="shared" si="16"/>
        <v>2134.08</v>
      </c>
      <c r="Q145" s="378">
        <f t="shared" si="17"/>
        <v>2134.08</v>
      </c>
      <c r="R145" s="21">
        <f t="shared" si="11"/>
        <v>61.087117889539158</v>
      </c>
      <c r="S145" s="376">
        <f t="shared" si="18"/>
        <v>61.087117889539158</v>
      </c>
    </row>
    <row r="146" spans="1:19" s="22" customFormat="1" x14ac:dyDescent="0.35">
      <c r="A146" s="19">
        <v>134</v>
      </c>
      <c r="B146" s="19" t="s">
        <v>67</v>
      </c>
      <c r="C146" s="20" t="s">
        <v>400</v>
      </c>
      <c r="D146" s="116">
        <f>'As-Filed Schedule 4'!D146</f>
        <v>1629</v>
      </c>
      <c r="E146" s="388">
        <f>SUMIFS(Adjustments!$G:$G,Adjustments!$H:$H,"4",Adjustments!$I:$I,'Schedule 4 Adjustments'!$D$14,Adjustments!$J:$J,'Schedule 4 Adjustments'!$A146)</f>
        <v>0</v>
      </c>
      <c r="F146" s="380">
        <f t="shared" si="12"/>
        <v>1629</v>
      </c>
      <c r="G146" s="410">
        <v>1.29</v>
      </c>
      <c r="H146" s="47">
        <f t="shared" si="19"/>
        <v>2101.41</v>
      </c>
      <c r="I146" s="378">
        <f t="shared" si="13"/>
        <v>2101.41</v>
      </c>
      <c r="J146" s="21">
        <f t="shared" ref="J146:J196" si="20">G146*$H$12</f>
        <v>145.93033718056577</v>
      </c>
      <c r="K146" s="376">
        <f t="shared" si="14"/>
        <v>145.93033718056577</v>
      </c>
      <c r="L146" s="150">
        <f>'As-Filed Schedule 4'!H146</f>
        <v>261</v>
      </c>
      <c r="M146" s="388">
        <f>SUMIFS(Adjustments!$G:$G,Adjustments!$H:$H,"4",Adjustments!$I:$I,'Schedule 4 Adjustments'!$L$14,Adjustments!$J:$J,'Schedule 4 Adjustments'!$A146)</f>
        <v>0</v>
      </c>
      <c r="N146" s="380">
        <f t="shared" si="15"/>
        <v>261</v>
      </c>
      <c r="O146" s="410">
        <v>1.1299999999999999</v>
      </c>
      <c r="P146" s="47">
        <f t="shared" si="16"/>
        <v>294.92999999999995</v>
      </c>
      <c r="Q146" s="378">
        <f t="shared" si="17"/>
        <v>294.92999999999995</v>
      </c>
      <c r="R146" s="21">
        <f t="shared" ref="R146:R196" si="21">O146*$H$12</f>
        <v>127.83045039848007</v>
      </c>
      <c r="S146" s="376">
        <f t="shared" si="18"/>
        <v>127.83045039848007</v>
      </c>
    </row>
    <row r="147" spans="1:19" s="22" customFormat="1" x14ac:dyDescent="0.35">
      <c r="A147" s="19">
        <v>135</v>
      </c>
      <c r="B147" s="19" t="s">
        <v>68</v>
      </c>
      <c r="C147" s="20" t="s">
        <v>401</v>
      </c>
      <c r="D147" s="116">
        <f>'As-Filed Schedule 4'!D147</f>
        <v>1</v>
      </c>
      <c r="E147" s="388">
        <f>SUMIFS(Adjustments!$G:$G,Adjustments!$H:$H,"4",Adjustments!$I:$I,'Schedule 4 Adjustments'!$D$14,Adjustments!$J:$J,'Schedule 4 Adjustments'!$A147)</f>
        <v>0</v>
      </c>
      <c r="F147" s="380">
        <f t="shared" ref="F147:F196" si="22">SUM(D147:E147)</f>
        <v>1</v>
      </c>
      <c r="G147" s="410">
        <v>5.28</v>
      </c>
      <c r="H147" s="47">
        <f t="shared" si="19"/>
        <v>5.28</v>
      </c>
      <c r="I147" s="378">
        <f t="shared" ref="I147:I196" si="23">F147*G147</f>
        <v>5.28</v>
      </c>
      <c r="J147" s="21">
        <f t="shared" si="20"/>
        <v>597.29626380882735</v>
      </c>
      <c r="K147" s="376">
        <f t="shared" ref="K147:K196" si="24">G147*$I$12</f>
        <v>597.29626380882735</v>
      </c>
      <c r="L147" s="150">
        <f>'As-Filed Schedule 4'!H147</f>
        <v>0</v>
      </c>
      <c r="M147" s="388">
        <f>SUMIFS(Adjustments!$G:$G,Adjustments!$H:$H,"4",Adjustments!$I:$I,'Schedule 4 Adjustments'!$L$14,Adjustments!$J:$J,'Schedule 4 Adjustments'!$A147)</f>
        <v>0</v>
      </c>
      <c r="N147" s="380">
        <f t="shared" ref="N147:N196" si="25">SUM(L147:M147)</f>
        <v>0</v>
      </c>
      <c r="O147" s="410">
        <v>5.28</v>
      </c>
      <c r="P147" s="47">
        <f t="shared" ref="P147:P196" si="26">L147*O147</f>
        <v>0</v>
      </c>
      <c r="Q147" s="378">
        <f t="shared" ref="Q147:Q196" si="27">N147*O147</f>
        <v>0</v>
      </c>
      <c r="R147" s="21">
        <f t="shared" si="21"/>
        <v>597.29626380882735</v>
      </c>
      <c r="S147" s="376">
        <f t="shared" ref="S147:S196" si="28">O147*$I$12</f>
        <v>597.29626380882735</v>
      </c>
    </row>
    <row r="148" spans="1:19" s="22" customFormat="1" x14ac:dyDescent="0.35">
      <c r="A148" s="19">
        <v>136</v>
      </c>
      <c r="B148" s="19" t="s">
        <v>69</v>
      </c>
      <c r="C148" s="20" t="s">
        <v>402</v>
      </c>
      <c r="D148" s="116">
        <f>'As-Filed Schedule 4'!D148</f>
        <v>0</v>
      </c>
      <c r="E148" s="388">
        <f>SUMIFS(Adjustments!$G:$G,Adjustments!$H:$H,"4",Adjustments!$I:$I,'Schedule 4 Adjustments'!$D$14,Adjustments!$J:$J,'Schedule 4 Adjustments'!$A148)</f>
        <v>0</v>
      </c>
      <c r="F148" s="380">
        <f t="shared" si="22"/>
        <v>0</v>
      </c>
      <c r="G148" s="410">
        <v>0.14000000000000001</v>
      </c>
      <c r="H148" s="47">
        <f t="shared" ref="H148:H196" si="29">D148*G148</f>
        <v>0</v>
      </c>
      <c r="I148" s="378">
        <f t="shared" si="23"/>
        <v>0</v>
      </c>
      <c r="J148" s="21">
        <f t="shared" si="20"/>
        <v>15.837400934324968</v>
      </c>
      <c r="K148" s="376">
        <f t="shared" si="24"/>
        <v>15.837400934324968</v>
      </c>
      <c r="L148" s="150">
        <f>'As-Filed Schedule 4'!H148</f>
        <v>0</v>
      </c>
      <c r="M148" s="388">
        <f>SUMIFS(Adjustments!$G:$G,Adjustments!$H:$H,"4",Adjustments!$I:$I,'Schedule 4 Adjustments'!$L$14,Adjustments!$J:$J,'Schedule 4 Adjustments'!$A148)</f>
        <v>0</v>
      </c>
      <c r="N148" s="380">
        <f t="shared" si="25"/>
        <v>0</v>
      </c>
      <c r="O148" s="410">
        <v>0.12</v>
      </c>
      <c r="P148" s="47">
        <f t="shared" si="26"/>
        <v>0</v>
      </c>
      <c r="Q148" s="378">
        <f t="shared" si="27"/>
        <v>0</v>
      </c>
      <c r="R148" s="21">
        <f t="shared" si="21"/>
        <v>13.574915086564255</v>
      </c>
      <c r="S148" s="376">
        <f t="shared" si="28"/>
        <v>13.574915086564255</v>
      </c>
    </row>
    <row r="149" spans="1:19" s="22" customFormat="1" x14ac:dyDescent="0.35">
      <c r="A149" s="19">
        <v>137</v>
      </c>
      <c r="B149" s="19" t="s">
        <v>70</v>
      </c>
      <c r="C149" s="20" t="s">
        <v>403</v>
      </c>
      <c r="D149" s="116">
        <f>'As-Filed Schedule 4'!D149</f>
        <v>0</v>
      </c>
      <c r="E149" s="388">
        <f>SUMIFS(Adjustments!$G:$G,Adjustments!$H:$H,"4",Adjustments!$I:$I,'Schedule 4 Adjustments'!$D$14,Adjustments!$J:$J,'Schedule 4 Adjustments'!$A149)</f>
        <v>0</v>
      </c>
      <c r="F149" s="380">
        <f t="shared" si="22"/>
        <v>0</v>
      </c>
      <c r="G149" s="410">
        <v>3.08</v>
      </c>
      <c r="H149" s="47">
        <f t="shared" si="29"/>
        <v>0</v>
      </c>
      <c r="I149" s="378">
        <f t="shared" si="23"/>
        <v>0</v>
      </c>
      <c r="J149" s="21">
        <f t="shared" si="20"/>
        <v>348.42282055514926</v>
      </c>
      <c r="K149" s="376">
        <f t="shared" si="24"/>
        <v>348.42282055514926</v>
      </c>
      <c r="L149" s="150">
        <f>'As-Filed Schedule 4'!H149</f>
        <v>0</v>
      </c>
      <c r="M149" s="388">
        <f>SUMIFS(Adjustments!$G:$G,Adjustments!$H:$H,"4",Adjustments!$I:$I,'Schedule 4 Adjustments'!$L$14,Adjustments!$J:$J,'Schedule 4 Adjustments'!$A149)</f>
        <v>0</v>
      </c>
      <c r="N149" s="380">
        <f t="shared" si="25"/>
        <v>0</v>
      </c>
      <c r="O149" s="410">
        <v>2.6399999999999997</v>
      </c>
      <c r="P149" s="47">
        <f t="shared" si="26"/>
        <v>0</v>
      </c>
      <c r="Q149" s="378">
        <f t="shared" si="27"/>
        <v>0</v>
      </c>
      <c r="R149" s="21">
        <f t="shared" si="21"/>
        <v>298.64813190441362</v>
      </c>
      <c r="S149" s="376">
        <f t="shared" si="28"/>
        <v>298.64813190441362</v>
      </c>
    </row>
    <row r="150" spans="1:19" s="22" customFormat="1" x14ac:dyDescent="0.35">
      <c r="A150" s="19">
        <v>138</v>
      </c>
      <c r="B150" s="19" t="s">
        <v>71</v>
      </c>
      <c r="C150" s="20" t="s">
        <v>404</v>
      </c>
      <c r="D150" s="116">
        <f>'As-Filed Schedule 4'!D150</f>
        <v>0</v>
      </c>
      <c r="E150" s="388">
        <f>SUMIFS(Adjustments!$G:$G,Adjustments!$H:$H,"4",Adjustments!$I:$I,'Schedule 4 Adjustments'!$D$14,Adjustments!$J:$J,'Schedule 4 Adjustments'!$A150)</f>
        <v>0</v>
      </c>
      <c r="F150" s="380">
        <f t="shared" si="22"/>
        <v>0</v>
      </c>
      <c r="G150" s="410">
        <v>5.28</v>
      </c>
      <c r="H150" s="47">
        <f t="shared" si="29"/>
        <v>0</v>
      </c>
      <c r="I150" s="378">
        <f t="shared" si="23"/>
        <v>0</v>
      </c>
      <c r="J150" s="21">
        <f t="shared" si="20"/>
        <v>597.29626380882735</v>
      </c>
      <c r="K150" s="376">
        <f t="shared" si="24"/>
        <v>597.29626380882735</v>
      </c>
      <c r="L150" s="150">
        <f>'As-Filed Schedule 4'!H150</f>
        <v>0</v>
      </c>
      <c r="M150" s="388">
        <f>SUMIFS(Adjustments!$G:$G,Adjustments!$H:$H,"4",Adjustments!$I:$I,'Schedule 4 Adjustments'!$L$14,Adjustments!$J:$J,'Schedule 4 Adjustments'!$A150)</f>
        <v>0</v>
      </c>
      <c r="N150" s="380">
        <f t="shared" si="25"/>
        <v>0</v>
      </c>
      <c r="O150" s="410">
        <v>5.28</v>
      </c>
      <c r="P150" s="47">
        <f t="shared" si="26"/>
        <v>0</v>
      </c>
      <c r="Q150" s="378">
        <f t="shared" si="27"/>
        <v>0</v>
      </c>
      <c r="R150" s="21">
        <f t="shared" si="21"/>
        <v>597.29626380882735</v>
      </c>
      <c r="S150" s="376">
        <f t="shared" si="28"/>
        <v>597.29626380882735</v>
      </c>
    </row>
    <row r="151" spans="1:19" s="22" customFormat="1" x14ac:dyDescent="0.35">
      <c r="A151" s="19">
        <v>139</v>
      </c>
      <c r="B151" s="19" t="s">
        <v>789</v>
      </c>
      <c r="C151" s="20" t="s">
        <v>790</v>
      </c>
      <c r="D151" s="116">
        <f>'As-Filed Schedule 4'!D151</f>
        <v>0</v>
      </c>
      <c r="E151" s="388">
        <f>SUMIFS(Adjustments!$G:$G,Adjustments!$H:$H,"4",Adjustments!$I:$I,'Schedule 4 Adjustments'!$D$14,Adjustments!$J:$J,'Schedule 4 Adjustments'!$A151)</f>
        <v>0</v>
      </c>
      <c r="F151" s="380">
        <f t="shared" ref="F151" si="30">SUM(D151:E151)</f>
        <v>0</v>
      </c>
      <c r="G151" s="410">
        <v>0.12</v>
      </c>
      <c r="H151" s="47">
        <f t="shared" ref="H151" si="31">D151*G151</f>
        <v>0</v>
      </c>
      <c r="I151" s="378">
        <f t="shared" ref="I151" si="32">F151*G151</f>
        <v>0</v>
      </c>
      <c r="J151" s="21">
        <f t="shared" ref="J151" si="33">G151*$H$12</f>
        <v>13.574915086564255</v>
      </c>
      <c r="K151" s="376">
        <f t="shared" ref="K151" si="34">G151*$I$12</f>
        <v>13.574915086564255</v>
      </c>
      <c r="L151" s="150">
        <f>'As-Filed Schedule 4'!H151</f>
        <v>38984</v>
      </c>
      <c r="M151" s="388">
        <f>SUMIFS(Adjustments!$G:$G,Adjustments!$H:$H,"4",Adjustments!$I:$I,'Schedule 4 Adjustments'!$L$14,Adjustments!$J:$J,'Schedule 4 Adjustments'!$A151)</f>
        <v>0</v>
      </c>
      <c r="N151" s="380">
        <f t="shared" ref="N151" si="35">SUM(L151:M151)</f>
        <v>38984</v>
      </c>
      <c r="O151" s="410">
        <v>0.09</v>
      </c>
      <c r="P151" s="47">
        <f t="shared" ref="P151" si="36">L151*O151</f>
        <v>3508.56</v>
      </c>
      <c r="Q151" s="378">
        <f t="shared" ref="Q151" si="37">N151*O151</f>
        <v>3508.56</v>
      </c>
      <c r="R151" s="21">
        <f t="shared" ref="R151" si="38">O151*$H$12</f>
        <v>10.181186314923192</v>
      </c>
      <c r="S151" s="376">
        <f t="shared" ref="S151" si="39">O151*$I$12</f>
        <v>10.181186314923192</v>
      </c>
    </row>
    <row r="152" spans="1:19" s="22" customFormat="1" x14ac:dyDescent="0.35">
      <c r="A152" s="19">
        <v>140</v>
      </c>
      <c r="B152" s="19" t="s">
        <v>72</v>
      </c>
      <c r="C152" s="20" t="s">
        <v>405</v>
      </c>
      <c r="D152" s="116">
        <f>'As-Filed Schedule 4'!D152</f>
        <v>0</v>
      </c>
      <c r="E152" s="388">
        <f>SUMIFS(Adjustments!$G:$G,Adjustments!$H:$H,"4",Adjustments!$I:$I,'Schedule 4 Adjustments'!$D$14,Adjustments!$J:$J,'Schedule 4 Adjustments'!$A152)</f>
        <v>0</v>
      </c>
      <c r="F152" s="380">
        <f t="shared" si="22"/>
        <v>0</v>
      </c>
      <c r="G152" s="410">
        <v>1.02</v>
      </c>
      <c r="H152" s="47">
        <f t="shared" si="29"/>
        <v>0</v>
      </c>
      <c r="I152" s="378">
        <f t="shared" si="23"/>
        <v>0</v>
      </c>
      <c r="J152" s="21">
        <f t="shared" si="20"/>
        <v>115.38677823579619</v>
      </c>
      <c r="K152" s="376">
        <f t="shared" si="24"/>
        <v>115.38677823579619</v>
      </c>
      <c r="L152" s="150">
        <f>'As-Filed Schedule 4'!H152</f>
        <v>0</v>
      </c>
      <c r="M152" s="388">
        <f>SUMIFS(Adjustments!$G:$G,Adjustments!$H:$H,"4",Adjustments!$I:$I,'Schedule 4 Adjustments'!$L$14,Adjustments!$J:$J,'Schedule 4 Adjustments'!$A152)</f>
        <v>0</v>
      </c>
      <c r="N152" s="380">
        <f t="shared" si="25"/>
        <v>0</v>
      </c>
      <c r="O152" s="410">
        <v>0.94</v>
      </c>
      <c r="P152" s="47">
        <f t="shared" si="26"/>
        <v>0</v>
      </c>
      <c r="Q152" s="378">
        <f t="shared" si="27"/>
        <v>0</v>
      </c>
      <c r="R152" s="21">
        <f t="shared" si="21"/>
        <v>106.33683484475334</v>
      </c>
      <c r="S152" s="376">
        <f t="shared" si="28"/>
        <v>106.33683484475334</v>
      </c>
    </row>
    <row r="153" spans="1:19" s="22" customFormat="1" x14ac:dyDescent="0.35">
      <c r="A153" s="19">
        <v>141</v>
      </c>
      <c r="B153" s="19" t="s">
        <v>20</v>
      </c>
      <c r="C153" s="20" t="s">
        <v>406</v>
      </c>
      <c r="D153" s="116">
        <f>'As-Filed Schedule 4'!D153</f>
        <v>0</v>
      </c>
      <c r="E153" s="388">
        <f>SUMIFS(Adjustments!$G:$G,Adjustments!$H:$H,"4",Adjustments!$I:$I,'Schedule 4 Adjustments'!$D$14,Adjustments!$J:$J,'Schedule 4 Adjustments'!$A153)</f>
        <v>0</v>
      </c>
      <c r="F153" s="380">
        <f t="shared" si="22"/>
        <v>0</v>
      </c>
      <c r="G153" s="410">
        <v>0</v>
      </c>
      <c r="H153" s="47">
        <f t="shared" si="29"/>
        <v>0</v>
      </c>
      <c r="I153" s="378">
        <f t="shared" si="23"/>
        <v>0</v>
      </c>
      <c r="J153" s="21">
        <f t="shared" si="20"/>
        <v>0</v>
      </c>
      <c r="K153" s="376">
        <f t="shared" si="24"/>
        <v>0</v>
      </c>
      <c r="L153" s="150">
        <f>'As-Filed Schedule 4'!H153</f>
        <v>0</v>
      </c>
      <c r="M153" s="388">
        <f>SUMIFS(Adjustments!$G:$G,Adjustments!$H:$H,"4",Adjustments!$I:$I,'Schedule 4 Adjustments'!$L$14,Adjustments!$J:$J,'Schedule 4 Adjustments'!$A153)</f>
        <v>0</v>
      </c>
      <c r="N153" s="380">
        <f t="shared" si="25"/>
        <v>0</v>
      </c>
      <c r="O153" s="410">
        <v>0</v>
      </c>
      <c r="P153" s="47">
        <f t="shared" si="26"/>
        <v>0</v>
      </c>
      <c r="Q153" s="378">
        <f t="shared" si="27"/>
        <v>0</v>
      </c>
      <c r="R153" s="21">
        <f t="shared" si="21"/>
        <v>0</v>
      </c>
      <c r="S153" s="376">
        <f t="shared" si="28"/>
        <v>0</v>
      </c>
    </row>
    <row r="154" spans="1:19" s="22" customFormat="1" x14ac:dyDescent="0.35">
      <c r="A154" s="19">
        <v>142</v>
      </c>
      <c r="B154" s="19" t="s">
        <v>73</v>
      </c>
      <c r="C154" s="20" t="s">
        <v>143</v>
      </c>
      <c r="D154" s="116">
        <f>'As-Filed Schedule 4'!D154</f>
        <v>0</v>
      </c>
      <c r="E154" s="388">
        <f>SUMIFS(Adjustments!$G:$G,Adjustments!$H:$H,"4",Adjustments!$I:$I,'Schedule 4 Adjustments'!$D$14,Adjustments!$J:$J,'Schedule 4 Adjustments'!$A154)</f>
        <v>0</v>
      </c>
      <c r="F154" s="380">
        <f t="shared" si="22"/>
        <v>0</v>
      </c>
      <c r="G154" s="410">
        <v>5.17</v>
      </c>
      <c r="H154" s="47">
        <f t="shared" si="29"/>
        <v>0</v>
      </c>
      <c r="I154" s="378">
        <f t="shared" si="23"/>
        <v>0</v>
      </c>
      <c r="J154" s="21">
        <f t="shared" si="20"/>
        <v>584.85259164614342</v>
      </c>
      <c r="K154" s="376">
        <f t="shared" si="24"/>
        <v>584.85259164614342</v>
      </c>
      <c r="L154" s="150">
        <f>'As-Filed Schedule 4'!H154</f>
        <v>0</v>
      </c>
      <c r="M154" s="388">
        <f>SUMIFS(Adjustments!$G:$G,Adjustments!$H:$H,"4",Adjustments!$I:$I,'Schedule 4 Adjustments'!$L$14,Adjustments!$J:$J,'Schedule 4 Adjustments'!$A154)</f>
        <v>0</v>
      </c>
      <c r="N154" s="380">
        <f t="shared" si="25"/>
        <v>0</v>
      </c>
      <c r="O154" s="410">
        <v>4.43</v>
      </c>
      <c r="P154" s="47">
        <f t="shared" si="26"/>
        <v>0</v>
      </c>
      <c r="Q154" s="378">
        <f t="shared" si="27"/>
        <v>0</v>
      </c>
      <c r="R154" s="21">
        <f t="shared" si="21"/>
        <v>501.14061527899713</v>
      </c>
      <c r="S154" s="376">
        <f t="shared" si="28"/>
        <v>501.14061527899713</v>
      </c>
    </row>
    <row r="155" spans="1:19" s="22" customFormat="1" x14ac:dyDescent="0.35">
      <c r="A155" s="19">
        <v>143</v>
      </c>
      <c r="B155" s="19" t="s">
        <v>74</v>
      </c>
      <c r="C155" s="20" t="s">
        <v>144</v>
      </c>
      <c r="D155" s="116">
        <f>'As-Filed Schedule 4'!D155</f>
        <v>0</v>
      </c>
      <c r="E155" s="388">
        <f>SUMIFS(Adjustments!$G:$G,Adjustments!$H:$H,"4",Adjustments!$I:$I,'Schedule 4 Adjustments'!$D$14,Adjustments!$J:$J,'Schedule 4 Adjustments'!$A155)</f>
        <v>0</v>
      </c>
      <c r="F155" s="380">
        <f t="shared" si="22"/>
        <v>0</v>
      </c>
      <c r="G155" s="410">
        <v>1.7</v>
      </c>
      <c r="H155" s="47">
        <f t="shared" si="29"/>
        <v>0</v>
      </c>
      <c r="I155" s="378">
        <f t="shared" si="23"/>
        <v>0</v>
      </c>
      <c r="J155" s="21">
        <f t="shared" si="20"/>
        <v>192.31129705966029</v>
      </c>
      <c r="K155" s="376">
        <f t="shared" si="24"/>
        <v>192.31129705966029</v>
      </c>
      <c r="L155" s="150">
        <f>'As-Filed Schedule 4'!H155</f>
        <v>0</v>
      </c>
      <c r="M155" s="388">
        <f>SUMIFS(Adjustments!$G:$G,Adjustments!$H:$H,"4",Adjustments!$I:$I,'Schedule 4 Adjustments'!$L$14,Adjustments!$J:$J,'Schedule 4 Adjustments'!$A155)</f>
        <v>0</v>
      </c>
      <c r="N155" s="380">
        <f t="shared" si="25"/>
        <v>0</v>
      </c>
      <c r="O155" s="410">
        <v>1.05</v>
      </c>
      <c r="P155" s="47">
        <f t="shared" si="26"/>
        <v>0</v>
      </c>
      <c r="Q155" s="378">
        <f t="shared" si="27"/>
        <v>0</v>
      </c>
      <c r="R155" s="21">
        <f t="shared" si="21"/>
        <v>118.78050700743725</v>
      </c>
      <c r="S155" s="376">
        <f t="shared" si="28"/>
        <v>118.78050700743725</v>
      </c>
    </row>
    <row r="156" spans="1:19" s="22" customFormat="1" x14ac:dyDescent="0.35">
      <c r="A156" s="19">
        <v>144</v>
      </c>
      <c r="B156" s="19" t="s">
        <v>26</v>
      </c>
      <c r="C156" s="20" t="s">
        <v>143</v>
      </c>
      <c r="D156" s="116">
        <f>'As-Filed Schedule 4'!D156</f>
        <v>0</v>
      </c>
      <c r="E156" s="388">
        <f>SUMIFS(Adjustments!$G:$G,Adjustments!$H:$H,"4",Adjustments!$I:$I,'Schedule 4 Adjustments'!$D$14,Adjustments!$J:$J,'Schedule 4 Adjustments'!$A156)</f>
        <v>0</v>
      </c>
      <c r="F156" s="380">
        <f t="shared" si="22"/>
        <v>0</v>
      </c>
      <c r="G156" s="410">
        <v>0</v>
      </c>
      <c r="H156" s="47">
        <f t="shared" si="29"/>
        <v>0</v>
      </c>
      <c r="I156" s="378">
        <f t="shared" si="23"/>
        <v>0</v>
      </c>
      <c r="J156" s="21">
        <f t="shared" si="20"/>
        <v>0</v>
      </c>
      <c r="K156" s="376">
        <f t="shared" si="24"/>
        <v>0</v>
      </c>
      <c r="L156" s="150">
        <f>'As-Filed Schedule 4'!H156</f>
        <v>0</v>
      </c>
      <c r="M156" s="388">
        <f>SUMIFS(Adjustments!$G:$G,Adjustments!$H:$H,"4",Adjustments!$I:$I,'Schedule 4 Adjustments'!$L$14,Adjustments!$J:$J,'Schedule 4 Adjustments'!$A156)</f>
        <v>0</v>
      </c>
      <c r="N156" s="380">
        <f t="shared" si="25"/>
        <v>0</v>
      </c>
      <c r="O156" s="410">
        <v>0</v>
      </c>
      <c r="P156" s="47">
        <f t="shared" si="26"/>
        <v>0</v>
      </c>
      <c r="Q156" s="378">
        <f t="shared" si="27"/>
        <v>0</v>
      </c>
      <c r="R156" s="21">
        <f t="shared" si="21"/>
        <v>0</v>
      </c>
      <c r="S156" s="376">
        <f t="shared" si="28"/>
        <v>0</v>
      </c>
    </row>
    <row r="157" spans="1:19" s="22" customFormat="1" x14ac:dyDescent="0.35">
      <c r="A157" s="19">
        <v>145</v>
      </c>
      <c r="B157" s="19" t="s">
        <v>75</v>
      </c>
      <c r="C157" s="20" t="s">
        <v>145</v>
      </c>
      <c r="D157" s="116">
        <f>'As-Filed Schedule 4'!D157</f>
        <v>0</v>
      </c>
      <c r="E157" s="388">
        <f>SUMIFS(Adjustments!$G:$G,Adjustments!$H:$H,"4",Adjustments!$I:$I,'Schedule 4 Adjustments'!$D$14,Adjustments!$J:$J,'Schedule 4 Adjustments'!$A157)</f>
        <v>0</v>
      </c>
      <c r="F157" s="380">
        <f t="shared" si="22"/>
        <v>0</v>
      </c>
      <c r="G157" s="410">
        <v>1.35</v>
      </c>
      <c r="H157" s="47">
        <f t="shared" si="29"/>
        <v>0</v>
      </c>
      <c r="I157" s="378">
        <f t="shared" si="23"/>
        <v>0</v>
      </c>
      <c r="J157" s="21">
        <f t="shared" si="20"/>
        <v>152.7177947238479</v>
      </c>
      <c r="K157" s="376">
        <f t="shared" si="24"/>
        <v>152.7177947238479</v>
      </c>
      <c r="L157" s="150">
        <f>'As-Filed Schedule 4'!H157</f>
        <v>0</v>
      </c>
      <c r="M157" s="388">
        <f>SUMIFS(Adjustments!$G:$G,Adjustments!$H:$H,"4",Adjustments!$I:$I,'Schedule 4 Adjustments'!$L$14,Adjustments!$J:$J,'Schedule 4 Adjustments'!$A157)</f>
        <v>0</v>
      </c>
      <c r="N157" s="380">
        <f t="shared" si="25"/>
        <v>0</v>
      </c>
      <c r="O157" s="410">
        <v>1.35</v>
      </c>
      <c r="P157" s="47">
        <f t="shared" si="26"/>
        <v>0</v>
      </c>
      <c r="Q157" s="378">
        <f t="shared" si="27"/>
        <v>0</v>
      </c>
      <c r="R157" s="21">
        <f t="shared" si="21"/>
        <v>152.7177947238479</v>
      </c>
      <c r="S157" s="376">
        <f t="shared" si="28"/>
        <v>152.7177947238479</v>
      </c>
    </row>
    <row r="158" spans="1:19" s="22" customFormat="1" x14ac:dyDescent="0.35">
      <c r="A158" s="19">
        <v>146</v>
      </c>
      <c r="B158" s="19" t="s">
        <v>76</v>
      </c>
      <c r="C158" s="20" t="s">
        <v>146</v>
      </c>
      <c r="D158" s="116">
        <f>'As-Filed Schedule 4'!D158</f>
        <v>0</v>
      </c>
      <c r="E158" s="388">
        <f>SUMIFS(Adjustments!$G:$G,Adjustments!$H:$H,"4",Adjustments!$I:$I,'Schedule 4 Adjustments'!$D$14,Adjustments!$J:$J,'Schedule 4 Adjustments'!$A158)</f>
        <v>0</v>
      </c>
      <c r="F158" s="380">
        <f t="shared" si="22"/>
        <v>0</v>
      </c>
      <c r="G158" s="410">
        <v>2.56</v>
      </c>
      <c r="H158" s="47">
        <f t="shared" si="29"/>
        <v>0</v>
      </c>
      <c r="I158" s="378">
        <f t="shared" si="23"/>
        <v>0</v>
      </c>
      <c r="J158" s="21">
        <f t="shared" si="20"/>
        <v>289.59818851337081</v>
      </c>
      <c r="K158" s="376">
        <f t="shared" si="24"/>
        <v>289.59818851337081</v>
      </c>
      <c r="L158" s="150">
        <f>'As-Filed Schedule 4'!H158</f>
        <v>0</v>
      </c>
      <c r="M158" s="388">
        <f>SUMIFS(Adjustments!$G:$G,Adjustments!$H:$H,"4",Adjustments!$I:$I,'Schedule 4 Adjustments'!$L$14,Adjustments!$J:$J,'Schedule 4 Adjustments'!$A158)</f>
        <v>0</v>
      </c>
      <c r="N158" s="380">
        <f t="shared" si="25"/>
        <v>0</v>
      </c>
      <c r="O158" s="410">
        <v>2.14</v>
      </c>
      <c r="P158" s="47">
        <f t="shared" si="26"/>
        <v>0</v>
      </c>
      <c r="Q158" s="378">
        <f t="shared" si="27"/>
        <v>0</v>
      </c>
      <c r="R158" s="21">
        <f t="shared" si="21"/>
        <v>242.08598571039593</v>
      </c>
      <c r="S158" s="376">
        <f t="shared" si="28"/>
        <v>242.08598571039593</v>
      </c>
    </row>
    <row r="159" spans="1:19" s="22" customFormat="1" x14ac:dyDescent="0.35">
      <c r="A159" s="19">
        <v>147</v>
      </c>
      <c r="B159" s="19" t="s">
        <v>77</v>
      </c>
      <c r="C159" s="20" t="s">
        <v>407</v>
      </c>
      <c r="D159" s="116">
        <f>'As-Filed Schedule 4'!D159</f>
        <v>110</v>
      </c>
      <c r="E159" s="388">
        <f>SUMIFS(Adjustments!$G:$G,Adjustments!$H:$H,"4",Adjustments!$I:$I,'Schedule 4 Adjustments'!$D$14,Adjustments!$J:$J,'Schedule 4 Adjustments'!$A159)</f>
        <v>0</v>
      </c>
      <c r="F159" s="380">
        <f t="shared" si="22"/>
        <v>110</v>
      </c>
      <c r="G159" s="410">
        <v>1.6</v>
      </c>
      <c r="H159" s="47">
        <f t="shared" si="29"/>
        <v>176</v>
      </c>
      <c r="I159" s="378">
        <f t="shared" si="23"/>
        <v>176</v>
      </c>
      <c r="J159" s="21">
        <f t="shared" si="20"/>
        <v>180.99886782085676</v>
      </c>
      <c r="K159" s="376">
        <f t="shared" si="24"/>
        <v>180.99886782085676</v>
      </c>
      <c r="L159" s="150">
        <f>'As-Filed Schedule 4'!H159</f>
        <v>652</v>
      </c>
      <c r="M159" s="388">
        <f>SUMIFS(Adjustments!$G:$G,Adjustments!$H:$H,"4",Adjustments!$I:$I,'Schedule 4 Adjustments'!$L$14,Adjustments!$J:$J,'Schedule 4 Adjustments'!$A159)</f>
        <v>0</v>
      </c>
      <c r="N159" s="380">
        <f t="shared" si="25"/>
        <v>652</v>
      </c>
      <c r="O159" s="410">
        <v>1.6</v>
      </c>
      <c r="P159" s="47">
        <f t="shared" si="26"/>
        <v>1043.2</v>
      </c>
      <c r="Q159" s="378">
        <f t="shared" si="27"/>
        <v>1043.2</v>
      </c>
      <c r="R159" s="21">
        <f t="shared" si="21"/>
        <v>180.99886782085676</v>
      </c>
      <c r="S159" s="376">
        <f t="shared" si="28"/>
        <v>180.99886782085676</v>
      </c>
    </row>
    <row r="160" spans="1:19" s="22" customFormat="1" x14ac:dyDescent="0.35">
      <c r="A160" s="19">
        <v>148</v>
      </c>
      <c r="B160" s="19" t="s">
        <v>78</v>
      </c>
      <c r="C160" s="20" t="s">
        <v>408</v>
      </c>
      <c r="D160" s="116">
        <f>'As-Filed Schedule 4'!D160</f>
        <v>0</v>
      </c>
      <c r="E160" s="388">
        <f>SUMIFS(Adjustments!$G:$G,Adjustments!$H:$H,"4",Adjustments!$I:$I,'Schedule 4 Adjustments'!$D$14,Adjustments!$J:$J,'Schedule 4 Adjustments'!$A160)</f>
        <v>0</v>
      </c>
      <c r="F160" s="380">
        <f t="shared" si="22"/>
        <v>0</v>
      </c>
      <c r="G160" s="410">
        <v>2.64</v>
      </c>
      <c r="H160" s="47">
        <f t="shared" si="29"/>
        <v>0</v>
      </c>
      <c r="I160" s="378">
        <f t="shared" si="23"/>
        <v>0</v>
      </c>
      <c r="J160" s="21">
        <f t="shared" si="20"/>
        <v>298.64813190441367</v>
      </c>
      <c r="K160" s="376">
        <f t="shared" si="24"/>
        <v>298.64813190441367</v>
      </c>
      <c r="L160" s="150">
        <f>'As-Filed Schedule 4'!H160</f>
        <v>0</v>
      </c>
      <c r="M160" s="388">
        <f>SUMIFS(Adjustments!$G:$G,Adjustments!$H:$H,"4",Adjustments!$I:$I,'Schedule 4 Adjustments'!$L$14,Adjustments!$J:$J,'Schedule 4 Adjustments'!$A160)</f>
        <v>0</v>
      </c>
      <c r="N160" s="380">
        <f t="shared" si="25"/>
        <v>0</v>
      </c>
      <c r="O160" s="410">
        <v>2.64</v>
      </c>
      <c r="P160" s="47">
        <f t="shared" si="26"/>
        <v>0</v>
      </c>
      <c r="Q160" s="378">
        <f t="shared" si="27"/>
        <v>0</v>
      </c>
      <c r="R160" s="21">
        <f t="shared" si="21"/>
        <v>298.64813190441367</v>
      </c>
      <c r="S160" s="376">
        <f t="shared" si="28"/>
        <v>298.64813190441367</v>
      </c>
    </row>
    <row r="161" spans="1:19" s="22" customFormat="1" x14ac:dyDescent="0.35">
      <c r="A161" s="19">
        <v>149</v>
      </c>
      <c r="B161" s="19" t="s">
        <v>79</v>
      </c>
      <c r="C161" s="20" t="s">
        <v>409</v>
      </c>
      <c r="D161" s="116">
        <f>'As-Filed Schedule 4'!D161</f>
        <v>3709</v>
      </c>
      <c r="E161" s="388">
        <f>SUMIFS(Adjustments!$G:$G,Adjustments!$H:$H,"4",Adjustments!$I:$I,'Schedule 4 Adjustments'!$D$14,Adjustments!$J:$J,'Schedule 4 Adjustments'!$A161)</f>
        <v>0</v>
      </c>
      <c r="F161" s="380">
        <f t="shared" si="22"/>
        <v>3709</v>
      </c>
      <c r="G161" s="410">
        <v>1.24</v>
      </c>
      <c r="H161" s="47">
        <f t="shared" si="29"/>
        <v>4599.16</v>
      </c>
      <c r="I161" s="378">
        <f t="shared" si="23"/>
        <v>4599.16</v>
      </c>
      <c r="J161" s="21">
        <f t="shared" si="20"/>
        <v>140.27412256116398</v>
      </c>
      <c r="K161" s="376">
        <f t="shared" si="24"/>
        <v>140.27412256116398</v>
      </c>
      <c r="L161" s="150">
        <f>'As-Filed Schedule 4'!H161</f>
        <v>6148</v>
      </c>
      <c r="M161" s="388">
        <f>SUMIFS(Adjustments!$G:$G,Adjustments!$H:$H,"4",Adjustments!$I:$I,'Schedule 4 Adjustments'!$L$14,Adjustments!$J:$J,'Schedule 4 Adjustments'!$A161)</f>
        <v>0</v>
      </c>
      <c r="N161" s="380">
        <f t="shared" si="25"/>
        <v>6148</v>
      </c>
      <c r="O161" s="410">
        <v>1.24</v>
      </c>
      <c r="P161" s="47">
        <f t="shared" si="26"/>
        <v>7623.5199999999995</v>
      </c>
      <c r="Q161" s="378">
        <f t="shared" si="27"/>
        <v>7623.5199999999995</v>
      </c>
      <c r="R161" s="21">
        <f t="shared" si="21"/>
        <v>140.27412256116398</v>
      </c>
      <c r="S161" s="376">
        <f t="shared" si="28"/>
        <v>140.27412256116398</v>
      </c>
    </row>
    <row r="162" spans="1:19" s="22" customFormat="1" x14ac:dyDescent="0.35">
      <c r="A162" s="19">
        <v>150</v>
      </c>
      <c r="B162" s="19" t="s">
        <v>80</v>
      </c>
      <c r="C162" s="20" t="s">
        <v>410</v>
      </c>
      <c r="D162" s="116">
        <f>'As-Filed Schedule 4'!D162</f>
        <v>0</v>
      </c>
      <c r="E162" s="388">
        <f>SUMIFS(Adjustments!$G:$G,Adjustments!$H:$H,"4",Adjustments!$I:$I,'Schedule 4 Adjustments'!$D$14,Adjustments!$J:$J,'Schedule 4 Adjustments'!$A162)</f>
        <v>0</v>
      </c>
      <c r="F162" s="380">
        <f t="shared" si="22"/>
        <v>0</v>
      </c>
      <c r="G162" s="410">
        <v>0.83</v>
      </c>
      <c r="H162" s="47">
        <f t="shared" si="29"/>
        <v>0</v>
      </c>
      <c r="I162" s="378">
        <f t="shared" si="23"/>
        <v>0</v>
      </c>
      <c r="J162" s="21">
        <f t="shared" si="20"/>
        <v>93.893162682069431</v>
      </c>
      <c r="K162" s="376">
        <f t="shared" si="24"/>
        <v>93.893162682069431</v>
      </c>
      <c r="L162" s="150">
        <f>'As-Filed Schedule 4'!H162</f>
        <v>0</v>
      </c>
      <c r="M162" s="388">
        <f>SUMIFS(Adjustments!$G:$G,Adjustments!$H:$H,"4",Adjustments!$I:$I,'Schedule 4 Adjustments'!$L$14,Adjustments!$J:$J,'Schedule 4 Adjustments'!$A162)</f>
        <v>0</v>
      </c>
      <c r="N162" s="380">
        <f t="shared" si="25"/>
        <v>0</v>
      </c>
      <c r="O162" s="410">
        <v>0.72</v>
      </c>
      <c r="P162" s="47">
        <f t="shared" si="26"/>
        <v>0</v>
      </c>
      <c r="Q162" s="378">
        <f t="shared" si="27"/>
        <v>0</v>
      </c>
      <c r="R162" s="21">
        <f t="shared" si="21"/>
        <v>81.449490519385535</v>
      </c>
      <c r="S162" s="376">
        <f t="shared" si="28"/>
        <v>81.449490519385535</v>
      </c>
    </row>
    <row r="163" spans="1:19" s="22" customFormat="1" x14ac:dyDescent="0.35">
      <c r="A163" s="19">
        <v>151</v>
      </c>
      <c r="B163" s="19" t="s">
        <v>81</v>
      </c>
      <c r="C163" s="20" t="s">
        <v>411</v>
      </c>
      <c r="D163" s="116">
        <f>'As-Filed Schedule 4'!D163</f>
        <v>2241</v>
      </c>
      <c r="E163" s="388">
        <f>SUMIFS(Adjustments!$G:$G,Adjustments!$H:$H,"4",Adjustments!$I:$I,'Schedule 4 Adjustments'!$D$14,Adjustments!$J:$J,'Schedule 4 Adjustments'!$A163)</f>
        <v>0</v>
      </c>
      <c r="F163" s="380">
        <f t="shared" si="22"/>
        <v>2241</v>
      </c>
      <c r="G163" s="410">
        <v>0.92</v>
      </c>
      <c r="H163" s="47">
        <f t="shared" si="29"/>
        <v>2061.7200000000003</v>
      </c>
      <c r="I163" s="378">
        <f t="shared" si="23"/>
        <v>2061.7200000000003</v>
      </c>
      <c r="J163" s="21">
        <f t="shared" si="20"/>
        <v>104.07434899699264</v>
      </c>
      <c r="K163" s="376">
        <f t="shared" si="24"/>
        <v>104.07434899699264</v>
      </c>
      <c r="L163" s="150">
        <f>'As-Filed Schedule 4'!H163</f>
        <v>10676</v>
      </c>
      <c r="M163" s="388">
        <f>SUMIFS(Adjustments!$G:$G,Adjustments!$H:$H,"4",Adjustments!$I:$I,'Schedule 4 Adjustments'!$L$14,Adjustments!$J:$J,'Schedule 4 Adjustments'!$A163)</f>
        <v>0</v>
      </c>
      <c r="N163" s="380">
        <f t="shared" si="25"/>
        <v>10676</v>
      </c>
      <c r="O163" s="410">
        <v>0.92</v>
      </c>
      <c r="P163" s="47">
        <f t="shared" si="26"/>
        <v>9821.92</v>
      </c>
      <c r="Q163" s="378">
        <f t="shared" si="27"/>
        <v>9821.92</v>
      </c>
      <c r="R163" s="21">
        <f t="shared" si="21"/>
        <v>104.07434899699264</v>
      </c>
      <c r="S163" s="376">
        <f t="shared" si="28"/>
        <v>104.07434899699264</v>
      </c>
    </row>
    <row r="164" spans="1:19" s="22" customFormat="1" x14ac:dyDescent="0.35">
      <c r="A164" s="19">
        <v>152</v>
      </c>
      <c r="B164" s="19" t="s">
        <v>82</v>
      </c>
      <c r="C164" s="20" t="s">
        <v>412</v>
      </c>
      <c r="D164" s="116">
        <f>'As-Filed Schedule 4'!D164</f>
        <v>2</v>
      </c>
      <c r="E164" s="388">
        <f>SUMIFS(Adjustments!$G:$G,Adjustments!$H:$H,"4",Adjustments!$I:$I,'Schedule 4 Adjustments'!$D$14,Adjustments!$J:$J,'Schedule 4 Adjustments'!$A164)</f>
        <v>0</v>
      </c>
      <c r="F164" s="380">
        <f t="shared" si="22"/>
        <v>2</v>
      </c>
      <c r="G164" s="410">
        <v>0.14000000000000001</v>
      </c>
      <c r="H164" s="47">
        <f t="shared" si="29"/>
        <v>0.28000000000000003</v>
      </c>
      <c r="I164" s="378">
        <f t="shared" si="23"/>
        <v>0.28000000000000003</v>
      </c>
      <c r="J164" s="21">
        <f t="shared" si="20"/>
        <v>15.837400934324968</v>
      </c>
      <c r="K164" s="376">
        <f t="shared" si="24"/>
        <v>15.837400934324968</v>
      </c>
      <c r="L164" s="150">
        <f>'As-Filed Schedule 4'!H164</f>
        <v>241</v>
      </c>
      <c r="M164" s="388">
        <f>SUMIFS(Adjustments!$G:$G,Adjustments!$H:$H,"4",Adjustments!$I:$I,'Schedule 4 Adjustments'!$L$14,Adjustments!$J:$J,'Schedule 4 Adjustments'!$A164)</f>
        <v>0</v>
      </c>
      <c r="N164" s="380">
        <f t="shared" si="25"/>
        <v>241</v>
      </c>
      <c r="O164" s="410">
        <v>0.12</v>
      </c>
      <c r="P164" s="47">
        <f t="shared" si="26"/>
        <v>28.919999999999998</v>
      </c>
      <c r="Q164" s="378">
        <f t="shared" si="27"/>
        <v>28.919999999999998</v>
      </c>
      <c r="R164" s="21">
        <f t="shared" si="21"/>
        <v>13.574915086564255</v>
      </c>
      <c r="S164" s="376">
        <f t="shared" si="28"/>
        <v>13.574915086564255</v>
      </c>
    </row>
    <row r="165" spans="1:19" s="22" customFormat="1" x14ac:dyDescent="0.35">
      <c r="A165" s="19">
        <v>153</v>
      </c>
      <c r="B165" s="19" t="s">
        <v>83</v>
      </c>
      <c r="C165" s="20" t="s">
        <v>417</v>
      </c>
      <c r="D165" s="116">
        <f>'As-Filed Schedule 4'!D165</f>
        <v>0</v>
      </c>
      <c r="E165" s="388">
        <f>SUMIFS(Adjustments!$G:$G,Adjustments!$H:$H,"4",Adjustments!$I:$I,'Schedule 4 Adjustments'!$D$14,Adjustments!$J:$J,'Schedule 4 Adjustments'!$A165)</f>
        <v>0</v>
      </c>
      <c r="F165" s="380">
        <f t="shared" si="22"/>
        <v>0</v>
      </c>
      <c r="G165" s="410">
        <v>3.3600000000000003</v>
      </c>
      <c r="H165" s="47">
        <f t="shared" si="29"/>
        <v>0</v>
      </c>
      <c r="I165" s="378">
        <f t="shared" si="23"/>
        <v>0</v>
      </c>
      <c r="J165" s="21">
        <f t="shared" si="20"/>
        <v>380.09762242379924</v>
      </c>
      <c r="K165" s="376">
        <f t="shared" si="24"/>
        <v>380.09762242379924</v>
      </c>
      <c r="L165" s="150">
        <f>'As-Filed Schedule 4'!H165</f>
        <v>0</v>
      </c>
      <c r="M165" s="388">
        <f>SUMIFS(Adjustments!$G:$G,Adjustments!$H:$H,"4",Adjustments!$I:$I,'Schedule 4 Adjustments'!$L$14,Adjustments!$J:$J,'Schedule 4 Adjustments'!$A165)</f>
        <v>0</v>
      </c>
      <c r="N165" s="380">
        <f t="shared" si="25"/>
        <v>0</v>
      </c>
      <c r="O165" s="410">
        <v>2.88</v>
      </c>
      <c r="P165" s="47">
        <f t="shared" si="26"/>
        <v>0</v>
      </c>
      <c r="Q165" s="378">
        <f t="shared" si="27"/>
        <v>0</v>
      </c>
      <c r="R165" s="21">
        <f t="shared" si="21"/>
        <v>325.79796207754214</v>
      </c>
      <c r="S165" s="376">
        <f t="shared" si="28"/>
        <v>325.79796207754214</v>
      </c>
    </row>
    <row r="166" spans="1:19" s="22" customFormat="1" x14ac:dyDescent="0.35">
      <c r="A166" s="19">
        <v>154</v>
      </c>
      <c r="B166" s="19" t="s">
        <v>84</v>
      </c>
      <c r="C166" s="20" t="s">
        <v>415</v>
      </c>
      <c r="D166" s="116">
        <f>'As-Filed Schedule 4'!D166</f>
        <v>493</v>
      </c>
      <c r="E166" s="388">
        <f>SUMIFS(Adjustments!$G:$G,Adjustments!$H:$H,"4",Adjustments!$I:$I,'Schedule 4 Adjustments'!$D$14,Adjustments!$J:$J,'Schedule 4 Adjustments'!$A166)</f>
        <v>0</v>
      </c>
      <c r="F166" s="380">
        <f t="shared" si="22"/>
        <v>493</v>
      </c>
      <c r="G166" s="410">
        <v>0.44</v>
      </c>
      <c r="H166" s="47">
        <f t="shared" si="29"/>
        <v>216.92</v>
      </c>
      <c r="I166" s="378">
        <f t="shared" si="23"/>
        <v>216.92</v>
      </c>
      <c r="J166" s="21">
        <f t="shared" si="20"/>
        <v>49.774688650735605</v>
      </c>
      <c r="K166" s="376">
        <f t="shared" si="24"/>
        <v>49.774688650735605</v>
      </c>
      <c r="L166" s="150">
        <f>'As-Filed Schedule 4'!H166</f>
        <v>9948</v>
      </c>
      <c r="M166" s="388">
        <f>SUMIFS(Adjustments!$G:$G,Adjustments!$H:$H,"4",Adjustments!$I:$I,'Schedule 4 Adjustments'!$L$14,Adjustments!$J:$J,'Schedule 4 Adjustments'!$A166)</f>
        <v>0</v>
      </c>
      <c r="N166" s="380">
        <f t="shared" si="25"/>
        <v>9948</v>
      </c>
      <c r="O166" s="410">
        <v>0.44</v>
      </c>
      <c r="P166" s="47">
        <f t="shared" si="26"/>
        <v>4377.12</v>
      </c>
      <c r="Q166" s="378">
        <f t="shared" si="27"/>
        <v>4377.12</v>
      </c>
      <c r="R166" s="21">
        <f t="shared" si="21"/>
        <v>49.774688650735605</v>
      </c>
      <c r="S166" s="376">
        <f t="shared" si="28"/>
        <v>49.774688650735605</v>
      </c>
    </row>
    <row r="167" spans="1:19" s="22" customFormat="1" x14ac:dyDescent="0.35">
      <c r="A167" s="19">
        <v>155</v>
      </c>
      <c r="B167" s="19" t="s">
        <v>85</v>
      </c>
      <c r="C167" s="20" t="s">
        <v>416</v>
      </c>
      <c r="D167" s="116">
        <f>'As-Filed Schedule 4'!D167</f>
        <v>0</v>
      </c>
      <c r="E167" s="388">
        <f>SUMIFS(Adjustments!$G:$G,Adjustments!$H:$H,"4",Adjustments!$I:$I,'Schedule 4 Adjustments'!$D$14,Adjustments!$J:$J,'Schedule 4 Adjustments'!$A167)</f>
        <v>0</v>
      </c>
      <c r="F167" s="380">
        <f t="shared" si="22"/>
        <v>0</v>
      </c>
      <c r="G167" s="410">
        <v>5.28</v>
      </c>
      <c r="H167" s="47">
        <f t="shared" si="29"/>
        <v>0</v>
      </c>
      <c r="I167" s="378">
        <f t="shared" si="23"/>
        <v>0</v>
      </c>
      <c r="J167" s="21">
        <f t="shared" si="20"/>
        <v>597.29626380882735</v>
      </c>
      <c r="K167" s="376">
        <f t="shared" si="24"/>
        <v>597.29626380882735</v>
      </c>
      <c r="L167" s="150">
        <f>'As-Filed Schedule 4'!H167</f>
        <v>0</v>
      </c>
      <c r="M167" s="388">
        <f>SUMIFS(Adjustments!$G:$G,Adjustments!$H:$H,"4",Adjustments!$I:$I,'Schedule 4 Adjustments'!$L$14,Adjustments!$J:$J,'Schedule 4 Adjustments'!$A167)</f>
        <v>0</v>
      </c>
      <c r="N167" s="380">
        <f t="shared" si="25"/>
        <v>0</v>
      </c>
      <c r="O167" s="410">
        <v>5.28</v>
      </c>
      <c r="P167" s="47">
        <f t="shared" si="26"/>
        <v>0</v>
      </c>
      <c r="Q167" s="378">
        <f t="shared" si="27"/>
        <v>0</v>
      </c>
      <c r="R167" s="21">
        <f t="shared" si="21"/>
        <v>597.29626380882735</v>
      </c>
      <c r="S167" s="376">
        <f t="shared" si="28"/>
        <v>597.29626380882735</v>
      </c>
    </row>
    <row r="168" spans="1:19" s="22" customFormat="1" x14ac:dyDescent="0.35">
      <c r="A168" s="19">
        <v>156</v>
      </c>
      <c r="B168" s="19" t="s">
        <v>86</v>
      </c>
      <c r="C168" s="20" t="s">
        <v>414</v>
      </c>
      <c r="D168" s="116">
        <f>'As-Filed Schedule 4'!D168</f>
        <v>0</v>
      </c>
      <c r="E168" s="388">
        <f>SUMIFS(Adjustments!$G:$G,Adjustments!$H:$H,"4",Adjustments!$I:$I,'Schedule 4 Adjustments'!$D$14,Adjustments!$J:$J,'Schedule 4 Adjustments'!$A168)</f>
        <v>0</v>
      </c>
      <c r="F168" s="380">
        <f t="shared" si="22"/>
        <v>0</v>
      </c>
      <c r="G168" s="410">
        <v>0.44</v>
      </c>
      <c r="H168" s="47">
        <f t="shared" si="29"/>
        <v>0</v>
      </c>
      <c r="I168" s="378">
        <f t="shared" si="23"/>
        <v>0</v>
      </c>
      <c r="J168" s="21">
        <f t="shared" si="20"/>
        <v>49.774688650735605</v>
      </c>
      <c r="K168" s="376">
        <f t="shared" si="24"/>
        <v>49.774688650735605</v>
      </c>
      <c r="L168" s="150">
        <f>'As-Filed Schedule 4'!H168</f>
        <v>0</v>
      </c>
      <c r="M168" s="388">
        <f>SUMIFS(Adjustments!$G:$G,Adjustments!$H:$H,"4",Adjustments!$I:$I,'Schedule 4 Adjustments'!$L$14,Adjustments!$J:$J,'Schedule 4 Adjustments'!$A168)</f>
        <v>0</v>
      </c>
      <c r="N168" s="380">
        <f t="shared" si="25"/>
        <v>0</v>
      </c>
      <c r="O168" s="410">
        <v>0.44</v>
      </c>
      <c r="P168" s="47">
        <f t="shared" si="26"/>
        <v>0</v>
      </c>
      <c r="Q168" s="378">
        <f t="shared" si="27"/>
        <v>0</v>
      </c>
      <c r="R168" s="21">
        <f t="shared" si="21"/>
        <v>49.774688650735605</v>
      </c>
      <c r="S168" s="376">
        <f t="shared" si="28"/>
        <v>49.774688650735605</v>
      </c>
    </row>
    <row r="169" spans="1:19" s="22" customFormat="1" x14ac:dyDescent="0.35">
      <c r="A169" s="19">
        <v>157</v>
      </c>
      <c r="B169" s="19" t="s">
        <v>87</v>
      </c>
      <c r="C169" s="20" t="s">
        <v>413</v>
      </c>
      <c r="D169" s="116">
        <f>'As-Filed Schedule 4'!D169</f>
        <v>0</v>
      </c>
      <c r="E169" s="388">
        <f>SUMIFS(Adjustments!$G:$G,Adjustments!$H:$H,"4",Adjustments!$I:$I,'Schedule 4 Adjustments'!$D$14,Adjustments!$J:$J,'Schedule 4 Adjustments'!$A169)</f>
        <v>0</v>
      </c>
      <c r="F169" s="380">
        <f t="shared" si="22"/>
        <v>0</v>
      </c>
      <c r="G169" s="410">
        <v>5.28</v>
      </c>
      <c r="H169" s="47">
        <f t="shared" si="29"/>
        <v>0</v>
      </c>
      <c r="I169" s="378">
        <f t="shared" si="23"/>
        <v>0</v>
      </c>
      <c r="J169" s="21">
        <f t="shared" si="20"/>
        <v>597.29626380882735</v>
      </c>
      <c r="K169" s="376">
        <f t="shared" si="24"/>
        <v>597.29626380882735</v>
      </c>
      <c r="L169" s="150">
        <f>'As-Filed Schedule 4'!H169</f>
        <v>0</v>
      </c>
      <c r="M169" s="388">
        <f>SUMIFS(Adjustments!$G:$G,Adjustments!$H:$H,"4",Adjustments!$I:$I,'Schedule 4 Adjustments'!$L$14,Adjustments!$J:$J,'Schedule 4 Adjustments'!$A169)</f>
        <v>0</v>
      </c>
      <c r="N169" s="380">
        <f t="shared" si="25"/>
        <v>0</v>
      </c>
      <c r="O169" s="410">
        <v>5.28</v>
      </c>
      <c r="P169" s="47">
        <f t="shared" si="26"/>
        <v>0</v>
      </c>
      <c r="Q169" s="378">
        <f t="shared" si="27"/>
        <v>0</v>
      </c>
      <c r="R169" s="21">
        <f t="shared" si="21"/>
        <v>597.29626380882735</v>
      </c>
      <c r="S169" s="376">
        <f t="shared" si="28"/>
        <v>597.29626380882735</v>
      </c>
    </row>
    <row r="170" spans="1:19" s="22" customFormat="1" x14ac:dyDescent="0.35">
      <c r="A170" s="19">
        <v>158</v>
      </c>
      <c r="B170" s="19" t="s">
        <v>88</v>
      </c>
      <c r="C170" s="20" t="s">
        <v>418</v>
      </c>
      <c r="D170" s="116">
        <f>'As-Filed Schedule 4'!D170</f>
        <v>377</v>
      </c>
      <c r="E170" s="388">
        <f>SUMIFS(Adjustments!$G:$G,Adjustments!$H:$H,"4",Adjustments!$I:$I,'Schedule 4 Adjustments'!$D$14,Adjustments!$J:$J,'Schedule 4 Adjustments'!$A170)</f>
        <v>0</v>
      </c>
      <c r="F170" s="380">
        <f t="shared" si="22"/>
        <v>377</v>
      </c>
      <c r="G170" s="410">
        <v>0.14000000000000001</v>
      </c>
      <c r="H170" s="47">
        <f t="shared" si="29"/>
        <v>52.780000000000008</v>
      </c>
      <c r="I170" s="378">
        <f t="shared" si="23"/>
        <v>52.780000000000008</v>
      </c>
      <c r="J170" s="21">
        <f t="shared" si="20"/>
        <v>15.837400934324968</v>
      </c>
      <c r="K170" s="376">
        <f t="shared" si="24"/>
        <v>15.837400934324968</v>
      </c>
      <c r="L170" s="150">
        <f>'As-Filed Schedule 4'!H170</f>
        <v>449</v>
      </c>
      <c r="M170" s="388">
        <f>SUMIFS(Adjustments!$G:$G,Adjustments!$H:$H,"4",Adjustments!$I:$I,'Schedule 4 Adjustments'!$L$14,Adjustments!$J:$J,'Schedule 4 Adjustments'!$A170)</f>
        <v>0</v>
      </c>
      <c r="N170" s="380">
        <f t="shared" si="25"/>
        <v>449</v>
      </c>
      <c r="O170" s="410">
        <v>0.12</v>
      </c>
      <c r="P170" s="47">
        <f t="shared" si="26"/>
        <v>53.879999999999995</v>
      </c>
      <c r="Q170" s="378">
        <f t="shared" si="27"/>
        <v>53.879999999999995</v>
      </c>
      <c r="R170" s="21">
        <f t="shared" si="21"/>
        <v>13.574915086564255</v>
      </c>
      <c r="S170" s="376">
        <f t="shared" si="28"/>
        <v>13.574915086564255</v>
      </c>
    </row>
    <row r="171" spans="1:19" s="22" customFormat="1" x14ac:dyDescent="0.35">
      <c r="A171" s="19">
        <v>159</v>
      </c>
      <c r="B171" s="19" t="s">
        <v>89</v>
      </c>
      <c r="C171" s="20" t="s">
        <v>419</v>
      </c>
      <c r="D171" s="116">
        <f>'As-Filed Schedule 4'!D171</f>
        <v>0</v>
      </c>
      <c r="E171" s="388">
        <f>SUMIFS(Adjustments!$G:$G,Adjustments!$H:$H,"4",Adjustments!$I:$I,'Schedule 4 Adjustments'!$D$14,Adjustments!$J:$J,'Schedule 4 Adjustments'!$A171)</f>
        <v>0</v>
      </c>
      <c r="F171" s="380">
        <f t="shared" si="22"/>
        <v>0</v>
      </c>
      <c r="G171" s="410">
        <v>3.3600000000000003</v>
      </c>
      <c r="H171" s="47">
        <f t="shared" si="29"/>
        <v>0</v>
      </c>
      <c r="I171" s="378">
        <f t="shared" si="23"/>
        <v>0</v>
      </c>
      <c r="J171" s="21">
        <f t="shared" si="20"/>
        <v>380.09762242379924</v>
      </c>
      <c r="K171" s="376">
        <f t="shared" si="24"/>
        <v>380.09762242379924</v>
      </c>
      <c r="L171" s="150">
        <f>'As-Filed Schedule 4'!H171</f>
        <v>0</v>
      </c>
      <c r="M171" s="388">
        <f>SUMIFS(Adjustments!$G:$G,Adjustments!$H:$H,"4",Adjustments!$I:$I,'Schedule 4 Adjustments'!$L$14,Adjustments!$J:$J,'Schedule 4 Adjustments'!$A171)</f>
        <v>0</v>
      </c>
      <c r="N171" s="380">
        <f t="shared" si="25"/>
        <v>0</v>
      </c>
      <c r="O171" s="410">
        <v>2.88</v>
      </c>
      <c r="P171" s="47">
        <f t="shared" si="26"/>
        <v>0</v>
      </c>
      <c r="Q171" s="378">
        <f t="shared" si="27"/>
        <v>0</v>
      </c>
      <c r="R171" s="21">
        <f t="shared" si="21"/>
        <v>325.79796207754214</v>
      </c>
      <c r="S171" s="376">
        <f t="shared" si="28"/>
        <v>325.79796207754214</v>
      </c>
    </row>
    <row r="172" spans="1:19" s="22" customFormat="1" x14ac:dyDescent="0.35">
      <c r="A172" s="19">
        <v>160</v>
      </c>
      <c r="B172" s="19" t="s">
        <v>90</v>
      </c>
      <c r="C172" s="20" t="s">
        <v>420</v>
      </c>
      <c r="D172" s="116">
        <f>'As-Filed Schedule 4'!D172</f>
        <v>783</v>
      </c>
      <c r="E172" s="388">
        <f>SUMIFS(Adjustments!$G:$G,Adjustments!$H:$H,"4",Adjustments!$I:$I,'Schedule 4 Adjustments'!$D$14,Adjustments!$J:$J,'Schedule 4 Adjustments'!$A172)</f>
        <v>0</v>
      </c>
      <c r="F172" s="380">
        <f t="shared" si="22"/>
        <v>783</v>
      </c>
      <c r="G172" s="410">
        <v>0.14000000000000001</v>
      </c>
      <c r="H172" s="47">
        <f t="shared" si="29"/>
        <v>109.62</v>
      </c>
      <c r="I172" s="378">
        <f t="shared" si="23"/>
        <v>109.62</v>
      </c>
      <c r="J172" s="21">
        <f t="shared" si="20"/>
        <v>15.837400934324968</v>
      </c>
      <c r="K172" s="376">
        <f t="shared" si="24"/>
        <v>15.837400934324968</v>
      </c>
      <c r="L172" s="150">
        <f>'As-Filed Schedule 4'!H172</f>
        <v>88</v>
      </c>
      <c r="M172" s="388">
        <f>SUMIFS(Adjustments!$G:$G,Adjustments!$H:$H,"4",Adjustments!$I:$I,'Schedule 4 Adjustments'!$L$14,Adjustments!$J:$J,'Schedule 4 Adjustments'!$A172)</f>
        <v>0</v>
      </c>
      <c r="N172" s="380">
        <f t="shared" si="25"/>
        <v>88</v>
      </c>
      <c r="O172" s="410">
        <v>0.12</v>
      </c>
      <c r="P172" s="47">
        <f t="shared" si="26"/>
        <v>10.559999999999999</v>
      </c>
      <c r="Q172" s="378">
        <f t="shared" si="27"/>
        <v>10.559999999999999</v>
      </c>
      <c r="R172" s="21">
        <f t="shared" si="21"/>
        <v>13.574915086564255</v>
      </c>
      <c r="S172" s="376">
        <f t="shared" si="28"/>
        <v>13.574915086564255</v>
      </c>
    </row>
    <row r="173" spans="1:19" s="22" customFormat="1" x14ac:dyDescent="0.35">
      <c r="A173" s="19">
        <v>161</v>
      </c>
      <c r="B173" s="19" t="s">
        <v>91</v>
      </c>
      <c r="C173" s="20" t="s">
        <v>421</v>
      </c>
      <c r="D173" s="116">
        <f>'As-Filed Schedule 4'!D173</f>
        <v>0</v>
      </c>
      <c r="E173" s="388">
        <f>SUMIFS(Adjustments!$G:$G,Adjustments!$H:$H,"4",Adjustments!$I:$I,'Schedule 4 Adjustments'!$D$14,Adjustments!$J:$J,'Schedule 4 Adjustments'!$A173)</f>
        <v>0</v>
      </c>
      <c r="F173" s="380">
        <f t="shared" si="22"/>
        <v>0</v>
      </c>
      <c r="G173" s="410">
        <v>3.3600000000000003</v>
      </c>
      <c r="H173" s="47">
        <f t="shared" si="29"/>
        <v>0</v>
      </c>
      <c r="I173" s="378">
        <f t="shared" si="23"/>
        <v>0</v>
      </c>
      <c r="J173" s="21">
        <f t="shared" si="20"/>
        <v>380.09762242379924</v>
      </c>
      <c r="K173" s="376">
        <f t="shared" si="24"/>
        <v>380.09762242379924</v>
      </c>
      <c r="L173" s="150">
        <f>'As-Filed Schedule 4'!H173</f>
        <v>0</v>
      </c>
      <c r="M173" s="388">
        <f>SUMIFS(Adjustments!$G:$G,Adjustments!$H:$H,"4",Adjustments!$I:$I,'Schedule 4 Adjustments'!$L$14,Adjustments!$J:$J,'Schedule 4 Adjustments'!$A173)</f>
        <v>0</v>
      </c>
      <c r="N173" s="380">
        <f t="shared" si="25"/>
        <v>0</v>
      </c>
      <c r="O173" s="410">
        <v>2.88</v>
      </c>
      <c r="P173" s="47">
        <f t="shared" si="26"/>
        <v>0</v>
      </c>
      <c r="Q173" s="378">
        <f t="shared" si="27"/>
        <v>0</v>
      </c>
      <c r="R173" s="21">
        <f t="shared" si="21"/>
        <v>325.79796207754214</v>
      </c>
      <c r="S173" s="376">
        <f t="shared" si="28"/>
        <v>325.79796207754214</v>
      </c>
    </row>
    <row r="174" spans="1:19" s="22" customFormat="1" x14ac:dyDescent="0.35">
      <c r="A174" s="19">
        <v>162</v>
      </c>
      <c r="B174" s="19" t="s">
        <v>92</v>
      </c>
      <c r="C174" s="20" t="s">
        <v>422</v>
      </c>
      <c r="D174" s="116">
        <f>'As-Filed Schedule 4'!D174</f>
        <v>2157</v>
      </c>
      <c r="E174" s="388">
        <f>SUMIFS(Adjustments!$G:$G,Adjustments!$H:$H,"4",Adjustments!$I:$I,'Schedule 4 Adjustments'!$D$14,Adjustments!$J:$J,'Schedule 4 Adjustments'!$A174)</f>
        <v>0</v>
      </c>
      <c r="F174" s="380">
        <f t="shared" si="22"/>
        <v>2157</v>
      </c>
      <c r="G174" s="410">
        <v>0.14000000000000001</v>
      </c>
      <c r="H174" s="47">
        <f t="shared" si="29"/>
        <v>301.98</v>
      </c>
      <c r="I174" s="378">
        <f t="shared" si="23"/>
        <v>301.98</v>
      </c>
      <c r="J174" s="21">
        <f t="shared" si="20"/>
        <v>15.837400934324968</v>
      </c>
      <c r="K174" s="376">
        <f t="shared" si="24"/>
        <v>15.837400934324968</v>
      </c>
      <c r="L174" s="150">
        <f>'As-Filed Schedule 4'!H174</f>
        <v>8686</v>
      </c>
      <c r="M174" s="388">
        <f>SUMIFS(Adjustments!$G:$G,Adjustments!$H:$H,"4",Adjustments!$I:$I,'Schedule 4 Adjustments'!$L$14,Adjustments!$J:$J,'Schedule 4 Adjustments'!$A174)</f>
        <v>0</v>
      </c>
      <c r="N174" s="380">
        <f t="shared" si="25"/>
        <v>8686</v>
      </c>
      <c r="O174" s="410">
        <v>0.12</v>
      </c>
      <c r="P174" s="47">
        <f t="shared" si="26"/>
        <v>1042.32</v>
      </c>
      <c r="Q174" s="378">
        <f t="shared" si="27"/>
        <v>1042.32</v>
      </c>
      <c r="R174" s="21">
        <f t="shared" si="21"/>
        <v>13.574915086564255</v>
      </c>
      <c r="S174" s="376">
        <f t="shared" si="28"/>
        <v>13.574915086564255</v>
      </c>
    </row>
    <row r="175" spans="1:19" s="22" customFormat="1" x14ac:dyDescent="0.35">
      <c r="A175" s="19">
        <v>163</v>
      </c>
      <c r="B175" s="19" t="s">
        <v>93</v>
      </c>
      <c r="C175" s="20" t="s">
        <v>423</v>
      </c>
      <c r="D175" s="116">
        <f>'As-Filed Schedule 4'!D175</f>
        <v>0</v>
      </c>
      <c r="E175" s="388">
        <f>SUMIFS(Adjustments!$G:$G,Adjustments!$H:$H,"4",Adjustments!$I:$I,'Schedule 4 Adjustments'!$D$14,Adjustments!$J:$J,'Schedule 4 Adjustments'!$A175)</f>
        <v>0</v>
      </c>
      <c r="F175" s="380">
        <f t="shared" si="22"/>
        <v>0</v>
      </c>
      <c r="G175" s="410">
        <v>0.14000000000000001</v>
      </c>
      <c r="H175" s="47">
        <f t="shared" si="29"/>
        <v>0</v>
      </c>
      <c r="I175" s="378">
        <f t="shared" si="23"/>
        <v>0</v>
      </c>
      <c r="J175" s="21">
        <f t="shared" si="20"/>
        <v>15.837400934324968</v>
      </c>
      <c r="K175" s="376">
        <f t="shared" si="24"/>
        <v>15.837400934324968</v>
      </c>
      <c r="L175" s="150">
        <f>'As-Filed Schedule 4'!H175</f>
        <v>0</v>
      </c>
      <c r="M175" s="388">
        <f>SUMIFS(Adjustments!$G:$G,Adjustments!$H:$H,"4",Adjustments!$I:$I,'Schedule 4 Adjustments'!$L$14,Adjustments!$J:$J,'Schedule 4 Adjustments'!$A175)</f>
        <v>0</v>
      </c>
      <c r="N175" s="380">
        <f t="shared" si="25"/>
        <v>0</v>
      </c>
      <c r="O175" s="410">
        <v>0.12</v>
      </c>
      <c r="P175" s="47">
        <f t="shared" si="26"/>
        <v>0</v>
      </c>
      <c r="Q175" s="378">
        <f t="shared" si="27"/>
        <v>0</v>
      </c>
      <c r="R175" s="21">
        <f t="shared" si="21"/>
        <v>13.574915086564255</v>
      </c>
      <c r="S175" s="376">
        <f t="shared" si="28"/>
        <v>13.574915086564255</v>
      </c>
    </row>
    <row r="176" spans="1:19" s="22" customFormat="1" x14ac:dyDescent="0.35">
      <c r="A176" s="19">
        <v>164</v>
      </c>
      <c r="B176" s="19" t="s">
        <v>94</v>
      </c>
      <c r="C176" s="20" t="s">
        <v>424</v>
      </c>
      <c r="D176" s="116">
        <f>'As-Filed Schedule 4'!D176</f>
        <v>0</v>
      </c>
      <c r="E176" s="388">
        <f>SUMIFS(Adjustments!$G:$G,Adjustments!$H:$H,"4",Adjustments!$I:$I,'Schedule 4 Adjustments'!$D$14,Adjustments!$J:$J,'Schedule 4 Adjustments'!$A176)</f>
        <v>0</v>
      </c>
      <c r="F176" s="380">
        <f t="shared" si="22"/>
        <v>0</v>
      </c>
      <c r="G176" s="410">
        <v>3.3600000000000003</v>
      </c>
      <c r="H176" s="47">
        <f t="shared" si="29"/>
        <v>0</v>
      </c>
      <c r="I176" s="378">
        <f t="shared" si="23"/>
        <v>0</v>
      </c>
      <c r="J176" s="21">
        <f t="shared" si="20"/>
        <v>380.09762242379924</v>
      </c>
      <c r="K176" s="376">
        <f t="shared" si="24"/>
        <v>380.09762242379924</v>
      </c>
      <c r="L176" s="150">
        <f>'As-Filed Schedule 4'!H176</f>
        <v>0</v>
      </c>
      <c r="M176" s="388">
        <f>SUMIFS(Adjustments!$G:$G,Adjustments!$H:$H,"4",Adjustments!$I:$I,'Schedule 4 Adjustments'!$L$14,Adjustments!$J:$J,'Schedule 4 Adjustments'!$A176)</f>
        <v>0</v>
      </c>
      <c r="N176" s="380">
        <f t="shared" si="25"/>
        <v>0</v>
      </c>
      <c r="O176" s="410">
        <v>2.88</v>
      </c>
      <c r="P176" s="47">
        <f t="shared" si="26"/>
        <v>0</v>
      </c>
      <c r="Q176" s="378">
        <f t="shared" si="27"/>
        <v>0</v>
      </c>
      <c r="R176" s="21">
        <f t="shared" si="21"/>
        <v>325.79796207754214</v>
      </c>
      <c r="S176" s="376">
        <f t="shared" si="28"/>
        <v>325.79796207754214</v>
      </c>
    </row>
    <row r="177" spans="1:19" s="22" customFormat="1" x14ac:dyDescent="0.35">
      <c r="A177" s="19">
        <v>165</v>
      </c>
      <c r="B177" s="19" t="s">
        <v>95</v>
      </c>
      <c r="C177" s="20" t="s">
        <v>425</v>
      </c>
      <c r="D177" s="116">
        <f>'As-Filed Schedule 4'!D177</f>
        <v>137</v>
      </c>
      <c r="E177" s="388">
        <f>SUMIFS(Adjustments!$G:$G,Adjustments!$H:$H,"4",Adjustments!$I:$I,'Schedule 4 Adjustments'!$D$14,Adjustments!$J:$J,'Schedule 4 Adjustments'!$A177)</f>
        <v>0</v>
      </c>
      <c r="F177" s="380">
        <f t="shared" si="22"/>
        <v>137</v>
      </c>
      <c r="G177" s="410">
        <v>0.14000000000000001</v>
      </c>
      <c r="H177" s="47">
        <f t="shared" si="29"/>
        <v>19.180000000000003</v>
      </c>
      <c r="I177" s="378">
        <f t="shared" si="23"/>
        <v>19.180000000000003</v>
      </c>
      <c r="J177" s="21">
        <f t="shared" si="20"/>
        <v>15.837400934324968</v>
      </c>
      <c r="K177" s="376">
        <f t="shared" si="24"/>
        <v>15.837400934324968</v>
      </c>
      <c r="L177" s="150">
        <f>'As-Filed Schedule 4'!H177</f>
        <v>4110</v>
      </c>
      <c r="M177" s="388">
        <f>SUMIFS(Adjustments!$G:$G,Adjustments!$H:$H,"4",Adjustments!$I:$I,'Schedule 4 Adjustments'!$L$14,Adjustments!$J:$J,'Schedule 4 Adjustments'!$A177)</f>
        <v>0</v>
      </c>
      <c r="N177" s="380">
        <f t="shared" si="25"/>
        <v>4110</v>
      </c>
      <c r="O177" s="410">
        <v>0.12</v>
      </c>
      <c r="P177" s="47">
        <f t="shared" si="26"/>
        <v>493.2</v>
      </c>
      <c r="Q177" s="378">
        <f t="shared" si="27"/>
        <v>493.2</v>
      </c>
      <c r="R177" s="21">
        <f t="shared" si="21"/>
        <v>13.574915086564255</v>
      </c>
      <c r="S177" s="376">
        <f t="shared" si="28"/>
        <v>13.574915086564255</v>
      </c>
    </row>
    <row r="178" spans="1:19" s="22" customFormat="1" x14ac:dyDescent="0.35">
      <c r="A178" s="19">
        <v>166</v>
      </c>
      <c r="B178" s="19" t="s">
        <v>96</v>
      </c>
      <c r="C178" s="20" t="s">
        <v>426</v>
      </c>
      <c r="D178" s="116">
        <f>'As-Filed Schedule 4'!D178</f>
        <v>8609</v>
      </c>
      <c r="E178" s="388">
        <f>SUMIFS(Adjustments!$G:$G,Adjustments!$H:$H,"4",Adjustments!$I:$I,'Schedule 4 Adjustments'!$D$14,Adjustments!$J:$J,'Schedule 4 Adjustments'!$A178)</f>
        <v>0</v>
      </c>
      <c r="F178" s="380">
        <f t="shared" si="22"/>
        <v>8609</v>
      </c>
      <c r="G178" s="410">
        <v>1.29</v>
      </c>
      <c r="H178" s="47">
        <f t="shared" si="29"/>
        <v>11105.61</v>
      </c>
      <c r="I178" s="378">
        <f t="shared" si="23"/>
        <v>11105.61</v>
      </c>
      <c r="J178" s="21">
        <f t="shared" si="20"/>
        <v>145.93033718056577</v>
      </c>
      <c r="K178" s="376">
        <f t="shared" si="24"/>
        <v>145.93033718056577</v>
      </c>
      <c r="L178" s="150">
        <f>'As-Filed Schedule 4'!H178</f>
        <v>1196</v>
      </c>
      <c r="M178" s="388">
        <f>SUMIFS(Adjustments!$G:$G,Adjustments!$H:$H,"4",Adjustments!$I:$I,'Schedule 4 Adjustments'!$L$14,Adjustments!$J:$J,'Schedule 4 Adjustments'!$A178)</f>
        <v>0</v>
      </c>
      <c r="N178" s="380">
        <f t="shared" si="25"/>
        <v>1196</v>
      </c>
      <c r="O178" s="410">
        <v>1.1299999999999999</v>
      </c>
      <c r="P178" s="47">
        <f t="shared" si="26"/>
        <v>1351.4799999999998</v>
      </c>
      <c r="Q178" s="378">
        <f t="shared" si="27"/>
        <v>1351.4799999999998</v>
      </c>
      <c r="R178" s="21">
        <f t="shared" si="21"/>
        <v>127.83045039848007</v>
      </c>
      <c r="S178" s="376">
        <f t="shared" si="28"/>
        <v>127.83045039848007</v>
      </c>
    </row>
    <row r="179" spans="1:19" s="22" customFormat="1" x14ac:dyDescent="0.35">
      <c r="A179" s="19">
        <v>167</v>
      </c>
      <c r="B179" s="19" t="s">
        <v>35</v>
      </c>
      <c r="C179" s="20" t="s">
        <v>37</v>
      </c>
      <c r="D179" s="116">
        <f>'As-Filed Schedule 4'!D179</f>
        <v>0</v>
      </c>
      <c r="E179" s="388">
        <f>SUMIFS(Adjustments!$G:$G,Adjustments!$H:$H,"4",Adjustments!$I:$I,'Schedule 4 Adjustments'!$D$14,Adjustments!$J:$J,'Schedule 4 Adjustments'!$A179)</f>
        <v>0</v>
      </c>
      <c r="F179" s="380">
        <f t="shared" si="22"/>
        <v>0</v>
      </c>
      <c r="G179" s="410">
        <v>0</v>
      </c>
      <c r="H179" s="47">
        <f t="shared" si="29"/>
        <v>0</v>
      </c>
      <c r="I179" s="378">
        <f t="shared" si="23"/>
        <v>0</v>
      </c>
      <c r="J179" s="21">
        <f t="shared" si="20"/>
        <v>0</v>
      </c>
      <c r="K179" s="376">
        <f t="shared" si="24"/>
        <v>0</v>
      </c>
      <c r="L179" s="150">
        <f>'As-Filed Schedule 4'!H179</f>
        <v>0</v>
      </c>
      <c r="M179" s="388">
        <f>SUMIFS(Adjustments!$G:$G,Adjustments!$H:$H,"4",Adjustments!$I:$I,'Schedule 4 Adjustments'!$L$14,Adjustments!$J:$J,'Schedule 4 Adjustments'!$A179)</f>
        <v>0</v>
      </c>
      <c r="N179" s="380">
        <f t="shared" si="25"/>
        <v>0</v>
      </c>
      <c r="O179" s="410">
        <v>0</v>
      </c>
      <c r="P179" s="47">
        <f t="shared" si="26"/>
        <v>0</v>
      </c>
      <c r="Q179" s="378">
        <f t="shared" si="27"/>
        <v>0</v>
      </c>
      <c r="R179" s="21">
        <f t="shared" si="21"/>
        <v>0</v>
      </c>
      <c r="S179" s="376">
        <f t="shared" si="28"/>
        <v>0</v>
      </c>
    </row>
    <row r="180" spans="1:19" s="22" customFormat="1" x14ac:dyDescent="0.35">
      <c r="A180" s="19">
        <v>168</v>
      </c>
      <c r="B180" s="19" t="s">
        <v>97</v>
      </c>
      <c r="C180" s="20" t="s">
        <v>427</v>
      </c>
      <c r="D180" s="116">
        <f>'As-Filed Schedule 4'!D180</f>
        <v>0</v>
      </c>
      <c r="E180" s="388">
        <f>SUMIFS(Adjustments!$G:$G,Adjustments!$H:$H,"4",Adjustments!$I:$I,'Schedule 4 Adjustments'!$D$14,Adjustments!$J:$J,'Schedule 4 Adjustments'!$A180)</f>
        <v>0</v>
      </c>
      <c r="F180" s="380">
        <f t="shared" si="22"/>
        <v>0</v>
      </c>
      <c r="G180" s="410">
        <v>0</v>
      </c>
      <c r="H180" s="47">
        <f t="shared" si="29"/>
        <v>0</v>
      </c>
      <c r="I180" s="378">
        <f t="shared" si="23"/>
        <v>0</v>
      </c>
      <c r="J180" s="21">
        <f t="shared" si="20"/>
        <v>0</v>
      </c>
      <c r="K180" s="376">
        <f t="shared" si="24"/>
        <v>0</v>
      </c>
      <c r="L180" s="150">
        <f>'As-Filed Schedule 4'!H180</f>
        <v>0</v>
      </c>
      <c r="M180" s="388">
        <f>SUMIFS(Adjustments!$G:$G,Adjustments!$H:$H,"4",Adjustments!$I:$I,'Schedule 4 Adjustments'!$L$14,Adjustments!$J:$J,'Schedule 4 Adjustments'!$A180)</f>
        <v>0</v>
      </c>
      <c r="N180" s="380">
        <f t="shared" si="25"/>
        <v>0</v>
      </c>
      <c r="O180" s="410">
        <v>0</v>
      </c>
      <c r="P180" s="47">
        <f t="shared" si="26"/>
        <v>0</v>
      </c>
      <c r="Q180" s="378">
        <f t="shared" si="27"/>
        <v>0</v>
      </c>
      <c r="R180" s="21">
        <f t="shared" si="21"/>
        <v>0</v>
      </c>
      <c r="S180" s="376">
        <f t="shared" si="28"/>
        <v>0</v>
      </c>
    </row>
    <row r="181" spans="1:19" s="22" customFormat="1" x14ac:dyDescent="0.35">
      <c r="A181" s="19">
        <v>169</v>
      </c>
      <c r="B181" s="19" t="s">
        <v>98</v>
      </c>
      <c r="C181" s="20" t="s">
        <v>428</v>
      </c>
      <c r="D181" s="116">
        <f>'As-Filed Schedule 4'!D181</f>
        <v>0</v>
      </c>
      <c r="E181" s="388">
        <f>SUMIFS(Adjustments!$G:$G,Adjustments!$H:$H,"4",Adjustments!$I:$I,'Schedule 4 Adjustments'!$D$14,Adjustments!$J:$J,'Schedule 4 Adjustments'!$A181)</f>
        <v>0</v>
      </c>
      <c r="F181" s="380">
        <f t="shared" si="22"/>
        <v>0</v>
      </c>
      <c r="G181" s="410">
        <v>0.22</v>
      </c>
      <c r="H181" s="47">
        <f t="shared" si="29"/>
        <v>0</v>
      </c>
      <c r="I181" s="378">
        <f t="shared" si="23"/>
        <v>0</v>
      </c>
      <c r="J181" s="21">
        <f t="shared" si="20"/>
        <v>24.887344325367803</v>
      </c>
      <c r="K181" s="376">
        <f t="shared" si="24"/>
        <v>24.887344325367803</v>
      </c>
      <c r="L181" s="150">
        <f>'As-Filed Schedule 4'!H181</f>
        <v>16</v>
      </c>
      <c r="M181" s="388">
        <f>SUMIFS(Adjustments!$G:$G,Adjustments!$H:$H,"4",Adjustments!$I:$I,'Schedule 4 Adjustments'!$L$14,Adjustments!$J:$J,'Schedule 4 Adjustments'!$A181)</f>
        <v>0</v>
      </c>
      <c r="N181" s="380">
        <f t="shared" si="25"/>
        <v>16</v>
      </c>
      <c r="O181" s="410">
        <v>0.22</v>
      </c>
      <c r="P181" s="47">
        <f t="shared" si="26"/>
        <v>3.52</v>
      </c>
      <c r="Q181" s="378">
        <f t="shared" si="27"/>
        <v>3.52</v>
      </c>
      <c r="R181" s="21">
        <f t="shared" si="21"/>
        <v>24.887344325367803</v>
      </c>
      <c r="S181" s="376">
        <f t="shared" si="28"/>
        <v>24.887344325367803</v>
      </c>
    </row>
    <row r="182" spans="1:19" s="22" customFormat="1" x14ac:dyDescent="0.35">
      <c r="A182" s="19">
        <v>170</v>
      </c>
      <c r="B182" s="19" t="s">
        <v>99</v>
      </c>
      <c r="C182" s="20" t="s">
        <v>429</v>
      </c>
      <c r="D182" s="116">
        <f>'As-Filed Schedule 4'!D182</f>
        <v>0</v>
      </c>
      <c r="E182" s="388">
        <f>SUMIFS(Adjustments!$G:$G,Adjustments!$H:$H,"4",Adjustments!$I:$I,'Schedule 4 Adjustments'!$D$14,Adjustments!$J:$J,'Schedule 4 Adjustments'!$A182)</f>
        <v>0</v>
      </c>
      <c r="F182" s="380">
        <f t="shared" si="22"/>
        <v>0</v>
      </c>
      <c r="G182" s="410">
        <v>4.4000000000000004</v>
      </c>
      <c r="H182" s="47">
        <f t="shared" si="29"/>
        <v>0</v>
      </c>
      <c r="I182" s="378">
        <f t="shared" si="23"/>
        <v>0</v>
      </c>
      <c r="J182" s="21">
        <f t="shared" si="20"/>
        <v>497.74688650735612</v>
      </c>
      <c r="K182" s="376">
        <f t="shared" si="24"/>
        <v>497.74688650735612</v>
      </c>
      <c r="L182" s="150">
        <f>'As-Filed Schedule 4'!H182</f>
        <v>1273</v>
      </c>
      <c r="M182" s="388">
        <f>SUMIFS(Adjustments!$G:$G,Adjustments!$H:$H,"4",Adjustments!$I:$I,'Schedule 4 Adjustments'!$L$14,Adjustments!$J:$J,'Schedule 4 Adjustments'!$A182)</f>
        <v>0</v>
      </c>
      <c r="N182" s="380">
        <f t="shared" si="25"/>
        <v>1273</v>
      </c>
      <c r="O182" s="410">
        <v>4.4000000000000004</v>
      </c>
      <c r="P182" s="47">
        <f t="shared" si="26"/>
        <v>5601.2000000000007</v>
      </c>
      <c r="Q182" s="378">
        <f t="shared" si="27"/>
        <v>5601.2000000000007</v>
      </c>
      <c r="R182" s="21">
        <f t="shared" si="21"/>
        <v>497.74688650735612</v>
      </c>
      <c r="S182" s="376">
        <f t="shared" si="28"/>
        <v>497.74688650735612</v>
      </c>
    </row>
    <row r="183" spans="1:19" s="22" customFormat="1" x14ac:dyDescent="0.35">
      <c r="A183" s="19">
        <v>171</v>
      </c>
      <c r="B183" s="19" t="s">
        <v>100</v>
      </c>
      <c r="C183" s="20" t="s">
        <v>147</v>
      </c>
      <c r="D183" s="116">
        <f>'As-Filed Schedule 4'!D183</f>
        <v>0</v>
      </c>
      <c r="E183" s="388">
        <f>SUMIFS(Adjustments!$G:$G,Adjustments!$H:$H,"4",Adjustments!$I:$I,'Schedule 4 Adjustments'!$D$14,Adjustments!$J:$J,'Schedule 4 Adjustments'!$A183)</f>
        <v>0</v>
      </c>
      <c r="F183" s="380">
        <f t="shared" si="22"/>
        <v>0</v>
      </c>
      <c r="G183" s="410">
        <v>1.02</v>
      </c>
      <c r="H183" s="47">
        <f t="shared" si="29"/>
        <v>0</v>
      </c>
      <c r="I183" s="378">
        <f t="shared" si="23"/>
        <v>0</v>
      </c>
      <c r="J183" s="21">
        <f t="shared" si="20"/>
        <v>115.38677823579619</v>
      </c>
      <c r="K183" s="376">
        <f t="shared" si="24"/>
        <v>115.38677823579619</v>
      </c>
      <c r="L183" s="150">
        <f>'As-Filed Schedule 4'!H183</f>
        <v>0</v>
      </c>
      <c r="M183" s="388">
        <f>SUMIFS(Adjustments!$G:$G,Adjustments!$H:$H,"4",Adjustments!$I:$I,'Schedule 4 Adjustments'!$L$14,Adjustments!$J:$J,'Schedule 4 Adjustments'!$A183)</f>
        <v>0</v>
      </c>
      <c r="N183" s="380">
        <f t="shared" si="25"/>
        <v>0</v>
      </c>
      <c r="O183" s="410">
        <v>0.94</v>
      </c>
      <c r="P183" s="47">
        <f t="shared" si="26"/>
        <v>0</v>
      </c>
      <c r="Q183" s="378">
        <f t="shared" si="27"/>
        <v>0</v>
      </c>
      <c r="R183" s="21">
        <f t="shared" si="21"/>
        <v>106.33683484475334</v>
      </c>
      <c r="S183" s="376">
        <f t="shared" si="28"/>
        <v>106.33683484475334</v>
      </c>
    </row>
    <row r="184" spans="1:19" s="22" customFormat="1" x14ac:dyDescent="0.35">
      <c r="A184" s="19">
        <v>172</v>
      </c>
      <c r="B184" s="19" t="s">
        <v>101</v>
      </c>
      <c r="C184" s="20" t="s">
        <v>148</v>
      </c>
      <c r="D184" s="116">
        <f>'As-Filed Schedule 4'!D184</f>
        <v>0</v>
      </c>
      <c r="E184" s="388">
        <f>SUMIFS(Adjustments!$G:$G,Adjustments!$H:$H,"4",Adjustments!$I:$I,'Schedule 4 Adjustments'!$D$14,Adjustments!$J:$J,'Schedule 4 Adjustments'!$A184)</f>
        <v>0</v>
      </c>
      <c r="F184" s="380">
        <f t="shared" si="22"/>
        <v>0</v>
      </c>
      <c r="G184" s="410">
        <v>0.75</v>
      </c>
      <c r="H184" s="47">
        <f t="shared" si="29"/>
        <v>0</v>
      </c>
      <c r="I184" s="378">
        <f t="shared" si="23"/>
        <v>0</v>
      </c>
      <c r="J184" s="21">
        <f t="shared" si="20"/>
        <v>84.8432192910266</v>
      </c>
      <c r="K184" s="376">
        <f t="shared" si="24"/>
        <v>84.8432192910266</v>
      </c>
      <c r="L184" s="150">
        <f>'As-Filed Schedule 4'!H184</f>
        <v>0</v>
      </c>
      <c r="M184" s="388">
        <f>SUMIFS(Adjustments!$G:$G,Adjustments!$H:$H,"4",Adjustments!$I:$I,'Schedule 4 Adjustments'!$L$14,Adjustments!$J:$J,'Schedule 4 Adjustments'!$A184)</f>
        <v>0</v>
      </c>
      <c r="N184" s="380">
        <f t="shared" si="25"/>
        <v>0</v>
      </c>
      <c r="O184" s="410">
        <v>0.37</v>
      </c>
      <c r="P184" s="47">
        <f t="shared" si="26"/>
        <v>0</v>
      </c>
      <c r="Q184" s="378">
        <f t="shared" si="27"/>
        <v>0</v>
      </c>
      <c r="R184" s="21">
        <f t="shared" si="21"/>
        <v>41.855988183573125</v>
      </c>
      <c r="S184" s="376">
        <f t="shared" si="28"/>
        <v>41.855988183573125</v>
      </c>
    </row>
    <row r="185" spans="1:19" s="22" customFormat="1" x14ac:dyDescent="0.35">
      <c r="A185" s="19">
        <v>173</v>
      </c>
      <c r="B185" s="19" t="s">
        <v>102</v>
      </c>
      <c r="C185" s="20" t="s">
        <v>430</v>
      </c>
      <c r="D185" s="116">
        <f>'As-Filed Schedule 4'!D185</f>
        <v>0</v>
      </c>
      <c r="E185" s="388">
        <f>SUMIFS(Adjustments!$G:$G,Adjustments!$H:$H,"4",Adjustments!$I:$I,'Schedule 4 Adjustments'!$D$14,Adjustments!$J:$J,'Schedule 4 Adjustments'!$A185)</f>
        <v>0</v>
      </c>
      <c r="F185" s="380">
        <f t="shared" si="22"/>
        <v>0</v>
      </c>
      <c r="G185" s="410">
        <v>0.75</v>
      </c>
      <c r="H185" s="47">
        <f t="shared" si="29"/>
        <v>0</v>
      </c>
      <c r="I185" s="378">
        <f t="shared" si="23"/>
        <v>0</v>
      </c>
      <c r="J185" s="21">
        <f t="shared" si="20"/>
        <v>84.8432192910266</v>
      </c>
      <c r="K185" s="376">
        <f t="shared" si="24"/>
        <v>84.8432192910266</v>
      </c>
      <c r="L185" s="150">
        <f>'As-Filed Schedule 4'!H185</f>
        <v>0</v>
      </c>
      <c r="M185" s="388">
        <f>SUMIFS(Adjustments!$G:$G,Adjustments!$H:$H,"4",Adjustments!$I:$I,'Schedule 4 Adjustments'!$L$14,Adjustments!$J:$J,'Schedule 4 Adjustments'!$A185)</f>
        <v>0</v>
      </c>
      <c r="N185" s="380">
        <f t="shared" si="25"/>
        <v>0</v>
      </c>
      <c r="O185" s="410">
        <v>0.37</v>
      </c>
      <c r="P185" s="47">
        <f t="shared" si="26"/>
        <v>0</v>
      </c>
      <c r="Q185" s="378">
        <f t="shared" si="27"/>
        <v>0</v>
      </c>
      <c r="R185" s="21">
        <f t="shared" si="21"/>
        <v>41.855988183573125</v>
      </c>
      <c r="S185" s="376">
        <f t="shared" si="28"/>
        <v>41.855988183573125</v>
      </c>
    </row>
    <row r="186" spans="1:19" s="22" customFormat="1" x14ac:dyDescent="0.35">
      <c r="A186" s="19">
        <v>174</v>
      </c>
      <c r="B186" s="19" t="s">
        <v>103</v>
      </c>
      <c r="C186" s="20" t="s">
        <v>431</v>
      </c>
      <c r="D186" s="116">
        <f>'As-Filed Schedule 4'!D186</f>
        <v>14</v>
      </c>
      <c r="E186" s="388">
        <f>SUMIFS(Adjustments!$G:$G,Adjustments!$H:$H,"4",Adjustments!$I:$I,'Schedule 4 Adjustments'!$D$14,Adjustments!$J:$J,'Schedule 4 Adjustments'!$A186)</f>
        <v>0</v>
      </c>
      <c r="F186" s="380">
        <f t="shared" si="22"/>
        <v>14</v>
      </c>
      <c r="G186" s="410">
        <v>3.96</v>
      </c>
      <c r="H186" s="47">
        <f t="shared" si="29"/>
        <v>55.44</v>
      </c>
      <c r="I186" s="378">
        <f t="shared" si="23"/>
        <v>55.44</v>
      </c>
      <c r="J186" s="21">
        <f t="shared" si="20"/>
        <v>447.97219785662048</v>
      </c>
      <c r="K186" s="376">
        <f t="shared" si="24"/>
        <v>447.97219785662048</v>
      </c>
      <c r="L186" s="150">
        <f>'As-Filed Schedule 4'!H186</f>
        <v>2507</v>
      </c>
      <c r="M186" s="388">
        <f>SUMIFS(Adjustments!$G:$G,Adjustments!$H:$H,"4",Adjustments!$I:$I,'Schedule 4 Adjustments'!$L$14,Adjustments!$J:$J,'Schedule 4 Adjustments'!$A186)</f>
        <v>0</v>
      </c>
      <c r="N186" s="380">
        <f t="shared" si="25"/>
        <v>2507</v>
      </c>
      <c r="O186" s="410">
        <v>3.96</v>
      </c>
      <c r="P186" s="47">
        <f t="shared" si="26"/>
        <v>9927.7199999999993</v>
      </c>
      <c r="Q186" s="378">
        <f t="shared" si="27"/>
        <v>9927.7199999999993</v>
      </c>
      <c r="R186" s="21">
        <f t="shared" si="21"/>
        <v>447.97219785662048</v>
      </c>
      <c r="S186" s="376">
        <f t="shared" si="28"/>
        <v>447.97219785662048</v>
      </c>
    </row>
    <row r="187" spans="1:19" s="22" customFormat="1" x14ac:dyDescent="0.35">
      <c r="A187" s="19">
        <v>175</v>
      </c>
      <c r="B187" s="19" t="s">
        <v>104</v>
      </c>
      <c r="C187" s="20" t="s">
        <v>432</v>
      </c>
      <c r="D187" s="116">
        <f>'As-Filed Schedule 4'!D187</f>
        <v>0</v>
      </c>
      <c r="E187" s="388">
        <f>SUMIFS(Adjustments!$G:$G,Adjustments!$H:$H,"4",Adjustments!$I:$I,'Schedule 4 Adjustments'!$D$14,Adjustments!$J:$J,'Schedule 4 Adjustments'!$A187)</f>
        <v>0</v>
      </c>
      <c r="F187" s="380">
        <f t="shared" si="22"/>
        <v>0</v>
      </c>
      <c r="G187" s="410">
        <v>3.59</v>
      </c>
      <c r="H187" s="47">
        <f t="shared" si="29"/>
        <v>0</v>
      </c>
      <c r="I187" s="378">
        <f t="shared" si="23"/>
        <v>0</v>
      </c>
      <c r="J187" s="21">
        <f t="shared" si="20"/>
        <v>406.11620967304731</v>
      </c>
      <c r="K187" s="376">
        <f t="shared" si="24"/>
        <v>406.11620967304731</v>
      </c>
      <c r="L187" s="150">
        <f>'As-Filed Schedule 4'!H187</f>
        <v>9</v>
      </c>
      <c r="M187" s="388">
        <f>SUMIFS(Adjustments!$G:$G,Adjustments!$H:$H,"4",Adjustments!$I:$I,'Schedule 4 Adjustments'!$L$14,Adjustments!$J:$J,'Schedule 4 Adjustments'!$A187)</f>
        <v>0</v>
      </c>
      <c r="N187" s="380">
        <f t="shared" si="25"/>
        <v>9</v>
      </c>
      <c r="O187" s="410">
        <v>3.59</v>
      </c>
      <c r="P187" s="47">
        <f t="shared" si="26"/>
        <v>32.31</v>
      </c>
      <c r="Q187" s="378">
        <f t="shared" si="27"/>
        <v>32.31</v>
      </c>
      <c r="R187" s="21">
        <f t="shared" si="21"/>
        <v>406.11620967304731</v>
      </c>
      <c r="S187" s="376">
        <f t="shared" si="28"/>
        <v>406.11620967304731</v>
      </c>
    </row>
    <row r="188" spans="1:19" s="22" customFormat="1" x14ac:dyDescent="0.35">
      <c r="A188" s="19">
        <v>176</v>
      </c>
      <c r="B188" s="19" t="s">
        <v>36</v>
      </c>
      <c r="C188" s="20" t="s">
        <v>38</v>
      </c>
      <c r="D188" s="116">
        <f>'As-Filed Schedule 4'!D188</f>
        <v>0</v>
      </c>
      <c r="E188" s="388">
        <f>SUMIFS(Adjustments!$G:$G,Adjustments!$H:$H,"4",Adjustments!$I:$I,'Schedule 4 Adjustments'!$D$14,Adjustments!$J:$J,'Schedule 4 Adjustments'!$A188)</f>
        <v>0</v>
      </c>
      <c r="F188" s="380">
        <f t="shared" si="22"/>
        <v>0</v>
      </c>
      <c r="G188" s="410">
        <v>0</v>
      </c>
      <c r="H188" s="47">
        <f t="shared" si="29"/>
        <v>0</v>
      </c>
      <c r="I188" s="378">
        <f t="shared" si="23"/>
        <v>0</v>
      </c>
      <c r="J188" s="21">
        <f t="shared" si="20"/>
        <v>0</v>
      </c>
      <c r="K188" s="376">
        <f t="shared" si="24"/>
        <v>0</v>
      </c>
      <c r="L188" s="150">
        <f>'As-Filed Schedule 4'!H188</f>
        <v>0</v>
      </c>
      <c r="M188" s="388">
        <f>SUMIFS(Adjustments!$G:$G,Adjustments!$H:$H,"4",Adjustments!$I:$I,'Schedule 4 Adjustments'!$L$14,Adjustments!$J:$J,'Schedule 4 Adjustments'!$A188)</f>
        <v>0</v>
      </c>
      <c r="N188" s="380">
        <f t="shared" si="25"/>
        <v>0</v>
      </c>
      <c r="O188" s="410">
        <v>0</v>
      </c>
      <c r="P188" s="47">
        <f t="shared" si="26"/>
        <v>0</v>
      </c>
      <c r="Q188" s="378">
        <f t="shared" si="27"/>
        <v>0</v>
      </c>
      <c r="R188" s="21">
        <f t="shared" si="21"/>
        <v>0</v>
      </c>
      <c r="S188" s="376">
        <f t="shared" si="28"/>
        <v>0</v>
      </c>
    </row>
    <row r="189" spans="1:19" s="22" customFormat="1" x14ac:dyDescent="0.35">
      <c r="A189" s="19">
        <v>177</v>
      </c>
      <c r="B189" s="19" t="s">
        <v>105</v>
      </c>
      <c r="C189" s="20" t="s">
        <v>433</v>
      </c>
      <c r="D189" s="116">
        <f>'As-Filed Schedule 4'!D189</f>
        <v>0</v>
      </c>
      <c r="E189" s="388">
        <f>SUMIFS(Adjustments!$G:$G,Adjustments!$H:$H,"4",Adjustments!$I:$I,'Schedule 4 Adjustments'!$D$14,Adjustments!$J:$J,'Schedule 4 Adjustments'!$A189)</f>
        <v>0</v>
      </c>
      <c r="F189" s="380">
        <f t="shared" si="22"/>
        <v>0</v>
      </c>
      <c r="G189" s="410">
        <v>0.28999999999999998</v>
      </c>
      <c r="H189" s="47">
        <f t="shared" si="29"/>
        <v>0</v>
      </c>
      <c r="I189" s="378">
        <f t="shared" si="23"/>
        <v>0</v>
      </c>
      <c r="J189" s="21">
        <f t="shared" si="20"/>
        <v>32.806044792530287</v>
      </c>
      <c r="K189" s="376">
        <f t="shared" si="24"/>
        <v>32.806044792530287</v>
      </c>
      <c r="L189" s="150">
        <f>'As-Filed Schedule 4'!H189</f>
        <v>23431</v>
      </c>
      <c r="M189" s="388">
        <f>SUMIFS(Adjustments!$G:$G,Adjustments!$H:$H,"4",Adjustments!$I:$I,'Schedule 4 Adjustments'!$L$14,Adjustments!$J:$J,'Schedule 4 Adjustments'!$A189)</f>
        <v>0</v>
      </c>
      <c r="N189" s="380">
        <f t="shared" si="25"/>
        <v>23431</v>
      </c>
      <c r="O189" s="410">
        <v>0.28999999999999998</v>
      </c>
      <c r="P189" s="47">
        <f t="shared" si="26"/>
        <v>6794.99</v>
      </c>
      <c r="Q189" s="378">
        <f t="shared" si="27"/>
        <v>6794.99</v>
      </c>
      <c r="R189" s="21">
        <f t="shared" si="21"/>
        <v>32.806044792530287</v>
      </c>
      <c r="S189" s="376">
        <f t="shared" si="28"/>
        <v>32.806044792530287</v>
      </c>
    </row>
    <row r="190" spans="1:19" s="22" customFormat="1" x14ac:dyDescent="0.35">
      <c r="A190" s="19">
        <v>178</v>
      </c>
      <c r="B190" s="19" t="s">
        <v>106</v>
      </c>
      <c r="C190" s="20" t="s">
        <v>149</v>
      </c>
      <c r="D190" s="116">
        <f>'As-Filed Schedule 4'!D190</f>
        <v>0</v>
      </c>
      <c r="E190" s="388">
        <f>SUMIFS(Adjustments!$G:$G,Adjustments!$H:$H,"4",Adjustments!$I:$I,'Schedule 4 Adjustments'!$D$14,Adjustments!$J:$J,'Schedule 4 Adjustments'!$A190)</f>
        <v>0</v>
      </c>
      <c r="F190" s="380">
        <f t="shared" si="22"/>
        <v>0</v>
      </c>
      <c r="G190" s="410">
        <v>3.07</v>
      </c>
      <c r="H190" s="47">
        <f t="shared" si="29"/>
        <v>0</v>
      </c>
      <c r="I190" s="378">
        <f t="shared" si="23"/>
        <v>0</v>
      </c>
      <c r="J190" s="21">
        <f t="shared" si="20"/>
        <v>347.29157763126886</v>
      </c>
      <c r="K190" s="376">
        <f t="shared" si="24"/>
        <v>347.29157763126886</v>
      </c>
      <c r="L190" s="150">
        <f>'As-Filed Schedule 4'!H190</f>
        <v>0</v>
      </c>
      <c r="M190" s="388">
        <f>SUMIFS(Adjustments!$G:$G,Adjustments!$H:$H,"4",Adjustments!$I:$I,'Schedule 4 Adjustments'!$L$14,Adjustments!$J:$J,'Schedule 4 Adjustments'!$A190)</f>
        <v>0</v>
      </c>
      <c r="N190" s="380">
        <f t="shared" si="25"/>
        <v>0</v>
      </c>
      <c r="O190" s="410">
        <v>3.05</v>
      </c>
      <c r="P190" s="47">
        <f t="shared" si="26"/>
        <v>0</v>
      </c>
      <c r="Q190" s="378">
        <f t="shared" si="27"/>
        <v>0</v>
      </c>
      <c r="R190" s="21">
        <f t="shared" si="21"/>
        <v>345.02909178350819</v>
      </c>
      <c r="S190" s="376">
        <f t="shared" si="28"/>
        <v>345.02909178350819</v>
      </c>
    </row>
    <row r="191" spans="1:19" s="22" customFormat="1" ht="29" x14ac:dyDescent="0.35">
      <c r="A191" s="19">
        <v>179</v>
      </c>
      <c r="B191" s="19" t="s">
        <v>27</v>
      </c>
      <c r="C191" s="20" t="s">
        <v>30</v>
      </c>
      <c r="D191" s="116">
        <f>'As-Filed Schedule 4'!D191</f>
        <v>0</v>
      </c>
      <c r="E191" s="388">
        <f>SUMIFS(Adjustments!$G:$G,Adjustments!$H:$H,"4",Adjustments!$I:$I,'Schedule 4 Adjustments'!$D$14,Adjustments!$J:$J,'Schedule 4 Adjustments'!$A191)</f>
        <v>0</v>
      </c>
      <c r="F191" s="380">
        <f t="shared" si="22"/>
        <v>0</v>
      </c>
      <c r="G191" s="410">
        <v>0</v>
      </c>
      <c r="H191" s="47">
        <f t="shared" si="29"/>
        <v>0</v>
      </c>
      <c r="I191" s="378">
        <f t="shared" si="23"/>
        <v>0</v>
      </c>
      <c r="J191" s="21">
        <f t="shared" si="20"/>
        <v>0</v>
      </c>
      <c r="K191" s="376">
        <f t="shared" si="24"/>
        <v>0</v>
      </c>
      <c r="L191" s="150">
        <f>'As-Filed Schedule 4'!H191</f>
        <v>0</v>
      </c>
      <c r="M191" s="388">
        <f>SUMIFS(Adjustments!$G:$G,Adjustments!$H:$H,"4",Adjustments!$I:$I,'Schedule 4 Adjustments'!$L$14,Adjustments!$J:$J,'Schedule 4 Adjustments'!$A191)</f>
        <v>0</v>
      </c>
      <c r="N191" s="380">
        <f t="shared" si="25"/>
        <v>0</v>
      </c>
      <c r="O191" s="410">
        <v>0</v>
      </c>
      <c r="P191" s="47">
        <f t="shared" si="26"/>
        <v>0</v>
      </c>
      <c r="Q191" s="378">
        <f t="shared" si="27"/>
        <v>0</v>
      </c>
      <c r="R191" s="21">
        <f t="shared" si="21"/>
        <v>0</v>
      </c>
      <c r="S191" s="376">
        <f t="shared" si="28"/>
        <v>0</v>
      </c>
    </row>
    <row r="192" spans="1:19" s="22" customFormat="1" x14ac:dyDescent="0.35">
      <c r="A192" s="19">
        <v>180</v>
      </c>
      <c r="B192" s="19" t="s">
        <v>107</v>
      </c>
      <c r="C192" s="20" t="s">
        <v>150</v>
      </c>
      <c r="D192" s="116">
        <f>'As-Filed Schedule 4'!D192</f>
        <v>0</v>
      </c>
      <c r="E192" s="388">
        <f>SUMIFS(Adjustments!$G:$G,Adjustments!$H:$H,"4",Adjustments!$I:$I,'Schedule 4 Adjustments'!$D$14,Adjustments!$J:$J,'Schedule 4 Adjustments'!$A192)</f>
        <v>0</v>
      </c>
      <c r="F192" s="380">
        <f t="shared" si="22"/>
        <v>0</v>
      </c>
      <c r="G192" s="410">
        <v>0.59</v>
      </c>
      <c r="H192" s="47">
        <f t="shared" si="29"/>
        <v>0</v>
      </c>
      <c r="I192" s="378">
        <f t="shared" si="23"/>
        <v>0</v>
      </c>
      <c r="J192" s="21">
        <f t="shared" si="20"/>
        <v>66.743332508940924</v>
      </c>
      <c r="K192" s="376">
        <f t="shared" si="24"/>
        <v>66.743332508940924</v>
      </c>
      <c r="L192" s="150">
        <f>'As-Filed Schedule 4'!H192</f>
        <v>0</v>
      </c>
      <c r="M192" s="388">
        <f>SUMIFS(Adjustments!$G:$G,Adjustments!$H:$H,"4",Adjustments!$I:$I,'Schedule 4 Adjustments'!$L$14,Adjustments!$J:$J,'Schedule 4 Adjustments'!$A192)</f>
        <v>0</v>
      </c>
      <c r="N192" s="380">
        <f t="shared" si="25"/>
        <v>0</v>
      </c>
      <c r="O192" s="410">
        <v>0.55000000000000004</v>
      </c>
      <c r="P192" s="47">
        <f t="shared" si="26"/>
        <v>0</v>
      </c>
      <c r="Q192" s="378">
        <f t="shared" si="27"/>
        <v>0</v>
      </c>
      <c r="R192" s="21">
        <f t="shared" si="21"/>
        <v>62.218360813419515</v>
      </c>
      <c r="S192" s="376">
        <f t="shared" si="28"/>
        <v>62.218360813419515</v>
      </c>
    </row>
    <row r="193" spans="1:19" s="22" customFormat="1" x14ac:dyDescent="0.35">
      <c r="A193" s="19">
        <v>181</v>
      </c>
      <c r="B193" s="19" t="s">
        <v>28</v>
      </c>
      <c r="C193" s="20" t="s">
        <v>31</v>
      </c>
      <c r="D193" s="116">
        <f>'As-Filed Schedule 4'!D193</f>
        <v>0</v>
      </c>
      <c r="E193" s="388">
        <f>SUMIFS(Adjustments!$G:$G,Adjustments!$H:$H,"4",Adjustments!$I:$I,'Schedule 4 Adjustments'!$D$14,Adjustments!$J:$J,'Schedule 4 Adjustments'!$A193)</f>
        <v>0</v>
      </c>
      <c r="F193" s="380">
        <f t="shared" si="22"/>
        <v>0</v>
      </c>
      <c r="G193" s="410">
        <v>0</v>
      </c>
      <c r="H193" s="47">
        <f t="shared" si="29"/>
        <v>0</v>
      </c>
      <c r="I193" s="378">
        <f t="shared" si="23"/>
        <v>0</v>
      </c>
      <c r="J193" s="21">
        <f t="shared" si="20"/>
        <v>0</v>
      </c>
      <c r="K193" s="376">
        <f t="shared" si="24"/>
        <v>0</v>
      </c>
      <c r="L193" s="150">
        <f>'As-Filed Schedule 4'!H193</f>
        <v>0</v>
      </c>
      <c r="M193" s="388">
        <f>SUMIFS(Adjustments!$G:$G,Adjustments!$H:$H,"4",Adjustments!$I:$I,'Schedule 4 Adjustments'!$L$14,Adjustments!$J:$J,'Schedule 4 Adjustments'!$A193)</f>
        <v>0</v>
      </c>
      <c r="N193" s="380">
        <f t="shared" si="25"/>
        <v>0</v>
      </c>
      <c r="O193" s="410">
        <v>0</v>
      </c>
      <c r="P193" s="47">
        <f t="shared" si="26"/>
        <v>0</v>
      </c>
      <c r="Q193" s="378">
        <f t="shared" si="27"/>
        <v>0</v>
      </c>
      <c r="R193" s="21">
        <f t="shared" si="21"/>
        <v>0</v>
      </c>
      <c r="S193" s="376">
        <f t="shared" si="28"/>
        <v>0</v>
      </c>
    </row>
    <row r="194" spans="1:19" s="22" customFormat="1" x14ac:dyDescent="0.35">
      <c r="A194" s="19">
        <v>182</v>
      </c>
      <c r="B194" s="19" t="s">
        <v>108</v>
      </c>
      <c r="C194" s="20" t="s">
        <v>434</v>
      </c>
      <c r="D194" s="116">
        <f>'As-Filed Schedule 4'!D194</f>
        <v>0</v>
      </c>
      <c r="E194" s="388">
        <f>SUMIFS(Adjustments!$G:$G,Adjustments!$H:$H,"4",Adjustments!$I:$I,'Schedule 4 Adjustments'!$D$14,Adjustments!$J:$J,'Schedule 4 Adjustments'!$A194)</f>
        <v>0</v>
      </c>
      <c r="F194" s="380">
        <f t="shared" si="22"/>
        <v>0</v>
      </c>
      <c r="G194" s="410">
        <v>0.64</v>
      </c>
      <c r="H194" s="47">
        <f t="shared" si="29"/>
        <v>0</v>
      </c>
      <c r="I194" s="378">
        <f t="shared" si="23"/>
        <v>0</v>
      </c>
      <c r="J194" s="21">
        <f t="shared" si="20"/>
        <v>72.399547128342704</v>
      </c>
      <c r="K194" s="376">
        <f t="shared" si="24"/>
        <v>72.399547128342704</v>
      </c>
      <c r="L194" s="150">
        <f>'As-Filed Schedule 4'!H194</f>
        <v>0</v>
      </c>
      <c r="M194" s="388">
        <f>SUMIFS(Adjustments!$G:$G,Adjustments!$H:$H,"4",Adjustments!$I:$I,'Schedule 4 Adjustments'!$L$14,Adjustments!$J:$J,'Schedule 4 Adjustments'!$A194)</f>
        <v>0</v>
      </c>
      <c r="N194" s="380">
        <f t="shared" si="25"/>
        <v>0</v>
      </c>
      <c r="O194" s="410">
        <v>0.6</v>
      </c>
      <c r="P194" s="47">
        <f t="shared" si="26"/>
        <v>0</v>
      </c>
      <c r="Q194" s="378">
        <f t="shared" si="27"/>
        <v>0</v>
      </c>
      <c r="R194" s="21">
        <f t="shared" si="21"/>
        <v>67.874575432821274</v>
      </c>
      <c r="S194" s="376">
        <f t="shared" si="28"/>
        <v>67.874575432821274</v>
      </c>
    </row>
    <row r="195" spans="1:19" s="22" customFormat="1" x14ac:dyDescent="0.35">
      <c r="A195" s="19">
        <v>183</v>
      </c>
      <c r="B195" s="19" t="s">
        <v>109</v>
      </c>
      <c r="C195" s="20" t="s">
        <v>151</v>
      </c>
      <c r="D195" s="116">
        <f>'As-Filed Schedule 4'!D195</f>
        <v>3192</v>
      </c>
      <c r="E195" s="388">
        <f>SUMIFS(Adjustments!$G:$G,Adjustments!$H:$H,"4",Adjustments!$I:$I,'Schedule 4 Adjustments'!$D$14,Adjustments!$J:$J,'Schedule 4 Adjustments'!$A195)</f>
        <v>0</v>
      </c>
      <c r="F195" s="380">
        <f t="shared" si="22"/>
        <v>3192</v>
      </c>
      <c r="G195" s="410">
        <v>0.65000000000000013</v>
      </c>
      <c r="H195" s="47">
        <f t="shared" si="29"/>
        <v>2074.8000000000006</v>
      </c>
      <c r="I195" s="378">
        <f t="shared" si="23"/>
        <v>2074.8000000000006</v>
      </c>
      <c r="J195" s="21">
        <f t="shared" si="20"/>
        <v>73.530790052223068</v>
      </c>
      <c r="K195" s="376">
        <f t="shared" si="24"/>
        <v>73.530790052223068</v>
      </c>
      <c r="L195" s="150">
        <f>'As-Filed Schedule 4'!H195</f>
        <v>4886</v>
      </c>
      <c r="M195" s="388">
        <f>SUMIFS(Adjustments!$G:$G,Adjustments!$H:$H,"4",Adjustments!$I:$I,'Schedule 4 Adjustments'!$L$14,Adjustments!$J:$J,'Schedule 4 Adjustments'!$A195)</f>
        <v>0</v>
      </c>
      <c r="N195" s="380">
        <f t="shared" si="25"/>
        <v>4886</v>
      </c>
      <c r="O195" s="410">
        <v>0.59999999999999987</v>
      </c>
      <c r="P195" s="47">
        <f t="shared" si="26"/>
        <v>2931.5999999999995</v>
      </c>
      <c r="Q195" s="378">
        <f t="shared" si="27"/>
        <v>2931.5999999999995</v>
      </c>
      <c r="R195" s="21">
        <f t="shared" si="21"/>
        <v>67.874575432821274</v>
      </c>
      <c r="S195" s="376">
        <f t="shared" si="28"/>
        <v>67.874575432821274</v>
      </c>
    </row>
    <row r="196" spans="1:19" s="22" customFormat="1" x14ac:dyDescent="0.35">
      <c r="A196" s="19">
        <v>184</v>
      </c>
      <c r="B196" s="19" t="s">
        <v>29</v>
      </c>
      <c r="C196" s="20" t="s">
        <v>32</v>
      </c>
      <c r="D196" s="116">
        <f>'As-Filed Schedule 4'!D196</f>
        <v>0</v>
      </c>
      <c r="E196" s="388">
        <f>SUMIFS(Adjustments!$G:$G,Adjustments!$H:$H,"4",Adjustments!$I:$I,'Schedule 4 Adjustments'!$D$14,Adjustments!$J:$J,'Schedule 4 Adjustments'!$A196)</f>
        <v>0</v>
      </c>
      <c r="F196" s="380">
        <f t="shared" si="22"/>
        <v>0</v>
      </c>
      <c r="G196" s="410">
        <v>0</v>
      </c>
      <c r="H196" s="47">
        <f t="shared" si="29"/>
        <v>0</v>
      </c>
      <c r="I196" s="378">
        <f t="shared" si="23"/>
        <v>0</v>
      </c>
      <c r="J196" s="21">
        <f t="shared" si="20"/>
        <v>0</v>
      </c>
      <c r="K196" s="376">
        <f t="shared" si="24"/>
        <v>0</v>
      </c>
      <c r="L196" s="150">
        <f>'As-Filed Schedule 4'!H196</f>
        <v>0</v>
      </c>
      <c r="M196" s="388">
        <f>SUMIFS(Adjustments!$G:$G,Adjustments!$H:$H,"4",Adjustments!$I:$I,'Schedule 4 Adjustments'!$L$14,Adjustments!$J:$J,'Schedule 4 Adjustments'!$A196)</f>
        <v>0</v>
      </c>
      <c r="N196" s="380">
        <f t="shared" si="25"/>
        <v>0</v>
      </c>
      <c r="O196" s="410">
        <v>0</v>
      </c>
      <c r="P196" s="47">
        <f t="shared" si="26"/>
        <v>0</v>
      </c>
      <c r="Q196" s="378">
        <f t="shared" si="27"/>
        <v>0</v>
      </c>
      <c r="R196" s="21">
        <f t="shared" si="21"/>
        <v>0</v>
      </c>
      <c r="S196" s="376">
        <f t="shared" si="28"/>
        <v>0</v>
      </c>
    </row>
    <row r="197" spans="1:19" x14ac:dyDescent="0.35">
      <c r="A197" s="19">
        <v>185</v>
      </c>
      <c r="D197" s="9">
        <f>SUM(D18:D196)</f>
        <v>95678</v>
      </c>
      <c r="E197" s="9">
        <f>SUM(E18:E196)</f>
        <v>0</v>
      </c>
      <c r="F197" s="379">
        <f>SUM(F18:F196)</f>
        <v>95678</v>
      </c>
      <c r="G197" s="13"/>
      <c r="H197" s="9">
        <f>SUM(H18:H196)</f>
        <v>149909.44</v>
      </c>
      <c r="I197" s="379">
        <f>SUM(I18:I196)</f>
        <v>149909.44</v>
      </c>
      <c r="L197" s="9">
        <f>SUM(L18:L196)</f>
        <v>272325</v>
      </c>
      <c r="M197" s="9">
        <f t="shared" ref="M197:N197" si="40">SUM(M18:M196)</f>
        <v>0</v>
      </c>
      <c r="N197" s="9">
        <f t="shared" si="40"/>
        <v>272325</v>
      </c>
      <c r="P197" s="9">
        <f>SUM(P18:P196)</f>
        <v>241108.66000000003</v>
      </c>
      <c r="Q197" s="379">
        <f>SUM(Q18:Q196)</f>
        <v>241108.66000000003</v>
      </c>
    </row>
  </sheetData>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5">
    <mergeCell ref="R4:R6"/>
    <mergeCell ref="T4:T6"/>
    <mergeCell ref="D15:J15"/>
    <mergeCell ref="L15:R15"/>
    <mergeCell ref="S4:S6"/>
  </mergeCells>
  <pageMargins left="0.7" right="0.7" top="0.75" bottom="0.75" header="0.3" footer="0.3"/>
  <pageSetup orientation="portrait" horizontalDpi="1200" verticalDpi="1200"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O46"/>
  <sheetViews>
    <sheetView workbookViewId="0"/>
  </sheetViews>
  <sheetFormatPr defaultColWidth="9.1796875" defaultRowHeight="14.5" x14ac:dyDescent="0.35"/>
  <cols>
    <col min="2" max="2" width="16.54296875" customWidth="1"/>
    <col min="3" max="3" width="40.7265625" customWidth="1"/>
    <col min="4" max="4" width="26.7265625" style="100" customWidth="1"/>
    <col min="5" max="5" width="26.7265625" style="261" customWidth="1"/>
    <col min="6" max="6" width="26.7265625" style="48" customWidth="1"/>
    <col min="7" max="7" width="3" customWidth="1"/>
    <col min="8" max="8" width="9.1796875" customWidth="1"/>
    <col min="9" max="9" width="33.26953125" style="48" customWidth="1"/>
    <col min="10" max="10" width="30.26953125" customWidth="1"/>
    <col min="11" max="11" width="23.54296875" customWidth="1"/>
  </cols>
  <sheetData>
    <row r="1" spans="1:15" ht="26" x14ac:dyDescent="0.6">
      <c r="A1" s="3" t="s">
        <v>774</v>
      </c>
      <c r="I1" s="129"/>
    </row>
    <row r="2" spans="1:15" ht="21" x14ac:dyDescent="0.5">
      <c r="A2" s="2" t="s">
        <v>772</v>
      </c>
      <c r="J2" s="40"/>
      <c r="K2" s="40"/>
      <c r="L2" s="40"/>
      <c r="M2" s="40"/>
      <c r="N2" s="40"/>
      <c r="O2" s="40"/>
    </row>
    <row r="3" spans="1:15" ht="21" x14ac:dyDescent="0.5">
      <c r="A3" s="5" t="s">
        <v>867</v>
      </c>
      <c r="I3" s="130"/>
      <c r="J3" s="130"/>
      <c r="K3" s="130"/>
      <c r="L3" s="40"/>
      <c r="M3" s="40"/>
      <c r="N3" s="40"/>
      <c r="O3" s="40"/>
    </row>
    <row r="4" spans="1:15" x14ac:dyDescent="0.35">
      <c r="I4" s="40"/>
      <c r="J4" s="40"/>
      <c r="K4" s="40"/>
      <c r="L4" s="40"/>
      <c r="M4" s="40"/>
      <c r="N4" s="40"/>
      <c r="O4" s="40"/>
    </row>
    <row r="5" spans="1:15" x14ac:dyDescent="0.35">
      <c r="A5" s="1" t="s">
        <v>773</v>
      </c>
      <c r="C5" s="421" t="str">
        <f>Results!$C$6</f>
        <v>Health Solutions</v>
      </c>
      <c r="I5" s="40"/>
      <c r="J5" s="40"/>
      <c r="K5" s="40"/>
      <c r="L5" s="40"/>
      <c r="M5" s="40"/>
      <c r="N5" s="40"/>
      <c r="O5" s="40"/>
    </row>
    <row r="6" spans="1:15" x14ac:dyDescent="0.35">
      <c r="A6" s="1" t="s">
        <v>0</v>
      </c>
      <c r="C6" s="35">
        <f>Results!$C$7</f>
        <v>45473</v>
      </c>
      <c r="I6" s="40"/>
      <c r="J6" s="40"/>
      <c r="K6" s="40"/>
      <c r="L6" s="40"/>
      <c r="M6" s="40"/>
      <c r="N6" s="40"/>
      <c r="O6" s="40"/>
    </row>
    <row r="7" spans="1:15" s="1" customFormat="1" x14ac:dyDescent="0.35">
      <c r="D7" s="100"/>
      <c r="E7" s="261"/>
      <c r="F7" s="48"/>
      <c r="I7" s="40"/>
      <c r="J7" s="40"/>
      <c r="K7" s="40"/>
      <c r="L7" s="40"/>
      <c r="M7" s="40"/>
      <c r="N7" s="40"/>
      <c r="O7" s="40"/>
    </row>
    <row r="8" spans="1:15" x14ac:dyDescent="0.35">
      <c r="D8" s="175">
        <v>1</v>
      </c>
      <c r="E8" s="256" t="s">
        <v>552</v>
      </c>
      <c r="F8" s="257" t="s">
        <v>553</v>
      </c>
      <c r="I8" s="40"/>
      <c r="J8" s="40"/>
      <c r="K8" s="40"/>
      <c r="L8" s="40"/>
      <c r="M8" s="40"/>
      <c r="N8" s="40"/>
      <c r="O8" s="40"/>
    </row>
    <row r="9" spans="1:15" s="6" customFormat="1" x14ac:dyDescent="0.35">
      <c r="A9" s="97"/>
      <c r="B9" s="492" t="s">
        <v>868</v>
      </c>
      <c r="C9" s="492"/>
      <c r="D9" s="151" t="s">
        <v>869</v>
      </c>
      <c r="E9" s="258" t="s">
        <v>900</v>
      </c>
      <c r="F9" s="259" t="s">
        <v>901</v>
      </c>
      <c r="I9" s="129"/>
      <c r="J9" s="129"/>
      <c r="K9" s="129"/>
      <c r="L9" s="129"/>
      <c r="M9" s="129"/>
      <c r="N9" s="129"/>
      <c r="O9" s="129"/>
    </row>
    <row r="10" spans="1:15" s="6" customFormat="1" x14ac:dyDescent="0.35">
      <c r="A10" s="97"/>
      <c r="B10" s="434"/>
      <c r="C10" s="435"/>
      <c r="D10" s="436"/>
      <c r="E10" s="344"/>
      <c r="F10" s="129"/>
      <c r="I10" s="129"/>
      <c r="J10" s="129"/>
      <c r="K10" s="129"/>
      <c r="L10" s="129"/>
      <c r="M10" s="129"/>
      <c r="N10" s="129"/>
      <c r="O10" s="129"/>
    </row>
    <row r="11" spans="1:15" s="22" customFormat="1" x14ac:dyDescent="0.35">
      <c r="A11" s="571" t="s">
        <v>870</v>
      </c>
      <c r="B11" s="572"/>
      <c r="C11" s="572"/>
      <c r="D11" s="572"/>
      <c r="E11" s="572"/>
      <c r="F11" s="573"/>
      <c r="I11" s="128"/>
      <c r="J11" s="128"/>
      <c r="K11" s="128"/>
      <c r="L11" s="128"/>
      <c r="M11" s="128"/>
      <c r="N11" s="128"/>
      <c r="O11" s="128"/>
    </row>
    <row r="12" spans="1:15" s="22" customFormat="1" x14ac:dyDescent="0.35">
      <c r="A12" s="155">
        <v>1</v>
      </c>
      <c r="B12" s="479" t="s">
        <v>871</v>
      </c>
      <c r="C12" s="481"/>
      <c r="D12" s="157">
        <f>'As-Filed Schedule 5'!D12</f>
        <v>36890820</v>
      </c>
      <c r="E12" s="388">
        <f>SUMIFS(Adjustments!$G:$G,Adjustments!$H:$H,"5",Adjustments!$I:$I,'Schedule 5 Adjustments'!$D$8,Adjustments!$J:$J,A12)</f>
        <v>0</v>
      </c>
      <c r="F12" s="274">
        <f>SUM(D12:E12)</f>
        <v>36890820</v>
      </c>
      <c r="I12" s="140"/>
    </row>
    <row r="13" spans="1:15" s="22" customFormat="1" x14ac:dyDescent="0.35">
      <c r="A13" s="155">
        <v>2</v>
      </c>
      <c r="B13" s="479" t="s">
        <v>872</v>
      </c>
      <c r="C13" s="481"/>
      <c r="D13" s="157">
        <f>'As-Filed Schedule 5'!D13</f>
        <v>830585</v>
      </c>
      <c r="E13" s="388">
        <f>SUMIFS(Adjustments!$G:$G,Adjustments!$H:$H,"5",Adjustments!$I:$I,'Schedule 5 Adjustments'!$D$8,Adjustments!$J:$J,A13)</f>
        <v>0</v>
      </c>
      <c r="F13" s="274">
        <f t="shared" ref="F13:F18" si="0">SUM(D13:E13)</f>
        <v>830585</v>
      </c>
      <c r="I13" s="140"/>
    </row>
    <row r="14" spans="1:15" s="22" customFormat="1" x14ac:dyDescent="0.35">
      <c r="A14" s="155">
        <v>3</v>
      </c>
      <c r="B14" s="173" t="s">
        <v>873</v>
      </c>
      <c r="C14" s="168"/>
      <c r="D14" s="157">
        <f>'As-Filed Schedule 5'!D14</f>
        <v>175725</v>
      </c>
      <c r="E14" s="388">
        <f>SUMIFS(Adjustments!$G:$G,Adjustments!$H:$H,"5",Adjustments!$I:$I,'Schedule 5 Adjustments'!$D$8,Adjustments!$J:$J,A14)</f>
        <v>0</v>
      </c>
      <c r="F14" s="274">
        <f t="shared" si="0"/>
        <v>175725</v>
      </c>
      <c r="I14" s="140"/>
    </row>
    <row r="15" spans="1:15" s="22" customFormat="1" x14ac:dyDescent="0.35">
      <c r="A15" s="155">
        <v>4</v>
      </c>
      <c r="B15" s="173" t="s">
        <v>874</v>
      </c>
      <c r="C15" s="168"/>
      <c r="D15" s="157">
        <f>'As-Filed Schedule 5'!D15</f>
        <v>1031386</v>
      </c>
      <c r="E15" s="388">
        <f>SUMIFS(Adjustments!$G:$G,Adjustments!$H:$H,"5",Adjustments!$I:$I,'Schedule 5 Adjustments'!$D$8,Adjustments!$J:$J,A15)</f>
        <v>0</v>
      </c>
      <c r="F15" s="274">
        <f t="shared" si="0"/>
        <v>1031386</v>
      </c>
      <c r="I15" s="140"/>
    </row>
    <row r="16" spans="1:15" s="22" customFormat="1" x14ac:dyDescent="0.35">
      <c r="A16" s="155">
        <v>5</v>
      </c>
      <c r="B16" s="173" t="s">
        <v>875</v>
      </c>
      <c r="C16" s="168"/>
      <c r="D16" s="157">
        <f>'As-Filed Schedule 5'!D16</f>
        <v>778669</v>
      </c>
      <c r="E16" s="388">
        <f>SUMIFS(Adjustments!$G:$G,Adjustments!$H:$H,"5",Adjustments!$I:$I,'Schedule 5 Adjustments'!$D$8,Adjustments!$J:$J,A16)</f>
        <v>0</v>
      </c>
      <c r="F16" s="274">
        <f t="shared" si="0"/>
        <v>778669</v>
      </c>
      <c r="I16" s="140"/>
    </row>
    <row r="17" spans="1:9" s="22" customFormat="1" x14ac:dyDescent="0.35">
      <c r="A17" s="155">
        <v>6</v>
      </c>
      <c r="B17" s="173" t="s">
        <v>876</v>
      </c>
      <c r="C17" s="168"/>
      <c r="D17" s="157">
        <f>'As-Filed Schedule 5'!D17</f>
        <v>678831</v>
      </c>
      <c r="E17" s="388">
        <f>SUMIFS(Adjustments!$G:$G,Adjustments!$H:$H,"5",Adjustments!$I:$I,'Schedule 5 Adjustments'!$D$8,Adjustments!$J:$J,A17)</f>
        <v>0</v>
      </c>
      <c r="F17" s="274">
        <f>SUM(D17:E17)</f>
        <v>678831</v>
      </c>
      <c r="I17" s="140"/>
    </row>
    <row r="18" spans="1:9" s="22" customFormat="1" x14ac:dyDescent="0.35">
      <c r="A18" s="155">
        <v>7</v>
      </c>
      <c r="B18" s="479" t="s">
        <v>877</v>
      </c>
      <c r="C18" s="481"/>
      <c r="D18" s="157">
        <f>'As-Filed Schedule 5'!D18</f>
        <v>0</v>
      </c>
      <c r="E18" s="388">
        <f>SUMIFS(Adjustments!$G:$G,Adjustments!$H:$H,"5",Adjustments!$I:$I,'Schedule 5 Adjustments'!$D$8,Adjustments!$J:$J,A18)</f>
        <v>0</v>
      </c>
      <c r="F18" s="274">
        <f t="shared" si="0"/>
        <v>0</v>
      </c>
      <c r="I18" s="140"/>
    </row>
    <row r="19" spans="1:9" s="22" customFormat="1" x14ac:dyDescent="0.35">
      <c r="A19" s="155">
        <v>8</v>
      </c>
      <c r="B19" s="485" t="s">
        <v>878</v>
      </c>
      <c r="C19" s="487"/>
      <c r="D19" s="160">
        <f>SUM(D12:D18)</f>
        <v>40386016</v>
      </c>
      <c r="E19" s="266">
        <f t="shared" ref="E19:F19" si="1">SUM(E12:E18)</f>
        <v>0</v>
      </c>
      <c r="F19" s="275">
        <f t="shared" si="1"/>
        <v>40386016</v>
      </c>
      <c r="I19" s="140"/>
    </row>
    <row r="20" spans="1:9" s="22" customFormat="1" x14ac:dyDescent="0.35">
      <c r="A20" s="437"/>
      <c r="B20" s="438"/>
      <c r="C20" s="438"/>
      <c r="D20" s="439"/>
      <c r="E20" s="441"/>
      <c r="F20" s="445"/>
      <c r="I20" s="140"/>
    </row>
    <row r="21" spans="1:9" s="22" customFormat="1" x14ac:dyDescent="0.35">
      <c r="A21" s="571" t="s">
        <v>879</v>
      </c>
      <c r="B21" s="572"/>
      <c r="C21" s="572"/>
      <c r="D21" s="572"/>
      <c r="E21" s="572"/>
      <c r="F21" s="573"/>
      <c r="G21" s="140"/>
      <c r="H21" s="140"/>
      <c r="I21" s="140"/>
    </row>
    <row r="22" spans="1:9" s="22" customFormat="1" x14ac:dyDescent="0.35">
      <c r="A22" s="155">
        <v>9</v>
      </c>
      <c r="B22" s="479" t="s">
        <v>880</v>
      </c>
      <c r="C22" s="481"/>
      <c r="D22" s="157">
        <f>'As-Filed Schedule 5'!D22</f>
        <v>2165313</v>
      </c>
      <c r="E22" s="388">
        <f>SUMIFS(Adjustments!$G:$G,Adjustments!$H:$H,"5",Adjustments!$I:$I,'Schedule 5 Adjustments'!$D$8,Adjustments!$J:$J,A22)</f>
        <v>0</v>
      </c>
      <c r="F22" s="274">
        <f>SUM(D22:E22)</f>
        <v>2165313</v>
      </c>
      <c r="G22" s="140"/>
      <c r="H22" s="140"/>
      <c r="I22" s="140"/>
    </row>
    <row r="23" spans="1:9" s="22" customFormat="1" x14ac:dyDescent="0.35">
      <c r="A23" s="155">
        <v>10</v>
      </c>
      <c r="B23" s="173" t="s">
        <v>881</v>
      </c>
      <c r="C23" s="168"/>
      <c r="D23" s="157">
        <f>'As-Filed Schedule 5'!D23</f>
        <v>4273036</v>
      </c>
      <c r="E23" s="388">
        <f>SUMIFS(Adjustments!$G:$G,Adjustments!$H:$H,"5",Adjustments!$I:$I,'Schedule 5 Adjustments'!$D$8,Adjustments!$J:$J,A23)</f>
        <v>0</v>
      </c>
      <c r="F23" s="274">
        <f t="shared" ref="F23:F26" si="2">SUM(D23:E23)</f>
        <v>4273036</v>
      </c>
      <c r="G23" s="140"/>
      <c r="H23" s="140"/>
      <c r="I23" s="140"/>
    </row>
    <row r="24" spans="1:9" s="22" customFormat="1" x14ac:dyDescent="0.35">
      <c r="A24" s="155">
        <v>11</v>
      </c>
      <c r="B24" s="173" t="s">
        <v>882</v>
      </c>
      <c r="C24" s="168"/>
      <c r="D24" s="157">
        <f>'As-Filed Schedule 5'!D24</f>
        <v>1745607</v>
      </c>
      <c r="E24" s="388">
        <f>SUMIFS(Adjustments!$G:$G,Adjustments!$H:$H,"5",Adjustments!$I:$I,'Schedule 5 Adjustments'!$D$8,Adjustments!$J:$J,A24)</f>
        <v>0</v>
      </c>
      <c r="F24" s="274">
        <f t="shared" si="2"/>
        <v>1745607</v>
      </c>
      <c r="G24" s="140"/>
      <c r="H24" s="140"/>
      <c r="I24" s="140"/>
    </row>
    <row r="25" spans="1:9" s="22" customFormat="1" x14ac:dyDescent="0.35">
      <c r="A25" s="155">
        <v>12</v>
      </c>
      <c r="B25" s="173" t="s">
        <v>883</v>
      </c>
      <c r="C25" s="168"/>
      <c r="D25" s="157">
        <f>'As-Filed Schedule 5'!D25</f>
        <v>733612</v>
      </c>
      <c r="E25" s="388">
        <f>SUMIFS(Adjustments!$G:$G,Adjustments!$H:$H,"5",Adjustments!$I:$I,'Schedule 5 Adjustments'!$D$8,Adjustments!$J:$J,A25)</f>
        <v>0</v>
      </c>
      <c r="F25" s="274">
        <f t="shared" si="2"/>
        <v>733612</v>
      </c>
      <c r="G25" s="140"/>
      <c r="H25" s="140"/>
      <c r="I25" s="140"/>
    </row>
    <row r="26" spans="1:9" s="22" customFormat="1" x14ac:dyDescent="0.35">
      <c r="A26" s="155">
        <v>13</v>
      </c>
      <c r="B26" s="173" t="s">
        <v>884</v>
      </c>
      <c r="C26" s="168"/>
      <c r="D26" s="157">
        <f>'As-Filed Schedule 5'!D26</f>
        <v>864606</v>
      </c>
      <c r="E26" s="388">
        <f>SUMIFS(Adjustments!$G:$G,Adjustments!$H:$H,"5",Adjustments!$I:$I,'Schedule 5 Adjustments'!$D$8,Adjustments!$J:$J,A26)</f>
        <v>0</v>
      </c>
      <c r="F26" s="274">
        <f t="shared" si="2"/>
        <v>864606</v>
      </c>
      <c r="G26" s="140"/>
      <c r="H26" s="140"/>
      <c r="I26" s="140"/>
    </row>
    <row r="27" spans="1:9" s="22" customFormat="1" x14ac:dyDescent="0.35">
      <c r="A27" s="155">
        <v>14</v>
      </c>
      <c r="B27" s="485" t="s">
        <v>885</v>
      </c>
      <c r="C27" s="487"/>
      <c r="D27" s="160">
        <f>SUM(D22:D26)</f>
        <v>9782174</v>
      </c>
      <c r="E27" s="266">
        <f>SUM(E22:E26)</f>
        <v>0</v>
      </c>
      <c r="F27" s="275">
        <f t="shared" ref="F27" si="3">SUM(F22:F26)</f>
        <v>9782174</v>
      </c>
      <c r="G27" s="140"/>
      <c r="H27" s="140"/>
      <c r="I27" s="140"/>
    </row>
    <row r="28" spans="1:9" s="22" customFormat="1" x14ac:dyDescent="0.35">
      <c r="A28" s="437"/>
      <c r="B28" s="438"/>
      <c r="C28" s="438"/>
      <c r="D28" s="439"/>
      <c r="E28" s="441"/>
      <c r="F28" s="445"/>
      <c r="H28" s="140"/>
      <c r="I28" s="140"/>
    </row>
    <row r="29" spans="1:9" s="22" customFormat="1" x14ac:dyDescent="0.35">
      <c r="A29" s="571" t="s">
        <v>886</v>
      </c>
      <c r="B29" s="572"/>
      <c r="C29" s="572"/>
      <c r="D29" s="572"/>
      <c r="E29" s="572"/>
      <c r="F29" s="573"/>
      <c r="H29" s="140"/>
      <c r="I29" s="140"/>
    </row>
    <row r="30" spans="1:9" s="22" customFormat="1" x14ac:dyDescent="0.35">
      <c r="A30" s="440">
        <v>15</v>
      </c>
      <c r="B30" s="574" t="s">
        <v>887</v>
      </c>
      <c r="C30" s="576"/>
      <c r="D30" s="157">
        <f>'As-Filed Schedule 5'!D30</f>
        <v>0</v>
      </c>
      <c r="E30" s="388">
        <f>SUMIFS(Adjustments!$G:$G,Adjustments!$H:$H,"5",Adjustments!$I:$I,'Schedule 5 Adjustments'!$D$8,Adjustments!$J:$J,A30)</f>
        <v>0</v>
      </c>
      <c r="F30" s="274">
        <f t="shared" ref="F30:F34" si="4">SUM(D30:E30)</f>
        <v>0</v>
      </c>
      <c r="I30" s="140"/>
    </row>
    <row r="31" spans="1:9" s="22" customFormat="1" x14ac:dyDescent="0.35">
      <c r="A31" s="155">
        <v>16</v>
      </c>
      <c r="B31" s="173" t="s">
        <v>888</v>
      </c>
      <c r="C31" s="168"/>
      <c r="D31" s="157">
        <f>'As-Filed Schedule 5'!D31</f>
        <v>0</v>
      </c>
      <c r="E31" s="388">
        <f>SUMIFS(Adjustments!$G:$G,Adjustments!$H:$H,"5",Adjustments!$I:$I,'Schedule 5 Adjustments'!$D$8,Adjustments!$J:$J,A31)</f>
        <v>0</v>
      </c>
      <c r="F31" s="274">
        <f t="shared" si="4"/>
        <v>0</v>
      </c>
      <c r="I31" s="140"/>
    </row>
    <row r="32" spans="1:9" s="22" customFormat="1" x14ac:dyDescent="0.35">
      <c r="A32" s="155">
        <v>17</v>
      </c>
      <c r="B32" s="173" t="s">
        <v>889</v>
      </c>
      <c r="C32" s="168"/>
      <c r="D32" s="157">
        <f>'As-Filed Schedule 5'!D32</f>
        <v>0</v>
      </c>
      <c r="E32" s="388">
        <f>SUMIFS(Adjustments!$G:$G,Adjustments!$H:$H,"5",Adjustments!$I:$I,'Schedule 5 Adjustments'!$D$8,Adjustments!$J:$J,A32)</f>
        <v>0</v>
      </c>
      <c r="F32" s="274">
        <f t="shared" si="4"/>
        <v>0</v>
      </c>
      <c r="I32" s="140"/>
    </row>
    <row r="33" spans="1:9" s="22" customFormat="1" x14ac:dyDescent="0.35">
      <c r="A33" s="155">
        <v>18</v>
      </c>
      <c r="B33" s="173" t="s">
        <v>890</v>
      </c>
      <c r="C33" s="168"/>
      <c r="D33" s="157">
        <f>'As-Filed Schedule 5'!D33</f>
        <v>0</v>
      </c>
      <c r="E33" s="388">
        <f>SUMIFS(Adjustments!$G:$G,Adjustments!$H:$H,"5",Adjustments!$I:$I,'Schedule 5 Adjustments'!$D$8,Adjustments!$J:$J,A33)</f>
        <v>0</v>
      </c>
      <c r="F33" s="274">
        <f>SUM(D33:E33)</f>
        <v>0</v>
      </c>
      <c r="I33" s="140"/>
    </row>
    <row r="34" spans="1:9" s="22" customFormat="1" x14ac:dyDescent="0.35">
      <c r="A34" s="155">
        <v>19</v>
      </c>
      <c r="B34" s="173" t="s">
        <v>891</v>
      </c>
      <c r="C34" s="168"/>
      <c r="D34" s="157">
        <f>'As-Filed Schedule 5'!D34</f>
        <v>3000</v>
      </c>
      <c r="E34" s="388">
        <f>SUMIFS(Adjustments!$G:$G,Adjustments!$H:$H,"5",Adjustments!$I:$I,'Schedule 5 Adjustments'!$D$8,Adjustments!$J:$J,A34)</f>
        <v>0</v>
      </c>
      <c r="F34" s="274">
        <f t="shared" si="4"/>
        <v>3000</v>
      </c>
      <c r="I34" s="140"/>
    </row>
    <row r="35" spans="1:9" s="22" customFormat="1" x14ac:dyDescent="0.35">
      <c r="A35" s="155">
        <v>20</v>
      </c>
      <c r="B35" s="485" t="s">
        <v>892</v>
      </c>
      <c r="C35" s="487"/>
      <c r="D35" s="160">
        <f>SUM(D30:D34)</f>
        <v>3000</v>
      </c>
      <c r="E35" s="266">
        <f t="shared" ref="E35:F35" si="5">SUM(E30:E34)</f>
        <v>0</v>
      </c>
      <c r="F35" s="275">
        <f t="shared" si="5"/>
        <v>3000</v>
      </c>
      <c r="I35" s="140"/>
    </row>
    <row r="36" spans="1:9" s="22" customFormat="1" x14ac:dyDescent="0.35">
      <c r="A36" s="437"/>
      <c r="B36" s="438"/>
      <c r="C36" s="438"/>
      <c r="D36" s="439"/>
      <c r="E36" s="441"/>
      <c r="F36" s="445"/>
      <c r="I36" s="140"/>
    </row>
    <row r="37" spans="1:9" s="22" customFormat="1" x14ac:dyDescent="0.35">
      <c r="A37" s="571" t="s">
        <v>893</v>
      </c>
      <c r="B37" s="572"/>
      <c r="C37" s="572"/>
      <c r="D37" s="572"/>
      <c r="E37" s="572"/>
      <c r="F37" s="573"/>
      <c r="I37" s="140"/>
    </row>
    <row r="38" spans="1:9" s="22" customFormat="1" x14ac:dyDescent="0.35">
      <c r="A38" s="440">
        <v>21</v>
      </c>
      <c r="B38" s="574" t="s">
        <v>304</v>
      </c>
      <c r="C38" s="575"/>
      <c r="D38" s="157">
        <f>'As-Filed Schedule 5'!D38</f>
        <v>0</v>
      </c>
      <c r="E38" s="388">
        <f>SUMIFS(Adjustments!$G:$G,Adjustments!$H:$H,"5",Adjustments!$I:$I,'Schedule 5 Adjustments'!$D$8,Adjustments!$J:$J,A38)</f>
        <v>0</v>
      </c>
      <c r="F38" s="274">
        <f t="shared" ref="F38" si="6">SUM(D38:E38)</f>
        <v>0</v>
      </c>
      <c r="I38" s="140"/>
    </row>
    <row r="39" spans="1:9" s="22" customFormat="1" x14ac:dyDescent="0.35">
      <c r="A39" s="155">
        <v>22</v>
      </c>
      <c r="B39" s="479" t="s">
        <v>894</v>
      </c>
      <c r="C39" s="480"/>
      <c r="D39" s="157">
        <f>'As-Filed Schedule 5'!D39</f>
        <v>0</v>
      </c>
      <c r="E39" s="388">
        <f>SUMIFS(Adjustments!$G:$G,Adjustments!$H:$H,"5",Adjustments!$I:$I,'Schedule 5 Adjustments'!$D$8,Adjustments!$J:$J,A39)</f>
        <v>0</v>
      </c>
      <c r="F39" s="274">
        <f>SUM(D39:E39)</f>
        <v>0</v>
      </c>
      <c r="I39" s="140"/>
    </row>
    <row r="40" spans="1:9" s="22" customFormat="1" x14ac:dyDescent="0.35">
      <c r="A40" s="155">
        <v>23</v>
      </c>
      <c r="B40" s="479" t="s">
        <v>895</v>
      </c>
      <c r="C40" s="480"/>
      <c r="D40" s="157">
        <f>'As-Filed Schedule 5'!D40</f>
        <v>267656</v>
      </c>
      <c r="E40" s="388">
        <f>SUMIFS(Adjustments!$G:$G,Adjustments!$H:$H,"5",Adjustments!$I:$I,'Schedule 5 Adjustments'!$D$8,Adjustments!$J:$J,A40)</f>
        <v>0</v>
      </c>
      <c r="F40" s="274">
        <f>SUM(D40:E40)</f>
        <v>267656</v>
      </c>
      <c r="I40" s="140"/>
    </row>
    <row r="41" spans="1:9" s="22" customFormat="1" x14ac:dyDescent="0.35">
      <c r="A41" s="155">
        <v>24</v>
      </c>
      <c r="B41" s="485" t="s">
        <v>896</v>
      </c>
      <c r="C41" s="486"/>
      <c r="D41" s="160">
        <f>SUM(D38:D40)</f>
        <v>267656</v>
      </c>
      <c r="E41" s="266">
        <f t="shared" ref="E41:F41" si="7">SUM(E38:E40)</f>
        <v>0</v>
      </c>
      <c r="F41" s="275">
        <f t="shared" si="7"/>
        <v>267656</v>
      </c>
      <c r="I41" s="140"/>
    </row>
    <row r="42" spans="1:9" s="22" customFormat="1" x14ac:dyDescent="0.35">
      <c r="A42" s="161"/>
      <c r="B42" s="162"/>
      <c r="C42" s="162"/>
      <c r="D42" s="164"/>
      <c r="E42" s="441"/>
      <c r="F42" s="445"/>
      <c r="I42" s="140"/>
    </row>
    <row r="43" spans="1:9" s="63" customFormat="1" ht="15.5" x14ac:dyDescent="0.35">
      <c r="A43" s="155">
        <v>25</v>
      </c>
      <c r="B43" s="482" t="s">
        <v>897</v>
      </c>
      <c r="C43" s="484"/>
      <c r="D43" s="169">
        <f>SUM(D19,D27,D35,D41)</f>
        <v>50438846</v>
      </c>
      <c r="E43" s="442">
        <f t="shared" ref="E43" si="8">SUM(E19,E27,E35,E41)</f>
        <v>0</v>
      </c>
      <c r="F43" s="446">
        <f>SUM(F19,F27,F35,F41)</f>
        <v>50438846</v>
      </c>
      <c r="I43" s="141"/>
    </row>
    <row r="44" spans="1:9" s="22" customFormat="1" x14ac:dyDescent="0.35">
      <c r="A44" s="170"/>
      <c r="B44" s="170"/>
      <c r="C44" s="170"/>
      <c r="D44" s="170"/>
      <c r="E44" s="265"/>
      <c r="F44" s="140"/>
      <c r="I44" s="140"/>
    </row>
    <row r="45" spans="1:9" s="22" customFormat="1" x14ac:dyDescent="0.35">
      <c r="A45" s="155">
        <v>26</v>
      </c>
      <c r="B45" s="478" t="s">
        <v>898</v>
      </c>
      <c r="C45" s="478"/>
      <c r="D45" s="157">
        <f>'As-Filed Schedule 5'!D45</f>
        <v>50438846</v>
      </c>
      <c r="E45" s="443"/>
      <c r="F45" s="274">
        <f>'As-Filed Schedule 5'!D45</f>
        <v>50438846</v>
      </c>
      <c r="I45" s="140"/>
    </row>
    <row r="46" spans="1:9" s="22" customFormat="1" ht="15.5" x14ac:dyDescent="0.35">
      <c r="A46" s="155">
        <v>27</v>
      </c>
      <c r="B46" s="478" t="s">
        <v>10</v>
      </c>
      <c r="C46" s="478"/>
      <c r="D46" s="169">
        <f>D43-D45</f>
        <v>0</v>
      </c>
      <c r="E46" s="444"/>
      <c r="F46" s="446">
        <f>F43-F45</f>
        <v>0</v>
      </c>
      <c r="G46" s="33" t="str">
        <f>IF(ABS(D46)&gt;1,"Error - This variance should be 0.","")</f>
        <v/>
      </c>
      <c r="I46" s="140"/>
    </row>
  </sheetData>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20">
    <mergeCell ref="B9:C9"/>
    <mergeCell ref="B12:C12"/>
    <mergeCell ref="B13:C13"/>
    <mergeCell ref="B18:C18"/>
    <mergeCell ref="B19:C19"/>
    <mergeCell ref="B45:C45"/>
    <mergeCell ref="B46:C46"/>
    <mergeCell ref="A11:F11"/>
    <mergeCell ref="A21:F21"/>
    <mergeCell ref="A29:F29"/>
    <mergeCell ref="A37:F37"/>
    <mergeCell ref="B38:C38"/>
    <mergeCell ref="B39:C39"/>
    <mergeCell ref="B40:C40"/>
    <mergeCell ref="B41:C41"/>
    <mergeCell ref="B43:C43"/>
    <mergeCell ref="B22:C22"/>
    <mergeCell ref="B27:C27"/>
    <mergeCell ref="B30:C30"/>
    <mergeCell ref="B35:C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2</vt:i4>
      </vt:variant>
    </vt:vector>
  </HeadingPairs>
  <TitlesOfParts>
    <vt:vector size="66" baseType="lpstr">
      <vt:lpstr>Instructions</vt:lpstr>
      <vt:lpstr>Results</vt:lpstr>
      <vt:lpstr>Adjustments</vt:lpstr>
      <vt:lpstr>Adjusted Schedule 1</vt:lpstr>
      <vt:lpstr>Adjusted Schedule 1A</vt:lpstr>
      <vt:lpstr>Adjusted Schedule 1B</vt:lpstr>
      <vt:lpstr>Adjusted Schedule 1C</vt:lpstr>
      <vt:lpstr>Adjusted Schedule 2</vt:lpstr>
      <vt:lpstr>Adjusted Schedule 2A</vt:lpstr>
      <vt:lpstr>Adjusted Schedule 2B</vt:lpstr>
      <vt:lpstr>Adjusted Schedule 2C</vt:lpstr>
      <vt:lpstr>Adjusted Schedule 2D</vt:lpstr>
      <vt:lpstr>Adjusted Schedule 2E</vt:lpstr>
      <vt:lpstr>Adjusted Schedule 2F</vt:lpstr>
      <vt:lpstr>Adjusted Schedule 2G</vt:lpstr>
      <vt:lpstr>Adjusted Schedule 2H</vt:lpstr>
      <vt:lpstr>Adjusted Schedule 2I</vt:lpstr>
      <vt:lpstr>Adjusted Schedule 2J</vt:lpstr>
      <vt:lpstr>Adjusted Schedule 2K</vt:lpstr>
      <vt:lpstr>Adjusted Schedule 2L</vt:lpstr>
      <vt:lpstr>Adjusted Schedule 2M</vt:lpstr>
      <vt:lpstr>Adjusted Schedule 3</vt:lpstr>
      <vt:lpstr>Adjusted Schedule 4</vt:lpstr>
      <vt:lpstr>Adjusted Schedule 5</vt:lpstr>
      <vt:lpstr>As-Filed Schedule 1</vt:lpstr>
      <vt:lpstr>As-Filed Schedule 1A</vt:lpstr>
      <vt:lpstr>As-Filed Schedule 1B</vt:lpstr>
      <vt:lpstr>As-Filed Schedule 1C</vt:lpstr>
      <vt:lpstr>As-Filed Schedule 2</vt:lpstr>
      <vt:lpstr>As-Filed Schedule 2A</vt:lpstr>
      <vt:lpstr>As-Filed Schedule 2B</vt:lpstr>
      <vt:lpstr>As-Filed Schedule 2C</vt:lpstr>
      <vt:lpstr>As-Filed Schedule 2D</vt:lpstr>
      <vt:lpstr>As-Filed Schedule 2E</vt:lpstr>
      <vt:lpstr>As-Filed Schedule 2F</vt:lpstr>
      <vt:lpstr>As-Filed Schedule 2G</vt:lpstr>
      <vt:lpstr>As-Filed Schedule 2H</vt:lpstr>
      <vt:lpstr>As-Filed Schedule 2I</vt:lpstr>
      <vt:lpstr>As-Filed Schedule 2J</vt:lpstr>
      <vt:lpstr>As-Filed Schedule 2K</vt:lpstr>
      <vt:lpstr>As-Filed Schedule 2L</vt:lpstr>
      <vt:lpstr>As-Filed Schedule 2M</vt:lpstr>
      <vt:lpstr>As-Filed Schedule 3</vt:lpstr>
      <vt:lpstr>As-Filed Schedule 4</vt:lpstr>
      <vt:lpstr>As-Filed Schedule 5</vt:lpstr>
      <vt:lpstr>Schedule 1 Adjustments</vt:lpstr>
      <vt:lpstr>Schedule 1A Adjustments</vt:lpstr>
      <vt:lpstr>Schedule 1C Adjustments</vt:lpstr>
      <vt:lpstr>Schedule 2A Adjustments</vt:lpstr>
      <vt:lpstr>Schedule 2B Adjustments</vt:lpstr>
      <vt:lpstr>Schedule 2C Adjustments</vt:lpstr>
      <vt:lpstr>Schedule 2D Adjustments</vt:lpstr>
      <vt:lpstr>Schedule 2E Adjustments</vt:lpstr>
      <vt:lpstr>Schedule 2F Adjustments</vt:lpstr>
      <vt:lpstr>Schedule 2G Adjustments</vt:lpstr>
      <vt:lpstr>Schedule 2H Adjustments</vt:lpstr>
      <vt:lpstr>Schedule 2I Adjustments</vt:lpstr>
      <vt:lpstr>Schedule 2J Adjustments</vt:lpstr>
      <vt:lpstr>Schedule 2K Adjustments</vt:lpstr>
      <vt:lpstr>Schedule 2L Adjustments</vt:lpstr>
      <vt:lpstr>Schedule 2M Adjustments</vt:lpstr>
      <vt:lpstr>Schedule 3 Adjustments</vt:lpstr>
      <vt:lpstr>Schedule 4 Adjustments</vt:lpstr>
      <vt:lpstr>Schedule 5 Adjustments</vt:lpstr>
      <vt:lpstr>Results!Print_Area</vt:lpstr>
      <vt:lpstr>Results!Print_Titles</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Ashleigh Perez</dc:creator>
  <cp:lastModifiedBy>Zhong, Arthur</cp:lastModifiedBy>
  <cp:lastPrinted>2025-01-30T15:58:21Z</cp:lastPrinted>
  <dcterms:created xsi:type="dcterms:W3CDTF">2022-01-27T23:29:48Z</dcterms:created>
  <dcterms:modified xsi:type="dcterms:W3CDTF">2025-03-17T17:38:39Z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bName">
    <vt:lpwstr>Adjusted Cost Report</vt:lpwstr>
  </property>
  <property fmtid="{D5CDD505-2E9C-101B-9397-08002B2CF9AE}" pid="3" name="tabIndex">
    <vt:lpwstr>010</vt:lpwstr>
  </property>
  <property fmtid="{D5CDD505-2E9C-101B-9397-08002B2CF9AE}" pid="4" name="workpaperIndex">
    <vt:lpwstr>10.4</vt:lpwstr>
  </property>
</Properties>
</file>