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45853043-BFE0-463D-B066-0162548B3E6E}"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1C'!$133:$136</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1C'!$131:$134</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Adjustments'!$132:$135</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1C'!$133:$136</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1C'!$131:$134</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Adjustments'!$132:$135</definedName>
    <definedName name="Z_D0F83CC0_0361_4280_BCA4_9A92C986158B_.wvu.Rows" localSheetId="61" hidden="1">'Schedule 3 Adjustments'!$251:$261</definedName>
  </definedNames>
  <calcPr calcId="191029"/>
  <customWorkbookViews>
    <customWorkbookView name="Hide" guid="{D0F83CC0-0361-4280-BCA4-9A92C986158B}" maximized="1" xWindow="-8" yWindow="-8" windowWidth="1936" windowHeight="1056" tabRatio="907" activeSheetId="52"/>
    <customWorkbookView name="SHow All" guid="{27BAF95E-10B4-4025-9660-F5A8EBC66DC3}"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43" l="1"/>
  <c r="D16" i="43" l="1"/>
  <c r="G16" i="43"/>
  <c r="D17" i="43"/>
  <c r="G17" i="43"/>
  <c r="D18" i="43"/>
  <c r="G18" i="43"/>
  <c r="D19" i="43"/>
  <c r="G19" i="43"/>
  <c r="D20" i="43"/>
  <c r="G20" i="43"/>
  <c r="D21" i="43"/>
  <c r="G21" i="43"/>
  <c r="D22" i="43"/>
  <c r="G22" i="43"/>
  <c r="D23" i="43"/>
  <c r="G23" i="43"/>
  <c r="D24" i="43"/>
  <c r="G24" i="43"/>
  <c r="D25" i="43"/>
  <c r="G25" i="43"/>
  <c r="D26" i="43"/>
  <c r="G26" i="43"/>
  <c r="D27" i="43"/>
  <c r="G27" i="43"/>
  <c r="D28" i="43"/>
  <c r="G28" i="43"/>
  <c r="D29" i="43"/>
  <c r="G29" i="43"/>
  <c r="D30" i="43"/>
  <c r="G30" i="43"/>
  <c r="D31" i="43"/>
  <c r="G31" i="43"/>
  <c r="D32" i="43"/>
  <c r="G32" i="43"/>
  <c r="D33" i="43"/>
  <c r="G33" i="43"/>
  <c r="D34" i="43"/>
  <c r="G34" i="43"/>
  <c r="D35" i="43"/>
  <c r="G35" i="43"/>
  <c r="D36" i="43"/>
  <c r="G36" i="43"/>
  <c r="D37" i="43"/>
  <c r="G37" i="43"/>
  <c r="D38" i="43"/>
  <c r="G38" i="43"/>
  <c r="D39" i="43"/>
  <c r="G39" i="43"/>
  <c r="D40" i="43"/>
  <c r="G40" i="43"/>
  <c r="D41" i="43"/>
  <c r="G41" i="43"/>
  <c r="D42" i="43"/>
  <c r="G42" i="43"/>
  <c r="D43" i="43"/>
  <c r="G43" i="43"/>
  <c r="D44" i="43"/>
  <c r="G44" i="43"/>
  <c r="D45" i="43"/>
  <c r="G45" i="43"/>
  <c r="D46" i="43"/>
  <c r="G46" i="43"/>
  <c r="D47" i="43"/>
  <c r="G47" i="43"/>
  <c r="D48" i="43"/>
  <c r="G48" i="43"/>
  <c r="D49" i="43"/>
  <c r="G49" i="43"/>
  <c r="D50" i="43"/>
  <c r="G50" i="43"/>
  <c r="D51" i="43"/>
  <c r="G51" i="43"/>
  <c r="D52" i="43"/>
  <c r="J52" i="43" s="1"/>
  <c r="D53" i="43"/>
  <c r="G53" i="43"/>
  <c r="D54" i="43"/>
  <c r="G54" i="43"/>
  <c r="D55" i="43"/>
  <c r="G55" i="43"/>
  <c r="D56" i="43"/>
  <c r="G56" i="43"/>
  <c r="D57" i="43"/>
  <c r="G57" i="43"/>
  <c r="D58" i="43"/>
  <c r="G58" i="43"/>
  <c r="D59" i="43"/>
  <c r="G59" i="43"/>
  <c r="D60" i="43"/>
  <c r="G60" i="43"/>
  <c r="L17" i="43"/>
  <c r="M17" i="43"/>
  <c r="N17" i="43"/>
  <c r="L18" i="43"/>
  <c r="M18" i="43"/>
  <c r="N18" i="43"/>
  <c r="L19" i="43"/>
  <c r="M19" i="43"/>
  <c r="N19" i="43"/>
  <c r="L20" i="43"/>
  <c r="M20" i="43"/>
  <c r="N20" i="43"/>
  <c r="L21" i="43"/>
  <c r="M21" i="43"/>
  <c r="N21" i="43"/>
  <c r="L22" i="43"/>
  <c r="M22" i="43"/>
  <c r="N22" i="43"/>
  <c r="L23" i="43"/>
  <c r="M23" i="43"/>
  <c r="N23" i="43"/>
  <c r="L24" i="43"/>
  <c r="M24" i="43"/>
  <c r="N24" i="43"/>
  <c r="L25" i="43"/>
  <c r="M25" i="43"/>
  <c r="N25" i="43"/>
  <c r="L26" i="43"/>
  <c r="M26" i="43"/>
  <c r="N26" i="43"/>
  <c r="L27" i="43"/>
  <c r="M27" i="43"/>
  <c r="N27" i="43"/>
  <c r="L28" i="43"/>
  <c r="M28" i="43"/>
  <c r="N28" i="43"/>
  <c r="L29" i="43"/>
  <c r="M29" i="43"/>
  <c r="N29" i="43"/>
  <c r="L30" i="43"/>
  <c r="M30" i="43"/>
  <c r="N30" i="43"/>
  <c r="L31" i="43"/>
  <c r="M31" i="43"/>
  <c r="N31" i="43"/>
  <c r="L32" i="43"/>
  <c r="M32" i="43"/>
  <c r="N32" i="43"/>
  <c r="L33" i="43"/>
  <c r="M33" i="43"/>
  <c r="N33" i="43"/>
  <c r="L34" i="43"/>
  <c r="M34" i="43"/>
  <c r="N34" i="43"/>
  <c r="L35" i="43"/>
  <c r="M35" i="43"/>
  <c r="N35" i="43"/>
  <c r="L36" i="43"/>
  <c r="M36" i="43"/>
  <c r="N36" i="43"/>
  <c r="L37" i="43"/>
  <c r="M37" i="43"/>
  <c r="N37" i="43"/>
  <c r="L38" i="43"/>
  <c r="M38" i="43"/>
  <c r="N38" i="43"/>
  <c r="L39" i="43"/>
  <c r="M39" i="43"/>
  <c r="N39" i="43"/>
  <c r="L40" i="43"/>
  <c r="M40" i="43"/>
  <c r="N40" i="43"/>
  <c r="L41" i="43"/>
  <c r="M41" i="43"/>
  <c r="N41" i="43"/>
  <c r="L42" i="43"/>
  <c r="M42" i="43"/>
  <c r="N42" i="43"/>
  <c r="L43" i="43"/>
  <c r="M43" i="43"/>
  <c r="N43" i="43"/>
  <c r="L44" i="43"/>
  <c r="M44" i="43"/>
  <c r="N44" i="43"/>
  <c r="L45" i="43"/>
  <c r="M45" i="43"/>
  <c r="N45" i="43"/>
  <c r="L46" i="43"/>
  <c r="M46" i="43"/>
  <c r="N46" i="43"/>
  <c r="L47" i="43"/>
  <c r="M47" i="43"/>
  <c r="N47" i="43"/>
  <c r="L48" i="43"/>
  <c r="M48" i="43"/>
  <c r="N48" i="43"/>
  <c r="L49" i="43"/>
  <c r="M49" i="43"/>
  <c r="N49" i="43"/>
  <c r="L50" i="43"/>
  <c r="M50" i="43"/>
  <c r="N50" i="43"/>
  <c r="L51" i="43"/>
  <c r="M51" i="43"/>
  <c r="N51" i="43"/>
  <c r="L52" i="43"/>
  <c r="M52" i="43"/>
  <c r="N52" i="43"/>
  <c r="L53" i="43"/>
  <c r="M53" i="43"/>
  <c r="N53" i="43"/>
  <c r="L54" i="43"/>
  <c r="M54" i="43"/>
  <c r="N54" i="43"/>
  <c r="L55" i="43"/>
  <c r="M55" i="43"/>
  <c r="N55" i="43"/>
  <c r="L56" i="43"/>
  <c r="M56" i="43"/>
  <c r="N56" i="43"/>
  <c r="L57" i="43"/>
  <c r="M57" i="43"/>
  <c r="N57" i="43"/>
  <c r="L58" i="43"/>
  <c r="M58" i="43"/>
  <c r="N58" i="43"/>
  <c r="L59" i="43"/>
  <c r="M59" i="43"/>
  <c r="N59" i="43"/>
  <c r="L60" i="43"/>
  <c r="M60" i="43"/>
  <c r="N60"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C6" i="29"/>
  <c r="J22" i="43" l="1"/>
  <c r="J16" i="43"/>
  <c r="J58" i="43"/>
  <c r="J21" i="43"/>
  <c r="J40" i="43"/>
  <c r="J34" i="43"/>
  <c r="J38" i="43"/>
  <c r="J26" i="43"/>
  <c r="J25" i="43"/>
  <c r="J37" i="43"/>
  <c r="J31" i="43"/>
  <c r="J48" i="43"/>
  <c r="J36" i="43"/>
  <c r="J19" i="43"/>
  <c r="J55" i="43"/>
  <c r="J49" i="43"/>
  <c r="J43" i="43"/>
  <c r="J29" i="43"/>
  <c r="J23" i="43"/>
  <c r="J18" i="43"/>
  <c r="J28" i="43"/>
  <c r="J46" i="43"/>
  <c r="J54" i="43"/>
  <c r="J51" i="43"/>
  <c r="J17" i="43"/>
  <c r="J27" i="43"/>
  <c r="J59" i="43"/>
  <c r="J42" i="43"/>
  <c r="J20" i="43"/>
  <c r="J39" i="43"/>
  <c r="J47" i="43"/>
  <c r="J44" i="43"/>
  <c r="J33" i="43"/>
  <c r="J41" i="43"/>
  <c r="J30" i="43"/>
  <c r="J45" i="43"/>
  <c r="J60" i="43"/>
  <c r="J35" i="43"/>
  <c r="J24" i="43"/>
  <c r="J56" i="43"/>
  <c r="J53" i="43"/>
  <c r="J50" i="43"/>
  <c r="J57" i="43"/>
  <c r="J32" i="43"/>
  <c r="G20" i="32"/>
  <c r="H20" i="32"/>
  <c r="I20" i="32"/>
  <c r="G21" i="32"/>
  <c r="H21" i="32"/>
  <c r="I21" i="32"/>
  <c r="G22" i="32"/>
  <c r="H22" i="32"/>
  <c r="I22" i="32"/>
  <c r="G23" i="32"/>
  <c r="H23" i="32"/>
  <c r="I23" i="32"/>
  <c r="G24" i="32"/>
  <c r="H24" i="32"/>
  <c r="I24" i="32"/>
  <c r="G25" i="32"/>
  <c r="H25" i="32"/>
  <c r="I25" i="32"/>
  <c r="G26" i="32"/>
  <c r="H26" i="32"/>
  <c r="I26" i="32"/>
  <c r="G27" i="32"/>
  <c r="H27" i="32"/>
  <c r="I27" i="32"/>
  <c r="G28" i="32"/>
  <c r="H28" i="32"/>
  <c r="I28" i="32"/>
  <c r="G29" i="32"/>
  <c r="H29" i="32"/>
  <c r="I29" i="32"/>
  <c r="G30" i="32"/>
  <c r="H30" i="32"/>
  <c r="I30" i="32"/>
  <c r="G31" i="32"/>
  <c r="H31" i="32"/>
  <c r="I31" i="32"/>
  <c r="G32" i="32"/>
  <c r="H32" i="32"/>
  <c r="I32" i="32"/>
  <c r="G33" i="32"/>
  <c r="H33" i="32"/>
  <c r="I33" i="32"/>
  <c r="G34" i="32"/>
  <c r="H34" i="32"/>
  <c r="I34" i="32"/>
  <c r="G35" i="32"/>
  <c r="H35" i="32"/>
  <c r="I35" i="32"/>
  <c r="G36" i="32"/>
  <c r="H36" i="32"/>
  <c r="I36" i="32"/>
  <c r="G37" i="32"/>
  <c r="H37" i="32"/>
  <c r="I37" i="32"/>
  <c r="G38" i="32"/>
  <c r="H38" i="32"/>
  <c r="I38" i="32"/>
  <c r="G39" i="32"/>
  <c r="H39" i="32"/>
  <c r="I39" i="32"/>
  <c r="G40" i="32"/>
  <c r="H40" i="32"/>
  <c r="I40" i="32"/>
  <c r="G41" i="32"/>
  <c r="H41" i="32"/>
  <c r="I41" i="32"/>
  <c r="G42" i="32"/>
  <c r="H42" i="32"/>
  <c r="I42" i="32"/>
  <c r="G43" i="32"/>
  <c r="H43" i="32"/>
  <c r="I43" i="32"/>
  <c r="G44" i="32"/>
  <c r="H44" i="32"/>
  <c r="I44" i="32"/>
  <c r="G45" i="32"/>
  <c r="H45" i="32"/>
  <c r="I45" i="32"/>
  <c r="G46" i="32"/>
  <c r="H46" i="32"/>
  <c r="I46" i="32"/>
  <c r="G47" i="32"/>
  <c r="H47" i="32"/>
  <c r="I47" i="32"/>
  <c r="G48" i="32"/>
  <c r="H48" i="32"/>
  <c r="I48" i="32"/>
  <c r="G49" i="32"/>
  <c r="H49" i="32"/>
  <c r="I49" i="32"/>
  <c r="G50" i="32"/>
  <c r="H50" i="32"/>
  <c r="I50" i="32"/>
  <c r="G51" i="32"/>
  <c r="H51" i="32"/>
  <c r="I51" i="32"/>
  <c r="G52" i="32"/>
  <c r="H52" i="32"/>
  <c r="I52" i="32"/>
  <c r="G53" i="32"/>
  <c r="H53" i="32"/>
  <c r="I53" i="32"/>
  <c r="H54" i="32"/>
  <c r="I54" i="32"/>
  <c r="G55" i="32"/>
  <c r="H55" i="32"/>
  <c r="I55" i="32"/>
  <c r="A65" i="32"/>
  <c r="A67" i="32" s="1"/>
  <c r="B57" i="32"/>
  <c r="B39" i="32"/>
  <c r="B40" i="32"/>
  <c r="B41" i="32"/>
  <c r="B42" i="32"/>
  <c r="B43" i="32"/>
  <c r="B44" i="32"/>
  <c r="B45" i="32"/>
  <c r="B46" i="32"/>
  <c r="B47" i="32"/>
  <c r="B48" i="32"/>
  <c r="B49" i="32"/>
  <c r="B50" i="32"/>
  <c r="B51" i="32"/>
  <c r="B52" i="32"/>
  <c r="B53" i="32"/>
  <c r="B55" i="32"/>
  <c r="B56" i="32"/>
  <c r="B20" i="32"/>
  <c r="B21" i="32"/>
  <c r="B22" i="32"/>
  <c r="B23" i="32"/>
  <c r="B24" i="32"/>
  <c r="B25" i="32"/>
  <c r="B26" i="32"/>
  <c r="B27" i="32"/>
  <c r="B28" i="32"/>
  <c r="B29" i="32"/>
  <c r="B30" i="32"/>
  <c r="B31" i="32"/>
  <c r="B32" i="32"/>
  <c r="B33" i="32"/>
  <c r="B34" i="32"/>
  <c r="B35" i="32"/>
  <c r="B36" i="32"/>
  <c r="B37" i="32"/>
  <c r="B38" i="32"/>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1" i="28"/>
  <c r="A63" i="28"/>
  <c r="A65" i="28" s="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D46" i="85"/>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X54" i="73" s="1"/>
  <c r="N55" i="82" s="1"/>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X22" i="73" s="1"/>
  <c r="N23" i="82" s="1"/>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X72" i="69" s="1"/>
  <c r="N73" i="78" s="1"/>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43" i="72" l="1"/>
  <c r="N44" i="81" s="1"/>
  <c r="X52" i="72"/>
  <c r="N53" i="81" s="1"/>
  <c r="X55" i="72"/>
  <c r="N56" i="81" s="1"/>
  <c r="X24" i="68"/>
  <c r="N25" i="77" s="1"/>
  <c r="X32" i="68"/>
  <c r="N33" i="77" s="1"/>
  <c r="X40" i="68"/>
  <c r="N41" i="77" s="1"/>
  <c r="X48" i="68"/>
  <c r="N49" i="77" s="1"/>
  <c r="X56" i="68"/>
  <c r="N57" i="77" s="1"/>
  <c r="X64" i="68"/>
  <c r="N65" i="77" s="1"/>
  <c r="X67" i="69"/>
  <c r="N68" i="78" s="1"/>
  <c r="H31" i="71"/>
  <c r="F32" i="80" s="1"/>
  <c r="H39" i="71"/>
  <c r="F40" i="80" s="1"/>
  <c r="H47" i="71"/>
  <c r="F48" i="80" s="1"/>
  <c r="H55" i="71"/>
  <c r="F56" i="80" s="1"/>
  <c r="H63" i="71"/>
  <c r="F64" i="80" s="1"/>
  <c r="X41" i="70"/>
  <c r="N42" i="79" s="1"/>
  <c r="X65" i="70"/>
  <c r="N66" i="79" s="1"/>
  <c r="X33" i="70"/>
  <c r="N34" i="79" s="1"/>
  <c r="X49" i="70"/>
  <c r="N50" i="79" s="1"/>
  <c r="X57" i="70"/>
  <c r="N58" i="79" s="1"/>
  <c r="X19" i="69"/>
  <c r="N20" i="78" s="1"/>
  <c r="X27" i="69"/>
  <c r="N28" i="78" s="1"/>
  <c r="X35" i="69"/>
  <c r="N36" i="78" s="1"/>
  <c r="X43" i="69"/>
  <c r="N44" i="78" s="1"/>
  <c r="X51" i="69"/>
  <c r="N52" i="78" s="1"/>
  <c r="X59" i="69"/>
  <c r="N60" i="78" s="1"/>
  <c r="X16" i="69"/>
  <c r="N17" i="78" s="1"/>
  <c r="X32" i="69"/>
  <c r="N33" i="78" s="1"/>
  <c r="X40" i="69"/>
  <c r="N41" i="78" s="1"/>
  <c r="X48" i="69"/>
  <c r="N49" i="78" s="1"/>
  <c r="X56" i="69"/>
  <c r="N57" i="78" s="1"/>
  <c r="X60" i="73"/>
  <c r="N61" i="82" s="1"/>
  <c r="X68" i="73"/>
  <c r="N69" i="82" s="1"/>
  <c r="P64" i="73"/>
  <c r="P56" i="73"/>
  <c r="X35" i="72"/>
  <c r="N36" i="81" s="1"/>
  <c r="P29" i="72"/>
  <c r="J30" i="81" s="1"/>
  <c r="X44" i="72"/>
  <c r="N45" i="81" s="1"/>
  <c r="X47" i="72"/>
  <c r="N48" i="81" s="1"/>
  <c r="P25" i="72"/>
  <c r="J26" i="81" s="1"/>
  <c r="X59" i="72"/>
  <c r="N60" i="81" s="1"/>
  <c r="X36" i="72"/>
  <c r="N37" i="81" s="1"/>
  <c r="X39" i="72"/>
  <c r="N40" i="81" s="1"/>
  <c r="X51" i="72"/>
  <c r="N52" i="81" s="1"/>
  <c r="X60" i="72"/>
  <c r="N61" i="81" s="1"/>
  <c r="X63" i="72"/>
  <c r="N64" i="81" s="1"/>
  <c r="P15" i="71"/>
  <c r="J16" i="80" s="1"/>
  <c r="P31" i="71"/>
  <c r="J32" i="80" s="1"/>
  <c r="P39" i="71"/>
  <c r="J40" i="80" s="1"/>
  <c r="P47" i="71"/>
  <c r="J48" i="80" s="1"/>
  <c r="P55" i="71"/>
  <c r="J56" i="80" s="1"/>
  <c r="P63" i="71"/>
  <c r="J64" i="80" s="1"/>
  <c r="P71" i="71"/>
  <c r="J72" i="80" s="1"/>
  <c r="X67" i="71"/>
  <c r="N68" i="80" s="1"/>
  <c r="P21" i="71"/>
  <c r="J22" i="80" s="1"/>
  <c r="P29" i="71"/>
  <c r="J30" i="80" s="1"/>
  <c r="P37" i="71"/>
  <c r="J38" i="80" s="1"/>
  <c r="P53" i="71"/>
  <c r="J54" i="80" s="1"/>
  <c r="P45" i="71"/>
  <c r="J46" i="80" s="1"/>
  <c r="P61" i="71"/>
  <c r="J62" i="80" s="1"/>
  <c r="P69" i="71"/>
  <c r="J70" i="80" s="1"/>
  <c r="X31" i="70"/>
  <c r="N32" i="79" s="1"/>
  <c r="X39" i="70"/>
  <c r="N40" i="79" s="1"/>
  <c r="X47" i="70"/>
  <c r="N48" i="79" s="1"/>
  <c r="X55" i="70"/>
  <c r="N56" i="79" s="1"/>
  <c r="X63" i="70"/>
  <c r="N64" i="79" s="1"/>
  <c r="X71" i="70"/>
  <c r="N72" i="79" s="1"/>
  <c r="X36" i="70"/>
  <c r="N37" i="79" s="1"/>
  <c r="X60" i="70"/>
  <c r="N61" i="79" s="1"/>
  <c r="X68" i="70"/>
  <c r="N69" i="79" s="1"/>
  <c r="P33" i="70"/>
  <c r="P41" i="70"/>
  <c r="J42" i="79" s="1"/>
  <c r="P49" i="70"/>
  <c r="P57" i="70"/>
  <c r="J58" i="79" s="1"/>
  <c r="P65" i="70"/>
  <c r="J66" i="79" s="1"/>
  <c r="H31" i="69"/>
  <c r="F32" i="78" s="1"/>
  <c r="H39" i="69"/>
  <c r="F40" i="78" s="1"/>
  <c r="X29" i="68"/>
  <c r="N30" i="77" s="1"/>
  <c r="X45" i="68"/>
  <c r="N46" i="77" s="1"/>
  <c r="X69" i="68"/>
  <c r="N70" i="77" s="1"/>
  <c r="H44" i="68"/>
  <c r="X72" i="68"/>
  <c r="N73" i="77" s="1"/>
  <c r="P23" i="67"/>
  <c r="J24" i="76" s="1"/>
  <c r="P39" i="67"/>
  <c r="J40" i="76" s="1"/>
  <c r="P47" i="67"/>
  <c r="J48" i="76" s="1"/>
  <c r="P55" i="67"/>
  <c r="J56" i="76" s="1"/>
  <c r="P63" i="67"/>
  <c r="J64" i="76" s="1"/>
  <c r="P71" i="67"/>
  <c r="J72" i="76" s="1"/>
  <c r="H19" i="67"/>
  <c r="F20" i="76" s="1"/>
  <c r="X26" i="67"/>
  <c r="N27" i="76"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G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50" i="79"/>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J73" i="64"/>
  <c r="G27" i="19" s="1"/>
  <c r="F73" i="64"/>
  <c r="E27" i="19" s="1"/>
  <c r="C6" i="63"/>
  <c r="J73" i="63"/>
  <c r="G26" i="19" s="1"/>
  <c r="F73" i="63"/>
  <c r="E26" i="19" s="1"/>
  <c r="C6" i="62"/>
  <c r="J73" i="62"/>
  <c r="G25" i="19" s="1"/>
  <c r="F73" i="62"/>
  <c r="E25" i="19" s="1"/>
  <c r="C6" i="61"/>
  <c r="J73" i="61"/>
  <c r="G24" i="19" s="1"/>
  <c r="F73" i="61"/>
  <c r="E24" i="19" s="1"/>
  <c r="C6" i="60"/>
  <c r="J73" i="60"/>
  <c r="G23" i="19" s="1"/>
  <c r="F73" i="60"/>
  <c r="E23" i="19" s="1"/>
  <c r="C6" i="59"/>
  <c r="J73" i="59"/>
  <c r="G22" i="19" s="1"/>
  <c r="F73" i="59"/>
  <c r="E22" i="19" s="1"/>
  <c r="C6" i="58"/>
  <c r="J73" i="58"/>
  <c r="G21" i="19" s="1"/>
  <c r="F73" i="58"/>
  <c r="E21" i="19" s="1"/>
  <c r="C6" i="57"/>
  <c r="J73" i="57"/>
  <c r="G20" i="19" s="1"/>
  <c r="F73" i="57"/>
  <c r="E20" i="19" s="1"/>
  <c r="C6"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6" i="12"/>
  <c r="I17" i="12" s="1"/>
  <c r="C6" i="16"/>
  <c r="C6" i="23"/>
  <c r="C6" i="18"/>
  <c r="C6" i="17"/>
  <c r="C6" i="19"/>
  <c r="C6" i="28"/>
  <c r="C6" i="24"/>
  <c r="C6" i="20"/>
  <c r="E9" i="51" l="1"/>
  <c r="D9" i="51" l="1"/>
  <c r="F9" i="51" s="1"/>
  <c r="D10" i="39" s="1"/>
  <c r="D36" i="52" s="1"/>
  <c r="F9" i="37"/>
  <c r="D9" i="36"/>
  <c r="F9" i="35"/>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D6" i="53"/>
  <c r="D5" i="53"/>
  <c r="C5" i="2" s="1"/>
  <c r="C5" i="83" l="1"/>
  <c r="C5" i="62"/>
  <c r="C5" i="59"/>
  <c r="C5" i="56"/>
  <c r="C5" i="60"/>
  <c r="C5" i="57"/>
  <c r="C5" i="64"/>
  <c r="C5" i="61"/>
  <c r="C5" i="58"/>
  <c r="C5" i="63"/>
  <c r="C5" i="17"/>
  <c r="C5" i="22"/>
  <c r="C5" i="19"/>
  <c r="C5" i="12"/>
  <c r="C5" i="28"/>
  <c r="C5" i="16"/>
  <c r="C5" i="24"/>
  <c r="C5" i="23"/>
  <c r="C5" i="18"/>
  <c r="C5" i="20"/>
  <c r="D36" i="3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s="1"/>
  <c r="Z122" i="38" l="1"/>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9" i="48" l="1"/>
  <c r="F70" i="36" s="1"/>
  <c r="H67" i="48"/>
  <c r="F68" i="36" s="1"/>
  <c r="H64" i="48"/>
  <c r="F65"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I18" i="32"/>
  <c r="I19" i="32"/>
  <c r="I56" i="32"/>
  <c r="I57" i="32"/>
  <c r="I58" i="32"/>
  <c r="I59" i="32"/>
  <c r="I60" i="32"/>
  <c r="I61" i="32"/>
  <c r="N15" i="43"/>
  <c r="I16" i="32" s="1"/>
  <c r="M16" i="43"/>
  <c r="H17" i="32" s="1"/>
  <c r="H18" i="32"/>
  <c r="H19" i="32"/>
  <c r="H56" i="32"/>
  <c r="H57" i="32"/>
  <c r="H58" i="32"/>
  <c r="H59" i="32"/>
  <c r="H60" i="32"/>
  <c r="H61" i="32"/>
  <c r="M15" i="43"/>
  <c r="H16" i="32" s="1"/>
  <c r="L16" i="43"/>
  <c r="G17" i="32" s="1"/>
  <c r="G18" i="32"/>
  <c r="G19" i="32"/>
  <c r="G56" i="32"/>
  <c r="G57" i="32"/>
  <c r="G58" i="32"/>
  <c r="G59" i="32"/>
  <c r="G60" i="32"/>
  <c r="G61" i="32"/>
  <c r="L15" i="43"/>
  <c r="G16" i="32" s="1"/>
  <c r="G15" i="43"/>
  <c r="B16" i="43"/>
  <c r="B17" i="32" s="1"/>
  <c r="B18" i="32"/>
  <c r="B19" i="32"/>
  <c r="B58" i="32"/>
  <c r="B59" i="32"/>
  <c r="B60" i="32"/>
  <c r="B61" i="32"/>
  <c r="B15" i="43"/>
  <c r="B16" i="32" s="1"/>
  <c r="D15" i="43"/>
  <c r="E15" i="43"/>
  <c r="P67" i="47" l="1"/>
  <c r="J68" i="35" s="1"/>
  <c r="X54" i="47"/>
  <c r="N55" i="35" s="1"/>
  <c r="H66" i="46"/>
  <c r="F67" i="34" s="1"/>
  <c r="P69" i="46"/>
  <c r="J70" i="34" s="1"/>
  <c r="H49" i="46"/>
  <c r="F50" i="34" s="1"/>
  <c r="J15" i="43"/>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65"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65" i="43"/>
  <c r="A65" i="43"/>
  <c r="A66" i="43" s="1"/>
  <c r="J64" i="43"/>
  <c r="J66" i="43"/>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66" i="32"/>
  <c r="O89" i="40" s="1"/>
  <c r="A17" i="32"/>
  <c r="A18" i="32" s="1"/>
  <c r="A19" i="32" s="1"/>
  <c r="H31" i="30"/>
  <c r="A31" i="30"/>
  <c r="H30" i="30"/>
  <c r="A22" i="30"/>
  <c r="A23" i="30" s="1"/>
  <c r="A24" i="30" s="1"/>
  <c r="A25" i="30" s="1"/>
  <c r="A26" i="30" s="1"/>
  <c r="H25" i="29"/>
  <c r="G25" i="29"/>
  <c r="E16" i="43" l="1"/>
  <c r="F16" i="43" s="1"/>
  <c r="H16" i="43"/>
  <c r="I16" i="43" s="1"/>
  <c r="E17" i="32" s="1"/>
  <c r="A20" i="32"/>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4" i="32" s="1"/>
  <c r="A66" i="32" s="1"/>
  <c r="J63" i="43"/>
  <c r="J27" i="4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J61" i="43"/>
  <c r="B230" i="52"/>
  <c r="B51" i="52"/>
  <c r="B107" i="52"/>
  <c r="B142" i="52"/>
  <c r="B206" i="52"/>
  <c r="B71" i="52"/>
  <c r="B196" i="52"/>
  <c r="B133" i="52"/>
  <c r="B62" i="52"/>
  <c r="B73" i="52"/>
  <c r="B99" i="52"/>
  <c r="B55" i="52"/>
  <c r="B215" i="52"/>
  <c r="B240" i="52"/>
  <c r="B278" i="52"/>
  <c r="W25" i="40"/>
  <c r="J25" i="4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J67" i="43" l="1"/>
  <c r="K16" i="43"/>
  <c r="E17" i="43"/>
  <c r="F17" i="43" s="1"/>
  <c r="H17" i="43"/>
  <c r="I17" i="43" s="1"/>
  <c r="E18" i="32" s="1"/>
  <c r="J31" i="41"/>
  <c r="X14" i="40"/>
  <c r="H14" i="29"/>
  <c r="G33" i="29"/>
  <c r="G41" i="29" s="1"/>
  <c r="I84" i="29"/>
  <c r="J84" i="29" s="1"/>
  <c r="X84" i="40"/>
  <c r="E71" i="29"/>
  <c r="E79" i="29" s="1"/>
  <c r="J79" i="29" s="1"/>
  <c r="I79" i="40"/>
  <c r="X79" i="40" s="1"/>
  <c r="A18" i="43"/>
  <c r="K21" i="41"/>
  <c r="G22" i="30"/>
  <c r="H22" i="30" s="1"/>
  <c r="D16" i="29"/>
  <c r="F16" i="40"/>
  <c r="A23" i="41"/>
  <c r="H22" i="41"/>
  <c r="I22" i="41" s="1"/>
  <c r="I82" i="29"/>
  <c r="U86" i="40"/>
  <c r="X86" i="40" s="1"/>
  <c r="X82" i="40"/>
  <c r="E36" i="29"/>
  <c r="E39" i="29" s="1"/>
  <c r="I39" i="40"/>
  <c r="E31" i="29"/>
  <c r="I31" i="40"/>
  <c r="D17" i="32"/>
  <c r="F17" i="32"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K17" i="43" l="1"/>
  <c r="A19" i="43"/>
  <c r="A20" i="43" s="1"/>
  <c r="H18" i="43"/>
  <c r="I18" i="43" s="1"/>
  <c r="E19" i="32" s="1"/>
  <c r="E18" i="43"/>
  <c r="F18" i="43" s="1"/>
  <c r="F65" i="32"/>
  <c r="L89" i="40" s="1"/>
  <c r="L90" i="40" s="1"/>
  <c r="K64" i="43"/>
  <c r="J71" i="29"/>
  <c r="J54" i="29"/>
  <c r="J82" i="29"/>
  <c r="I86" i="29"/>
  <c r="J86" i="29" s="1"/>
  <c r="K22" i="41"/>
  <c r="G23" i="30"/>
  <c r="H23" i="30" s="1"/>
  <c r="A24" i="41"/>
  <c r="H23" i="41"/>
  <c r="I23" i="41" s="1"/>
  <c r="D18" i="32"/>
  <c r="F18" i="32" s="1"/>
  <c r="X39" i="40"/>
  <c r="X16" i="40"/>
  <c r="I51" i="29"/>
  <c r="J51" i="29" s="1"/>
  <c r="O92" i="40"/>
  <c r="R33" i="40"/>
  <c r="R41" i="40" s="1"/>
  <c r="J64" i="29"/>
  <c r="F68" i="29"/>
  <c r="J68" i="29" s="1"/>
  <c r="X31" i="40"/>
  <c r="H16" i="29"/>
  <c r="H33" i="29" s="1"/>
  <c r="H41" i="29" s="1"/>
  <c r="J14" i="29"/>
  <c r="J44" i="29"/>
  <c r="X68" i="40"/>
  <c r="F31" i="29"/>
  <c r="J28" i="29"/>
  <c r="F39" i="29"/>
  <c r="J39" i="29" s="1"/>
  <c r="J36" i="29"/>
  <c r="J13" i="29"/>
  <c r="I16" i="29"/>
  <c r="X51" i="40"/>
  <c r="G92" i="29"/>
  <c r="G96" i="29" s="1"/>
  <c r="E36" i="33" s="1"/>
  <c r="F11" i="39"/>
  <c r="K99" i="40"/>
  <c r="W96" i="40"/>
  <c r="K18" i="43" l="1"/>
  <c r="E20" i="43"/>
  <c r="F20" i="43" s="1"/>
  <c r="H20" i="43"/>
  <c r="I20" i="43" s="1"/>
  <c r="E21" i="32" s="1"/>
  <c r="E19" i="43"/>
  <c r="F19" i="43" s="1"/>
  <c r="H19" i="43"/>
  <c r="I19" i="43" s="1"/>
  <c r="E20" i="32" s="1"/>
  <c r="A21" i="43"/>
  <c r="F89" i="29"/>
  <c r="F90" i="29" s="1"/>
  <c r="D19" i="32"/>
  <c r="F19" i="32" s="1"/>
  <c r="O96" i="40"/>
  <c r="R169" i="38"/>
  <c r="M170" i="50" s="1"/>
  <c r="A25" i="41"/>
  <c r="H24" i="41"/>
  <c r="I24" i="41" s="1"/>
  <c r="K23" i="41"/>
  <c r="G24" i="30"/>
  <c r="H24" i="30" s="1"/>
  <c r="J16" i="29"/>
  <c r="J31" i="29"/>
  <c r="E21" i="43" l="1"/>
  <c r="F21" i="43" s="1"/>
  <c r="H21" i="43"/>
  <c r="I21" i="43" s="1"/>
  <c r="E22" i="32" s="1"/>
  <c r="K19" i="43"/>
  <c r="D20" i="32"/>
  <c r="F20" i="32" s="1"/>
  <c r="K20" i="43"/>
  <c r="D21" i="32"/>
  <c r="F21" i="32" s="1"/>
  <c r="A22" i="43"/>
  <c r="K24" i="41"/>
  <c r="K25" i="41" s="1"/>
  <c r="G25" i="30"/>
  <c r="H25" i="30" s="1"/>
  <c r="H26" i="30" s="1"/>
  <c r="K21" i="43" l="1"/>
  <c r="E22" i="43"/>
  <c r="F22" i="43" s="1"/>
  <c r="H22" i="43"/>
  <c r="I22" i="43" s="1"/>
  <c r="E23" i="32" s="1"/>
  <c r="D22" i="32"/>
  <c r="F22" i="32" s="1"/>
  <c r="A23" i="43"/>
  <c r="K27" i="41"/>
  <c r="I24" i="40" s="1"/>
  <c r="H28" i="30"/>
  <c r="H29" i="30"/>
  <c r="K28" i="41"/>
  <c r="L24" i="40" s="1"/>
  <c r="D13" i="52"/>
  <c r="H23" i="43" l="1"/>
  <c r="I23" i="43" s="1"/>
  <c r="E24" i="32" s="1"/>
  <c r="E23" i="43"/>
  <c r="F23" i="43" s="1"/>
  <c r="K22" i="43"/>
  <c r="D23" i="32"/>
  <c r="F23" i="32" s="1"/>
  <c r="A24" i="43"/>
  <c r="H32" i="30"/>
  <c r="E24" i="29"/>
  <c r="E25" i="29" s="1"/>
  <c r="E33" i="29" s="1"/>
  <c r="E41" i="29" s="1"/>
  <c r="I25" i="40"/>
  <c r="I33" i="40" s="1"/>
  <c r="I41" i="40" s="1"/>
  <c r="F24" i="29"/>
  <c r="L25" i="40"/>
  <c r="U24" i="40"/>
  <c r="U25" i="40" s="1"/>
  <c r="U33" i="40" s="1"/>
  <c r="U41" i="40" s="1"/>
  <c r="F19" i="22"/>
  <c r="E24" i="43" l="1"/>
  <c r="F24" i="43" s="1"/>
  <c r="H24" i="43"/>
  <c r="I24" i="43" s="1"/>
  <c r="E25" i="32" s="1"/>
  <c r="K23" i="43"/>
  <c r="D24" i="32"/>
  <c r="F24" i="32" s="1"/>
  <c r="A25" i="43"/>
  <c r="X24" i="40"/>
  <c r="L33" i="40"/>
  <c r="X25" i="40"/>
  <c r="F25" i="29"/>
  <c r="I24" i="29"/>
  <c r="I162" i="12"/>
  <c r="I157" i="12"/>
  <c r="I152" i="12"/>
  <c r="I147" i="12"/>
  <c r="I142" i="12"/>
  <c r="I137" i="12"/>
  <c r="I132" i="12"/>
  <c r="I127" i="12"/>
  <c r="K24" i="43" l="1"/>
  <c r="H25" i="43"/>
  <c r="I25" i="43" s="1"/>
  <c r="E26" i="32" s="1"/>
  <c r="E25" i="43"/>
  <c r="F25" i="43" s="1"/>
  <c r="D25" i="32"/>
  <c r="F25" i="32" s="1"/>
  <c r="A26" i="43"/>
  <c r="J24" i="29"/>
  <c r="I25" i="29"/>
  <c r="I33" i="29" s="1"/>
  <c r="I41" i="29" s="1"/>
  <c r="F33" i="29"/>
  <c r="L41" i="40"/>
  <c r="X33" i="40"/>
  <c r="K184" i="12"/>
  <c r="K25" i="43" l="1"/>
  <c r="H26" i="43"/>
  <c r="I26" i="43" s="1"/>
  <c r="E27" i="32" s="1"/>
  <c r="E26" i="43"/>
  <c r="F26" i="43" s="1"/>
  <c r="D26" i="32"/>
  <c r="F26" i="32" s="1"/>
  <c r="A27" i="43"/>
  <c r="J25" i="29"/>
  <c r="X41" i="40"/>
  <c r="L92" i="40"/>
  <c r="J33" i="29"/>
  <c r="F41" i="29"/>
  <c r="K176" i="12"/>
  <c r="K175" i="12"/>
  <c r="E27" i="43" l="1"/>
  <c r="F27" i="43" s="1"/>
  <c r="H27" i="43"/>
  <c r="I27" i="43" s="1"/>
  <c r="E28" i="32" s="1"/>
  <c r="K26" i="43"/>
  <c r="D27" i="32"/>
  <c r="F27" i="32" s="1"/>
  <c r="A28" i="43"/>
  <c r="F92" i="29"/>
  <c r="E30" i="33" s="1"/>
  <c r="E31" i="33" s="1"/>
  <c r="J41" i="29"/>
  <c r="L96" i="40"/>
  <c r="F38" i="2"/>
  <c r="G38" i="2"/>
  <c r="H38" i="2"/>
  <c r="I38" i="2"/>
  <c r="E38" i="2"/>
  <c r="J37" i="2"/>
  <c r="K27" i="43" l="1"/>
  <c r="H28" i="43"/>
  <c r="I28" i="43" s="1"/>
  <c r="E29" i="32" s="1"/>
  <c r="E28" i="43"/>
  <c r="F28" i="43" s="1"/>
  <c r="D28" i="32"/>
  <c r="F28" i="32" s="1"/>
  <c r="A29" i="43"/>
  <c r="O8" i="51"/>
  <c r="O10" i="51" s="1"/>
  <c r="S12" i="51" s="1"/>
  <c r="F8" i="51"/>
  <c r="F10" i="51" s="1"/>
  <c r="I12" i="51" s="1"/>
  <c r="L99" i="40"/>
  <c r="F96" i="29"/>
  <c r="D42" i="52" s="1"/>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E29" i="43" l="1"/>
  <c r="F29" i="43" s="1"/>
  <c r="H29" i="43"/>
  <c r="I29" i="43" s="1"/>
  <c r="E30" i="32" s="1"/>
  <c r="K28" i="43"/>
  <c r="D29" i="32"/>
  <c r="F29" i="32" s="1"/>
  <c r="A30" i="43"/>
  <c r="I9" i="39"/>
  <c r="I11" i="39" s="1"/>
  <c r="K13" i="39" s="1"/>
  <c r="D45" i="52" s="1"/>
  <c r="F99"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K29" i="43" l="1"/>
  <c r="E30" i="43"/>
  <c r="F30" i="43" s="1"/>
  <c r="H30" i="43"/>
  <c r="I30" i="43" s="1"/>
  <c r="E31" i="32" s="1"/>
  <c r="D30" i="32"/>
  <c r="F30" i="32" s="1"/>
  <c r="A31" i="43"/>
  <c r="J28" i="2"/>
  <c r="K30" i="43" l="1"/>
  <c r="E31" i="43"/>
  <c r="F31" i="43" s="1"/>
  <c r="H31" i="43"/>
  <c r="I31" i="43" s="1"/>
  <c r="E32" i="32" s="1"/>
  <c r="D31" i="32"/>
  <c r="F31" i="32" s="1"/>
  <c r="A32" i="43"/>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K31" i="43" l="1"/>
  <c r="E32" i="43"/>
  <c r="F32" i="43" s="1"/>
  <c r="H32" i="43"/>
  <c r="I32" i="43" s="1"/>
  <c r="E33" i="32" s="1"/>
  <c r="D32" i="32"/>
  <c r="F32" i="32" s="1"/>
  <c r="A33" i="43"/>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K32" i="43" l="1"/>
  <c r="E33" i="43"/>
  <c r="F33" i="43" s="1"/>
  <c r="H33" i="43"/>
  <c r="I33" i="43" s="1"/>
  <c r="E34" i="32" s="1"/>
  <c r="D33" i="32"/>
  <c r="F33" i="32" s="1"/>
  <c r="A34" i="43"/>
  <c r="F78" i="2"/>
  <c r="G78" i="2"/>
  <c r="H78" i="2"/>
  <c r="I78" i="2"/>
  <c r="E78" i="2"/>
  <c r="J83" i="2"/>
  <c r="J84" i="2"/>
  <c r="J62" i="2"/>
  <c r="K33" i="43" l="1"/>
  <c r="E34" i="43"/>
  <c r="F34" i="43" s="1"/>
  <c r="H34" i="43"/>
  <c r="I34" i="43" s="1"/>
  <c r="E35" i="32" s="1"/>
  <c r="D34" i="32"/>
  <c r="F34" i="32" s="1"/>
  <c r="A35" i="43"/>
  <c r="J77" i="2"/>
  <c r="J82" i="2"/>
  <c r="J73" i="2"/>
  <c r="J54" i="2"/>
  <c r="D15" i="2"/>
  <c r="E35" i="43" l="1"/>
  <c r="F35" i="43" s="1"/>
  <c r="D36" i="32" s="1"/>
  <c r="H35" i="43"/>
  <c r="I35" i="43" s="1"/>
  <c r="K34" i="43"/>
  <c r="D35" i="32"/>
  <c r="F35" i="32" s="1"/>
  <c r="A36" i="43"/>
  <c r="A30" i="20"/>
  <c r="E36" i="43" l="1"/>
  <c r="F36" i="43" s="1"/>
  <c r="H36" i="43"/>
  <c r="I36" i="43" s="1"/>
  <c r="E37" i="32" s="1"/>
  <c r="K35" i="43"/>
  <c r="E36" i="32"/>
  <c r="F36" i="32" s="1"/>
  <c r="A37" i="43"/>
  <c r="J36" i="2"/>
  <c r="J35" i="2"/>
  <c r="J27" i="2"/>
  <c r="I30" i="2"/>
  <c r="H30" i="2"/>
  <c r="G30" i="2"/>
  <c r="F30" i="2"/>
  <c r="E30" i="2"/>
  <c r="J19" i="2"/>
  <c r="J18" i="2"/>
  <c r="F16" i="28"/>
  <c r="F54" i="28"/>
  <c r="F55" i="28"/>
  <c r="F56" i="28"/>
  <c r="F64" i="28" s="1"/>
  <c r="F57" i="28"/>
  <c r="F58" i="28"/>
  <c r="F59" i="28"/>
  <c r="F65" i="28" s="1"/>
  <c r="A21" i="20"/>
  <c r="A22" i="20" s="1"/>
  <c r="A23" i="20" s="1"/>
  <c r="A24" i="20" s="1"/>
  <c r="A25" i="20" s="1"/>
  <c r="J73" i="16"/>
  <c r="G17" i="19" s="1"/>
  <c r="F73" i="16"/>
  <c r="E17" i="19" s="1"/>
  <c r="J73" i="23"/>
  <c r="G16" i="19" s="1"/>
  <c r="F73" i="23"/>
  <c r="J73" i="18"/>
  <c r="G15" i="19" s="1"/>
  <c r="F73" i="18"/>
  <c r="E15" i="19" s="1"/>
  <c r="E37" i="43" l="1"/>
  <c r="F37" i="43" s="1"/>
  <c r="H37" i="43"/>
  <c r="I37" i="43" s="1"/>
  <c r="E38" i="32" s="1"/>
  <c r="K36" i="43"/>
  <c r="D37" i="32"/>
  <c r="F37" i="32" s="1"/>
  <c r="A38" i="43"/>
  <c r="F63" i="28"/>
  <c r="F88" i="2" s="1"/>
  <c r="F89" i="2" s="1"/>
  <c r="G28" i="19"/>
  <c r="H88" i="2"/>
  <c r="H89" i="2" s="1"/>
  <c r="P89" i="40"/>
  <c r="P90" i="40" s="1"/>
  <c r="G88" i="2"/>
  <c r="G89" i="2" s="1"/>
  <c r="M89" i="40"/>
  <c r="M90" i="40" s="1"/>
  <c r="E16" i="19"/>
  <c r="E28" i="19" s="1"/>
  <c r="F60" i="28"/>
  <c r="E14" i="52" s="1"/>
  <c r="J38" i="2"/>
  <c r="J30" i="2"/>
  <c r="F62" i="28"/>
  <c r="E38" i="43" l="1"/>
  <c r="F38" i="43" s="1"/>
  <c r="H38" i="43"/>
  <c r="I38" i="43" s="1"/>
  <c r="E39" i="32" s="1"/>
  <c r="K37" i="43"/>
  <c r="D38" i="32"/>
  <c r="F38" i="32" s="1"/>
  <c r="A39" i="43"/>
  <c r="J89" i="40"/>
  <c r="J90" i="40" s="1"/>
  <c r="G89" i="40"/>
  <c r="E88" i="2"/>
  <c r="F66" i="28"/>
  <c r="A16" i="28"/>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2" i="28" s="1"/>
  <c r="A64" i="28" s="1"/>
  <c r="E39" i="43" l="1"/>
  <c r="F39" i="43" s="1"/>
  <c r="H39" i="43"/>
  <c r="I39" i="43" s="1"/>
  <c r="E40" i="32" s="1"/>
  <c r="K38" i="43"/>
  <c r="D39" i="32"/>
  <c r="F39" i="32" s="1"/>
  <c r="A40" i="43"/>
  <c r="I88" i="2"/>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K39" i="43" l="1"/>
  <c r="E40" i="43"/>
  <c r="F40" i="43" s="1"/>
  <c r="H40" i="43"/>
  <c r="I40" i="43" s="1"/>
  <c r="E41" i="32" s="1"/>
  <c r="D40" i="32"/>
  <c r="F40" i="32" s="1"/>
  <c r="A41" i="43"/>
  <c r="V89" i="40"/>
  <c r="V90" i="40"/>
  <c r="J15" i="2"/>
  <c r="J20" i="2"/>
  <c r="I89" i="2"/>
  <c r="J89" i="2" s="1"/>
  <c r="J50" i="2"/>
  <c r="J78" i="2"/>
  <c r="J67" i="2"/>
  <c r="J57" i="2"/>
  <c r="E41" i="43" l="1"/>
  <c r="F41" i="43" s="1"/>
  <c r="H41" i="43"/>
  <c r="I41" i="43" s="1"/>
  <c r="E42" i="32" s="1"/>
  <c r="K40" i="43"/>
  <c r="D41" i="32"/>
  <c r="F41" i="32" s="1"/>
  <c r="A42" i="43"/>
  <c r="H197" i="22"/>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E42" i="43" l="1"/>
  <c r="F42" i="43" s="1"/>
  <c r="H42" i="43"/>
  <c r="I42" i="43" s="1"/>
  <c r="E43" i="32" s="1"/>
  <c r="K41" i="43"/>
  <c r="A43" i="43"/>
  <c r="D42" i="32"/>
  <c r="F42" i="32" s="1"/>
  <c r="F197" i="22"/>
  <c r="F8" i="22" s="1"/>
  <c r="E37" i="52" s="1"/>
  <c r="F37" i="52" s="1"/>
  <c r="J197" i="22"/>
  <c r="F9" i="22" s="1"/>
  <c r="E38" i="52" s="1"/>
  <c r="F38" i="52" s="1"/>
  <c r="K42" i="43" l="1"/>
  <c r="E43" i="43"/>
  <c r="F43" i="43" s="1"/>
  <c r="H43" i="43"/>
  <c r="I43" i="43" s="1"/>
  <c r="E44" i="32" s="1"/>
  <c r="D43" i="32"/>
  <c r="F43" i="32" s="1"/>
  <c r="A44" i="43"/>
  <c r="F10" i="22"/>
  <c r="K43" i="43" l="1"/>
  <c r="E44" i="43"/>
  <c r="F44" i="43" s="1"/>
  <c r="H44" i="43"/>
  <c r="I44" i="43" s="1"/>
  <c r="E45" i="32" s="1"/>
  <c r="D44" i="32"/>
  <c r="F44" i="32" s="1"/>
  <c r="A45" i="43"/>
  <c r="M170" i="12"/>
  <c r="H30" i="20"/>
  <c r="H29" i="20"/>
  <c r="H21" i="20"/>
  <c r="H22" i="20"/>
  <c r="H28" i="20" s="1"/>
  <c r="H23" i="20"/>
  <c r="H24" i="20"/>
  <c r="E45" i="43" l="1"/>
  <c r="F45" i="43" s="1"/>
  <c r="H45" i="43"/>
  <c r="I45" i="43" s="1"/>
  <c r="E46" i="32" s="1"/>
  <c r="K44" i="43"/>
  <c r="D45" i="32"/>
  <c r="F45" i="32" s="1"/>
  <c r="A46" i="43"/>
  <c r="H27" i="20"/>
  <c r="E23" i="2" s="1"/>
  <c r="E24" i="2" s="1"/>
  <c r="E32" i="2" s="1"/>
  <c r="F23" i="2"/>
  <c r="F24" i="2" s="1"/>
  <c r="J24" i="40"/>
  <c r="J25" i="40" s="1"/>
  <c r="J33" i="40" s="1"/>
  <c r="J41" i="40" s="1"/>
  <c r="G23" i="2"/>
  <c r="G24" i="2" s="1"/>
  <c r="M24" i="40"/>
  <c r="M25" i="40" s="1"/>
  <c r="M33" i="40" s="1"/>
  <c r="M41" i="40" s="1"/>
  <c r="M92" i="40" s="1"/>
  <c r="M96" i="40" s="1"/>
  <c r="G24" i="40"/>
  <c r="H23" i="2"/>
  <c r="H24" i="2" s="1"/>
  <c r="P24" i="40"/>
  <c r="P25" i="40" s="1"/>
  <c r="P33" i="40" s="1"/>
  <c r="P41" i="40" s="1"/>
  <c r="P92" i="40" s="1"/>
  <c r="P96" i="40" s="1"/>
  <c r="H25" i="20"/>
  <c r="H46" i="43" l="1"/>
  <c r="I46" i="43" s="1"/>
  <c r="E47" i="32" s="1"/>
  <c r="E46" i="43"/>
  <c r="F46" i="43" s="1"/>
  <c r="K45" i="43"/>
  <c r="D46" i="32"/>
  <c r="F46" i="32" s="1"/>
  <c r="A47" i="43"/>
  <c r="J92" i="40"/>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K46" i="43" l="1"/>
  <c r="E47" i="43"/>
  <c r="F47" i="43" s="1"/>
  <c r="H47" i="43"/>
  <c r="I47" i="43" s="1"/>
  <c r="E48" i="32" s="1"/>
  <c r="D47" i="32"/>
  <c r="F47" i="32" s="1"/>
  <c r="A48" i="43"/>
  <c r="J24" i="2"/>
  <c r="J23" i="2"/>
  <c r="E56" i="52"/>
  <c r="F56" i="52" s="1"/>
  <c r="E53" i="52"/>
  <c r="F53" i="52" s="1"/>
  <c r="V24" i="40"/>
  <c r="V25" i="40"/>
  <c r="I91" i="2"/>
  <c r="R171" i="38" s="1"/>
  <c r="R172" i="38" s="1"/>
  <c r="R173" i="38" s="1"/>
  <c r="F91" i="2"/>
  <c r="G91" i="2"/>
  <c r="H91" i="2"/>
  <c r="E40" i="2"/>
  <c r="E91" i="2" s="1"/>
  <c r="J32" i="2"/>
  <c r="K47" i="43" l="1"/>
  <c r="H48" i="43"/>
  <c r="I48" i="43" s="1"/>
  <c r="E49" i="32" s="1"/>
  <c r="E48" i="43"/>
  <c r="F48" i="43" s="1"/>
  <c r="D48" i="32"/>
  <c r="F48" i="32" s="1"/>
  <c r="A49" i="43"/>
  <c r="F95" i="2"/>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H49" i="43" l="1"/>
  <c r="I49" i="43" s="1"/>
  <c r="E50" i="32" s="1"/>
  <c r="E49" i="43"/>
  <c r="F49" i="43" s="1"/>
  <c r="K48" i="43"/>
  <c r="D49" i="32"/>
  <c r="F49" i="32" s="1"/>
  <c r="A50" i="43"/>
  <c r="H15" i="16"/>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Q66" i="49"/>
  <c r="S66" i="49" s="1"/>
  <c r="I44" i="49"/>
  <c r="K44" i="49" s="1"/>
  <c r="Q20" i="49"/>
  <c r="S20" i="49" s="1"/>
  <c r="I65" i="48"/>
  <c r="K65" i="48" s="1"/>
  <c r="I46" i="48"/>
  <c r="K46" i="48" s="1"/>
  <c r="I27" i="48"/>
  <c r="K27" i="48" s="1"/>
  <c r="Q72" i="47"/>
  <c r="S72" i="47" s="1"/>
  <c r="Q50" i="47"/>
  <c r="S50" i="47" s="1"/>
  <c r="I28" i="47"/>
  <c r="K28" i="47" s="1"/>
  <c r="I51" i="46"/>
  <c r="K51" i="46" s="1"/>
  <c r="Q30" i="46"/>
  <c r="S30" i="46" s="1"/>
  <c r="Q38" i="48"/>
  <c r="S38" i="48" s="1"/>
  <c r="Q63" i="49"/>
  <c r="S63" i="49" s="1"/>
  <c r="I41" i="49"/>
  <c r="K41" i="49" s="1"/>
  <c r="I17" i="49"/>
  <c r="K17" i="49" s="1"/>
  <c r="Q43" i="48"/>
  <c r="S43" i="48" s="1"/>
  <c r="Q24" i="48"/>
  <c r="S24" i="48" s="1"/>
  <c r="Q69" i="47"/>
  <c r="S69" i="47" s="1"/>
  <c r="Q47" i="47"/>
  <c r="S47" i="47" s="1"/>
  <c r="Q24" i="47"/>
  <c r="S24" i="47" s="1"/>
  <c r="Q68" i="46"/>
  <c r="S68" i="46" s="1"/>
  <c r="I48" i="46"/>
  <c r="K48" i="46" s="1"/>
  <c r="Q27" i="46"/>
  <c r="S27" i="46" s="1"/>
  <c r="I35" i="49"/>
  <c r="K35" i="49" s="1"/>
  <c r="I34" i="49"/>
  <c r="K34" i="49" s="1"/>
  <c r="Q39" i="47"/>
  <c r="S39" i="47" s="1"/>
  <c r="Q71" i="48"/>
  <c r="S71" i="48" s="1"/>
  <c r="Q37" i="46"/>
  <c r="S37" i="46" s="1"/>
  <c r="Q62" i="49"/>
  <c r="S62" i="49" s="1"/>
  <c r="I40" i="49"/>
  <c r="K40" i="49" s="1"/>
  <c r="I16" i="49"/>
  <c r="K16" i="49" s="1"/>
  <c r="Q61" i="48"/>
  <c r="S61" i="48" s="1"/>
  <c r="Q42" i="48"/>
  <c r="S42" i="48" s="1"/>
  <c r="Q68" i="47"/>
  <c r="S68" i="47" s="1"/>
  <c r="Q46" i="47"/>
  <c r="S46" i="47" s="1"/>
  <c r="Q47" i="46"/>
  <c r="S47" i="46" s="1"/>
  <c r="Q26" i="46"/>
  <c r="S26" i="46" s="1"/>
  <c r="I43" i="46"/>
  <c r="K43" i="46" s="1"/>
  <c r="I21" i="46"/>
  <c r="K21" i="46" s="1"/>
  <c r="Q32" i="49"/>
  <c r="S32" i="49" s="1"/>
  <c r="I29" i="49"/>
  <c r="K29" i="49" s="1"/>
  <c r="I36" i="47"/>
  <c r="K36" i="47" s="1"/>
  <c r="I61" i="49"/>
  <c r="K61" i="49" s="1"/>
  <c r="Q38" i="49"/>
  <c r="S38" i="49" s="1"/>
  <c r="I60" i="48"/>
  <c r="K60" i="48" s="1"/>
  <c r="Q41" i="48"/>
  <c r="S41" i="48" s="1"/>
  <c r="I23" i="48"/>
  <c r="K23" i="48" s="1"/>
  <c r="I67" i="47"/>
  <c r="K67" i="47" s="1"/>
  <c r="I45" i="47"/>
  <c r="K45" i="47" s="1"/>
  <c r="Q22" i="47"/>
  <c r="S22" i="47" s="1"/>
  <c r="Q66" i="46"/>
  <c r="S66" i="46" s="1"/>
  <c r="I46" i="46"/>
  <c r="K46" i="46" s="1"/>
  <c r="I25" i="46"/>
  <c r="K25" i="46" s="1"/>
  <c r="Q57" i="49"/>
  <c r="S57" i="49" s="1"/>
  <c r="Q57" i="48"/>
  <c r="S57" i="48" s="1"/>
  <c r="I20" i="48"/>
  <c r="K20" i="48" s="1"/>
  <c r="Q63" i="47"/>
  <c r="S63" i="47" s="1"/>
  <c r="I19" i="47"/>
  <c r="K19" i="47" s="1"/>
  <c r="Q63" i="46"/>
  <c r="S63" i="46" s="1"/>
  <c r="I22" i="46"/>
  <c r="K22" i="46" s="1"/>
  <c r="Q56" i="49"/>
  <c r="S56" i="49" s="1"/>
  <c r="Q56" i="48"/>
  <c r="S56" i="48" s="1"/>
  <c r="I38" i="48"/>
  <c r="K38" i="48" s="1"/>
  <c r="I19" i="48"/>
  <c r="K19" i="48" s="1"/>
  <c r="Q62" i="47"/>
  <c r="S62" i="47" s="1"/>
  <c r="I41" i="47"/>
  <c r="K41" i="47" s="1"/>
  <c r="I18" i="47"/>
  <c r="K18" i="47" s="1"/>
  <c r="Q62" i="46"/>
  <c r="S62" i="46" s="1"/>
  <c r="I55" i="49"/>
  <c r="K55" i="49" s="1"/>
  <c r="Q55" i="48"/>
  <c r="S55" i="48" s="1"/>
  <c r="Q36" i="48"/>
  <c r="S36" i="48" s="1"/>
  <c r="I61" i="47"/>
  <c r="K61" i="47" s="1"/>
  <c r="I17" i="47"/>
  <c r="K17" i="47" s="1"/>
  <c r="I61" i="46"/>
  <c r="K61" i="46" s="1"/>
  <c r="I52" i="49"/>
  <c r="K52" i="49" s="1"/>
  <c r="I53" i="48"/>
  <c r="K53" i="48" s="1"/>
  <c r="I34" i="48"/>
  <c r="K34" i="48" s="1"/>
  <c r="Q58" i="46"/>
  <c r="S58" i="46" s="1"/>
  <c r="I17" i="46"/>
  <c r="K17" i="46" s="1"/>
  <c r="I51" i="49"/>
  <c r="K51" i="49" s="1"/>
  <c r="I28" i="49"/>
  <c r="K28" i="49" s="1"/>
  <c r="I71" i="48"/>
  <c r="K71" i="48" s="1"/>
  <c r="I52" i="48"/>
  <c r="K52" i="48" s="1"/>
  <c r="I33" i="48"/>
  <c r="K33" i="48" s="1"/>
  <c r="I57" i="47"/>
  <c r="K57" i="47" s="1"/>
  <c r="Q35" i="47"/>
  <c r="S35" i="47" s="1"/>
  <c r="Q57" i="46"/>
  <c r="S57" i="46" s="1"/>
  <c r="Q36" i="46"/>
  <c r="S36" i="46" s="1"/>
  <c r="I16" i="46"/>
  <c r="K16" i="46" s="1"/>
  <c r="Q72" i="46"/>
  <c r="S72" i="46" s="1"/>
  <c r="Q72" i="49"/>
  <c r="S72" i="49" s="1"/>
  <c r="Q49" i="49"/>
  <c r="S49" i="49" s="1"/>
  <c r="Q26" i="49"/>
  <c r="S26" i="49" s="1"/>
  <c r="Q69" i="48"/>
  <c r="S69" i="48" s="1"/>
  <c r="Q55" i="47"/>
  <c r="S55" i="47" s="1"/>
  <c r="I34" i="47"/>
  <c r="K34" i="47" s="1"/>
  <c r="I56" i="46"/>
  <c r="K56" i="46" s="1"/>
  <c r="I68" i="49"/>
  <c r="K68" i="49" s="1"/>
  <c r="I22" i="49"/>
  <c r="K22" i="49" s="1"/>
  <c r="I66" i="48"/>
  <c r="K66" i="48" s="1"/>
  <c r="Q28" i="48"/>
  <c r="S28" i="48" s="1"/>
  <c r="Q29" i="47"/>
  <c r="S29" i="47" s="1"/>
  <c r="Q52" i="46"/>
  <c r="S52" i="46" s="1"/>
  <c r="I69" i="49"/>
  <c r="K69" i="49" s="1"/>
  <c r="Q46" i="49"/>
  <c r="S46" i="49" s="1"/>
  <c r="I23" i="49"/>
  <c r="K23" i="49" s="1"/>
  <c r="I67" i="48"/>
  <c r="K67" i="48" s="1"/>
  <c r="I48" i="48"/>
  <c r="K48" i="48" s="1"/>
  <c r="Q52" i="47"/>
  <c r="S52" i="47" s="1"/>
  <c r="Q30" i="47"/>
  <c r="S30" i="47" s="1"/>
  <c r="Q53" i="46"/>
  <c r="S53" i="46" s="1"/>
  <c r="Q32" i="46"/>
  <c r="S32" i="46" s="1"/>
  <c r="Q45" i="49"/>
  <c r="S45" i="49" s="1"/>
  <c r="Q51" i="47"/>
  <c r="S51" i="47" s="1"/>
  <c r="I41" i="46"/>
  <c r="K41" i="46" s="1"/>
  <c r="I58" i="47"/>
  <c r="K58" i="47" s="1"/>
  <c r="M169" i="12"/>
  <c r="M171" i="12" s="1"/>
  <c r="E93" i="2"/>
  <c r="J93" i="2" s="1"/>
  <c r="E50" i="43" l="1"/>
  <c r="F50" i="43" s="1"/>
  <c r="H50" i="43"/>
  <c r="I50" i="43" s="1"/>
  <c r="E51" i="32" s="1"/>
  <c r="K49" i="43"/>
  <c r="D50" i="32"/>
  <c r="F50" i="32" s="1"/>
  <c r="A51" i="43"/>
  <c r="R48" i="5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73" i="46"/>
  <c r="I73" i="46"/>
  <c r="S73" i="46"/>
  <c r="I73" i="48"/>
  <c r="K73" i="48"/>
  <c r="Q73" i="48"/>
  <c r="S73" i="48"/>
  <c r="G94" i="40"/>
  <c r="V94" i="40" s="1"/>
  <c r="G104" i="40"/>
  <c r="V92" i="40"/>
  <c r="I73" i="47"/>
  <c r="Q73" i="49"/>
  <c r="Q73" i="47"/>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L20" i="18"/>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L21" i="23"/>
  <c r="K29" i="23"/>
  <c r="L29" i="23" s="1"/>
  <c r="K37" i="23"/>
  <c r="L37" i="23" s="1"/>
  <c r="K45" i="23"/>
  <c r="L45" i="23" s="1"/>
  <c r="K53" i="23"/>
  <c r="L53" i="23" s="1"/>
  <c r="K61" i="23"/>
  <c r="L61" i="23" s="1"/>
  <c r="K69" i="23"/>
  <c r="L69" i="23" s="1"/>
  <c r="H19" i="23"/>
  <c r="G27" i="23"/>
  <c r="H27" i="23" s="1"/>
  <c r="G35" i="23"/>
  <c r="H35" i="23" s="1"/>
  <c r="G43" i="23"/>
  <c r="H43" i="23" s="1"/>
  <c r="G51" i="23"/>
  <c r="H51" i="23" s="1"/>
  <c r="G59" i="23"/>
  <c r="H59" i="23" s="1"/>
  <c r="G67" i="23"/>
  <c r="H67" i="23" s="1"/>
  <c r="L21" i="18"/>
  <c r="L29" i="18"/>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L22" i="23"/>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L22" i="18"/>
  <c r="L30" i="18"/>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L31" i="18"/>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L23" i="23"/>
  <c r="K31" i="23"/>
  <c r="L31" i="23" s="1"/>
  <c r="K39" i="23"/>
  <c r="L39" i="23" s="1"/>
  <c r="K47" i="23"/>
  <c r="L47" i="23" s="1"/>
  <c r="K55" i="23"/>
  <c r="L55" i="23" s="1"/>
  <c r="K63" i="23"/>
  <c r="L63" i="23" s="1"/>
  <c r="G21" i="23"/>
  <c r="H21" i="23" s="1"/>
  <c r="G29" i="23"/>
  <c r="H29" i="23" s="1"/>
  <c r="G37" i="23"/>
  <c r="H37" i="23" s="1"/>
  <c r="G45" i="23"/>
  <c r="H45" i="23" s="1"/>
  <c r="G53" i="23"/>
  <c r="H53" i="23" s="1"/>
  <c r="G69" i="23"/>
  <c r="H69" i="23" s="1"/>
  <c r="L23" i="18"/>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L24" i="23"/>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L16" i="18"/>
  <c r="L24" i="18"/>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H16" i="23"/>
  <c r="G24" i="23"/>
  <c r="H24" i="23" s="1"/>
  <c r="G32" i="23"/>
  <c r="H32" i="23" s="1"/>
  <c r="G40" i="23"/>
  <c r="H40" i="23" s="1"/>
  <c r="G48" i="23"/>
  <c r="H48" i="23" s="1"/>
  <c r="G56" i="23"/>
  <c r="H56" i="23" s="1"/>
  <c r="G64" i="23"/>
  <c r="H64" i="23" s="1"/>
  <c r="G72" i="23"/>
  <c r="H72" i="23" s="1"/>
  <c r="L18" i="18"/>
  <c r="L26" i="18"/>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L20" i="23"/>
  <c r="K28" i="23"/>
  <c r="L28" i="23" s="1"/>
  <c r="K36" i="23"/>
  <c r="L36" i="23" s="1"/>
  <c r="K44" i="23"/>
  <c r="L44" i="23" s="1"/>
  <c r="K60" i="23"/>
  <c r="L60" i="23" s="1"/>
  <c r="H18" i="23"/>
  <c r="G26" i="23"/>
  <c r="H26" i="23" s="1"/>
  <c r="G50" i="23"/>
  <c r="H50" i="23" s="1"/>
  <c r="G66" i="23"/>
  <c r="H66" i="23" s="1"/>
  <c r="L28" i="18"/>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L19" i="16"/>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H17" i="23"/>
  <c r="G25" i="23"/>
  <c r="H25" i="23" s="1"/>
  <c r="G33" i="23"/>
  <c r="H33" i="23" s="1"/>
  <c r="G41" i="23"/>
  <c r="H41" i="23" s="1"/>
  <c r="G49" i="23"/>
  <c r="H49" i="23" s="1"/>
  <c r="G57" i="23"/>
  <c r="H57" i="23" s="1"/>
  <c r="G65" i="23"/>
  <c r="H65" i="23" s="1"/>
  <c r="L19" i="18"/>
  <c r="L27" i="18"/>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K57" i="16"/>
  <c r="L57" i="16" s="1"/>
  <c r="G63" i="16"/>
  <c r="H63" i="16" s="1"/>
  <c r="K65" i="23"/>
  <c r="L65" i="23" s="1"/>
  <c r="G71" i="23"/>
  <c r="H71" i="23" s="1"/>
  <c r="L19" i="17"/>
  <c r="K39" i="17"/>
  <c r="L39" i="17" s="1"/>
  <c r="K55" i="17"/>
  <c r="L55" i="17" s="1"/>
  <c r="K71" i="17"/>
  <c r="L71" i="17" s="1"/>
  <c r="G29" i="17"/>
  <c r="H29" i="17" s="1"/>
  <c r="G45" i="17"/>
  <c r="H45" i="17" s="1"/>
  <c r="G61" i="17"/>
  <c r="H61" i="17" s="1"/>
  <c r="K65" i="16"/>
  <c r="L65" i="16" s="1"/>
  <c r="G71" i="16"/>
  <c r="H71" i="16" s="1"/>
  <c r="K15" i="23"/>
  <c r="L17" i="18"/>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L25" i="18"/>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H51" i="43" l="1"/>
  <c r="I51" i="43" s="1"/>
  <c r="E51" i="43"/>
  <c r="F51" i="43" s="1"/>
  <c r="K50" i="43"/>
  <c r="D51" i="32"/>
  <c r="F51" i="32" s="1"/>
  <c r="A52" i="43"/>
  <c r="F75" i="71"/>
  <c r="I24" i="19"/>
  <c r="I22" i="19"/>
  <c r="F75" i="73"/>
  <c r="F75" i="61"/>
  <c r="E24" i="52" s="1"/>
  <c r="L75" i="64"/>
  <c r="I19" i="19"/>
  <c r="I27" i="19"/>
  <c r="F75" i="68"/>
  <c r="F75" i="65"/>
  <c r="F75" i="67"/>
  <c r="F75" i="56"/>
  <c r="E19" i="52" s="1"/>
  <c r="F75" i="59"/>
  <c r="E22" i="52" s="1"/>
  <c r="F75" i="63"/>
  <c r="E26" i="52" s="1"/>
  <c r="I25" i="19"/>
  <c r="F75" i="60"/>
  <c r="E23" i="52" s="1"/>
  <c r="F75" i="69"/>
  <c r="I26" i="19"/>
  <c r="F75" i="62"/>
  <c r="E25" i="52" s="1"/>
  <c r="I23" i="19"/>
  <c r="I20" i="19"/>
  <c r="I21" i="19"/>
  <c r="F75" i="66"/>
  <c r="F75" i="57"/>
  <c r="E20" i="52" s="1"/>
  <c r="F75" i="72"/>
  <c r="F75" i="58"/>
  <c r="E21" i="52" s="1"/>
  <c r="F75" i="70"/>
  <c r="F75" i="48"/>
  <c r="J101" i="2"/>
  <c r="E12" i="52"/>
  <c r="S73" i="49"/>
  <c r="K73" i="49"/>
  <c r="S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K51" i="43" l="1"/>
  <c r="H52" i="43"/>
  <c r="I52" i="43" s="1"/>
  <c r="E53" i="32" s="1"/>
  <c r="E52" i="43"/>
  <c r="F52" i="43" s="1"/>
  <c r="E52" i="32"/>
  <c r="D52" i="32"/>
  <c r="A53" i="43"/>
  <c r="E39" i="52"/>
  <c r="F39" i="52" s="1"/>
  <c r="G151" i="22"/>
  <c r="G17" i="22"/>
  <c r="K17" i="22"/>
  <c r="F75" i="49"/>
  <c r="F75" i="47"/>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F52" i="32" l="1"/>
  <c r="K52" i="43"/>
  <c r="E53" i="43"/>
  <c r="F53" i="43" s="1"/>
  <c r="H53" i="43"/>
  <c r="I53" i="43" s="1"/>
  <c r="E54" i="32" s="1"/>
  <c r="A54" i="43"/>
  <c r="D53" i="32"/>
  <c r="F53" i="32" s="1"/>
  <c r="H28" i="19"/>
  <c r="F28" i="19"/>
  <c r="I14" i="19"/>
  <c r="F75" i="17"/>
  <c r="E15" i="52" s="1"/>
  <c r="I17" i="19"/>
  <c r="I15" i="19"/>
  <c r="I16" i="19"/>
  <c r="F75" i="16"/>
  <c r="E18" i="52" s="1"/>
  <c r="F75" i="23"/>
  <c r="E17" i="52" s="1"/>
  <c r="F75" i="18"/>
  <c r="E16" i="52" s="1"/>
  <c r="E54" i="43" l="1"/>
  <c r="F54" i="43" s="1"/>
  <c r="H54" i="43"/>
  <c r="I54" i="43" s="1"/>
  <c r="E55" i="32" s="1"/>
  <c r="K53" i="43"/>
  <c r="D54" i="32"/>
  <c r="F54" i="32" s="1"/>
  <c r="A55" i="43"/>
  <c r="I34" i="19"/>
  <c r="E55" i="43" l="1"/>
  <c r="F55" i="43" s="1"/>
  <c r="H55" i="43"/>
  <c r="I55" i="43" s="1"/>
  <c r="E56" i="32" s="1"/>
  <c r="K54" i="43"/>
  <c r="D55" i="32"/>
  <c r="F55" i="32" s="1"/>
  <c r="A56" i="43"/>
  <c r="E56" i="43" l="1"/>
  <c r="F56" i="43" s="1"/>
  <c r="H56" i="43"/>
  <c r="I56" i="43" s="1"/>
  <c r="E57" i="32" s="1"/>
  <c r="K55" i="43"/>
  <c r="D56" i="32"/>
  <c r="F56" i="32" s="1"/>
  <c r="A57" i="43"/>
  <c r="E57" i="43" l="1"/>
  <c r="F57" i="43" s="1"/>
  <c r="H57" i="43"/>
  <c r="I57" i="43" s="1"/>
  <c r="E58" i="32" s="1"/>
  <c r="K56" i="43"/>
  <c r="D57" i="32"/>
  <c r="F57" i="32" s="1"/>
  <c r="A58" i="43"/>
  <c r="E58" i="43" l="1"/>
  <c r="F58" i="43" s="1"/>
  <c r="H58" i="43"/>
  <c r="I58" i="43" s="1"/>
  <c r="E59" i="32" s="1"/>
  <c r="K57" i="43"/>
  <c r="D58" i="32"/>
  <c r="F58" i="32" s="1"/>
  <c r="A59" i="43"/>
  <c r="K58" i="43" l="1"/>
  <c r="E59" i="43"/>
  <c r="F59" i="43" s="1"/>
  <c r="H59" i="43"/>
  <c r="I59" i="43" s="1"/>
  <c r="E60" i="32" s="1"/>
  <c r="D59" i="32"/>
  <c r="F59" i="32" s="1"/>
  <c r="A60" i="43"/>
  <c r="H60" i="43" l="1"/>
  <c r="I60" i="43" s="1"/>
  <c r="E61" i="32" s="1"/>
  <c r="E60" i="43"/>
  <c r="F60" i="43" s="1"/>
  <c r="K59" i="43"/>
  <c r="D60" i="32"/>
  <c r="F60" i="32" s="1"/>
  <c r="A61" i="43"/>
  <c r="K60" i="43" l="1"/>
  <c r="K61" i="43" s="1"/>
  <c r="D61" i="32"/>
  <c r="F61" i="32" s="1"/>
  <c r="K63" i="43" l="1"/>
  <c r="K66" i="43"/>
  <c r="F62" i="32"/>
  <c r="D14" i="52" s="1"/>
  <c r="F14" i="52" s="1"/>
  <c r="F64" i="32"/>
  <c r="I89" i="40" s="1"/>
  <c r="F67" i="32"/>
  <c r="R89" i="40" s="1"/>
  <c r="F68" i="32" l="1"/>
  <c r="H89" i="29"/>
  <c r="H90" i="29" s="1"/>
  <c r="H92" i="29" s="1"/>
  <c r="R90" i="40"/>
  <c r="R92" i="40" s="1"/>
  <c r="R96" i="40" s="1"/>
  <c r="E89" i="29"/>
  <c r="I90" i="40"/>
  <c r="I92" i="40" s="1"/>
  <c r="U89" i="40"/>
  <c r="U90" i="40" s="1"/>
  <c r="X89" i="40" l="1"/>
  <c r="X90" i="40"/>
  <c r="U92" i="40"/>
  <c r="U96" i="40" s="1"/>
  <c r="E90" i="29"/>
  <c r="E92" i="29" s="1"/>
  <c r="I89" i="29"/>
  <c r="I90" i="29" s="1"/>
  <c r="I94" i="40"/>
  <c r="X92" i="40"/>
  <c r="H96" i="29"/>
  <c r="G30" i="33"/>
  <c r="G31" i="33" s="1"/>
  <c r="I104" i="40" l="1"/>
  <c r="J90" i="29"/>
  <c r="I92" i="29"/>
  <c r="I96" i="29" s="1"/>
  <c r="X94" i="40"/>
  <c r="I96" i="40"/>
  <c r="X96" i="40" s="1"/>
  <c r="X102" i="40" s="1"/>
  <c r="J89" i="29"/>
  <c r="E94" i="29"/>
  <c r="J92" i="29" l="1"/>
  <c r="E104" i="29"/>
  <c r="J31" i="72" s="1"/>
  <c r="R17" i="72"/>
  <c r="R23" i="46"/>
  <c r="R67" i="48"/>
  <c r="E96" i="29"/>
  <c r="J96" i="29" s="1"/>
  <c r="J94" i="29"/>
  <c r="K94" i="29" s="1"/>
  <c r="R63" i="72" l="1"/>
  <c r="R55" i="67"/>
  <c r="T55" i="67" s="1"/>
  <c r="R30" i="72"/>
  <c r="T30" i="72" s="1"/>
  <c r="J69" i="47"/>
  <c r="G70" i="35" s="1"/>
  <c r="H70" i="35" s="1"/>
  <c r="R67" i="65"/>
  <c r="T67" i="65" s="1"/>
  <c r="J65" i="46"/>
  <c r="G66" i="34" s="1"/>
  <c r="H66" i="34" s="1"/>
  <c r="R70" i="70"/>
  <c r="T70" i="70" s="1"/>
  <c r="R30" i="65"/>
  <c r="K31" i="74" s="1"/>
  <c r="L31" i="74" s="1"/>
  <c r="R61" i="47"/>
  <c r="T61" i="47" s="1"/>
  <c r="R68" i="49"/>
  <c r="K69" i="37" s="1"/>
  <c r="L69" i="37" s="1"/>
  <c r="J17" i="72"/>
  <c r="L17" i="72" s="1"/>
  <c r="R40" i="66"/>
  <c r="J65" i="65"/>
  <c r="G66" i="74" s="1"/>
  <c r="H66" i="74" s="1"/>
  <c r="J45" i="72"/>
  <c r="L45" i="72" s="1"/>
  <c r="J63" i="68"/>
  <c r="G64" i="77" s="1"/>
  <c r="H64" i="77" s="1"/>
  <c r="R36" i="69"/>
  <c r="K37" i="78" s="1"/>
  <c r="L37" i="78" s="1"/>
  <c r="R64" i="66"/>
  <c r="T64" i="66" s="1"/>
  <c r="J29" i="70"/>
  <c r="L29" i="70" s="1"/>
  <c r="J31" i="68"/>
  <c r="G32" i="77" s="1"/>
  <c r="H32" i="77" s="1"/>
  <c r="R40" i="67"/>
  <c r="J35" i="72"/>
  <c r="L35" i="72" s="1"/>
  <c r="R31" i="68"/>
  <c r="T31" i="68" s="1"/>
  <c r="J26" i="69"/>
  <c r="L26" i="69" s="1"/>
  <c r="R56" i="72"/>
  <c r="K57" i="81" s="1"/>
  <c r="L57" i="81" s="1"/>
  <c r="R26" i="68"/>
  <c r="R59" i="70"/>
  <c r="T59" i="70" s="1"/>
  <c r="R26" i="69"/>
  <c r="K27" i="78" s="1"/>
  <c r="L27" i="78" s="1"/>
  <c r="J40" i="69"/>
  <c r="L40" i="69" s="1"/>
  <c r="R53" i="71"/>
  <c r="T53" i="71" s="1"/>
  <c r="J47" i="66"/>
  <c r="G48" i="75" s="1"/>
  <c r="H48" i="75" s="1"/>
  <c r="J65" i="66"/>
  <c r="L65" i="66" s="1"/>
  <c r="J15" i="66"/>
  <c r="J16" i="73"/>
  <c r="J27" i="72"/>
  <c r="J48" i="70"/>
  <c r="J44" i="66"/>
  <c r="R23" i="48"/>
  <c r="K24" i="36" s="1"/>
  <c r="L24" i="36" s="1"/>
  <c r="R60" i="48"/>
  <c r="K61" i="36" s="1"/>
  <c r="L61" i="36" s="1"/>
  <c r="J17" i="66"/>
  <c r="G18" i="75" s="1"/>
  <c r="H18" i="75" s="1"/>
  <c r="J27" i="65"/>
  <c r="L27" i="65" s="1"/>
  <c r="J35" i="73"/>
  <c r="L35" i="73" s="1"/>
  <c r="R28" i="73"/>
  <c r="K29" i="82" s="1"/>
  <c r="L29" i="82" s="1"/>
  <c r="R20" i="71"/>
  <c r="K21" i="80" s="1"/>
  <c r="L21" i="80" s="1"/>
  <c r="J53" i="48"/>
  <c r="R68" i="67"/>
  <c r="J35" i="69"/>
  <c r="L35" i="69" s="1"/>
  <c r="J57" i="69"/>
  <c r="J70" i="70"/>
  <c r="G71" i="79" s="1"/>
  <c r="H71" i="79" s="1"/>
  <c r="R38" i="66"/>
  <c r="J70" i="66"/>
  <c r="L70" i="66" s="1"/>
  <c r="J35" i="48"/>
  <c r="G36" i="36" s="1"/>
  <c r="H36" i="36" s="1"/>
  <c r="R33" i="48"/>
  <c r="K34" i="36" s="1"/>
  <c r="L34" i="36" s="1"/>
  <c r="R49" i="70"/>
  <c r="T49" i="70" s="1"/>
  <c r="J39" i="72"/>
  <c r="G40" i="81" s="1"/>
  <c r="H40" i="81" s="1"/>
  <c r="J32" i="73"/>
  <c r="L32" i="73" s="1"/>
  <c r="R27" i="66"/>
  <c r="K28" i="75" s="1"/>
  <c r="L28" i="75" s="1"/>
  <c r="R62" i="65"/>
  <c r="T62" i="65" s="1"/>
  <c r="J53" i="46"/>
  <c r="L53" i="46" s="1"/>
  <c r="R46" i="46"/>
  <c r="R65" i="73"/>
  <c r="K66" i="82" s="1"/>
  <c r="L66" i="82" s="1"/>
  <c r="R23" i="72"/>
  <c r="K24" i="81" s="1"/>
  <c r="L24" i="81" s="1"/>
  <c r="R38" i="67"/>
  <c r="T38" i="67" s="1"/>
  <c r="J59" i="68"/>
  <c r="G60" i="77" s="1"/>
  <c r="H60" i="77" s="1"/>
  <c r="R28" i="68"/>
  <c r="T28" i="68" s="1"/>
  <c r="R16" i="65"/>
  <c r="K17" i="74" s="1"/>
  <c r="L17" i="74" s="1"/>
  <c r="R23" i="47"/>
  <c r="T23" i="47" s="1"/>
  <c r="J24" i="47"/>
  <c r="L24" i="47" s="1"/>
  <c r="J46" i="49"/>
  <c r="G47" i="37" s="1"/>
  <c r="H47" i="37" s="1"/>
  <c r="J63" i="65"/>
  <c r="L63" i="65" s="1"/>
  <c r="J25" i="68"/>
  <c r="L25" i="68" s="1"/>
  <c r="R46" i="70"/>
  <c r="K47" i="79" s="1"/>
  <c r="L47" i="79" s="1"/>
  <c r="R47" i="48"/>
  <c r="T47" i="48" s="1"/>
  <c r="R24" i="68"/>
  <c r="K25" i="77" s="1"/>
  <c r="L25" i="77" s="1"/>
  <c r="J69" i="65"/>
  <c r="G70" i="74" s="1"/>
  <c r="H70" i="74" s="1"/>
  <c r="R19" i="49"/>
  <c r="T19" i="49" s="1"/>
  <c r="R58" i="46"/>
  <c r="T58" i="46" s="1"/>
  <c r="R30" i="46"/>
  <c r="T30" i="46" s="1"/>
  <c r="J59" i="48"/>
  <c r="G60" i="36" s="1"/>
  <c r="H60" i="36" s="1"/>
  <c r="J71" i="69"/>
  <c r="L71" i="69" s="1"/>
  <c r="R52" i="67"/>
  <c r="T52" i="67" s="1"/>
  <c r="J51" i="65"/>
  <c r="R66" i="49"/>
  <c r="K67" i="37" s="1"/>
  <c r="L67" i="37" s="1"/>
  <c r="J55" i="48"/>
  <c r="L55" i="48" s="1"/>
  <c r="R40" i="46"/>
  <c r="R43" i="69"/>
  <c r="T43" i="69" s="1"/>
  <c r="R20" i="65"/>
  <c r="K21" i="74" s="1"/>
  <c r="L21" i="74" s="1"/>
  <c r="J43" i="65"/>
  <c r="R30" i="67"/>
  <c r="R24" i="46"/>
  <c r="K25" i="34" s="1"/>
  <c r="L25" i="34" s="1"/>
  <c r="J45" i="48"/>
  <c r="G46" i="36" s="1"/>
  <c r="H46" i="36" s="1"/>
  <c r="R32" i="47"/>
  <c r="K33" i="35" s="1"/>
  <c r="L33" i="35" s="1"/>
  <c r="R30" i="71"/>
  <c r="R43" i="66"/>
  <c r="J46" i="46"/>
  <c r="L46" i="46" s="1"/>
  <c r="J41" i="46"/>
  <c r="L41" i="46" s="1"/>
  <c r="R31" i="73"/>
  <c r="K32" i="82" s="1"/>
  <c r="L32" i="82" s="1"/>
  <c r="J42" i="70"/>
  <c r="G43" i="79" s="1"/>
  <c r="H43" i="79" s="1"/>
  <c r="R72" i="69"/>
  <c r="K73" i="78" s="1"/>
  <c r="L73" i="78" s="1"/>
  <c r="R44" i="66"/>
  <c r="T44" i="66" s="1"/>
  <c r="J60" i="71"/>
  <c r="G61" i="80" s="1"/>
  <c r="H61" i="80" s="1"/>
  <c r="R34" i="71"/>
  <c r="K35" i="80" s="1"/>
  <c r="L35" i="80" s="1"/>
  <c r="R15" i="48"/>
  <c r="K16" i="36" s="1"/>
  <c r="J45" i="71"/>
  <c r="G46" i="80" s="1"/>
  <c r="H46" i="80" s="1"/>
  <c r="J42" i="68"/>
  <c r="L42" i="68" s="1"/>
  <c r="R69" i="66"/>
  <c r="J36" i="72"/>
  <c r="L36" i="72" s="1"/>
  <c r="J56" i="69"/>
  <c r="G57" i="78" s="1"/>
  <c r="H57" i="78" s="1"/>
  <c r="J42" i="69"/>
  <c r="G43" i="78" s="1"/>
  <c r="H43" i="78" s="1"/>
  <c r="J27" i="49"/>
  <c r="L27" i="49" s="1"/>
  <c r="R24" i="70"/>
  <c r="K25" i="79" s="1"/>
  <c r="L25" i="79" s="1"/>
  <c r="J45" i="65"/>
  <c r="L45" i="65" s="1"/>
  <c r="J46" i="73"/>
  <c r="R42" i="67"/>
  <c r="K43" i="76" s="1"/>
  <c r="L43" i="76" s="1"/>
  <c r="J44" i="70"/>
  <c r="G45" i="79" s="1"/>
  <c r="H45" i="79" s="1"/>
  <c r="J57" i="72"/>
  <c r="G58" i="81" s="1"/>
  <c r="H58" i="81" s="1"/>
  <c r="J64" i="49"/>
  <c r="G65" i="37" s="1"/>
  <c r="H65" i="37" s="1"/>
  <c r="R54" i="66"/>
  <c r="K55" i="75" s="1"/>
  <c r="L55" i="75" s="1"/>
  <c r="J42" i="66"/>
  <c r="L42" i="66" s="1"/>
  <c r="J31" i="69"/>
  <c r="G32" i="78" s="1"/>
  <c r="H32" i="78" s="1"/>
  <c r="R16" i="72"/>
  <c r="J26" i="66"/>
  <c r="G27" i="75" s="1"/>
  <c r="H27" i="75" s="1"/>
  <c r="R29" i="65"/>
  <c r="T29" i="65" s="1"/>
  <c r="J52" i="73"/>
  <c r="G53" i="82" s="1"/>
  <c r="H53" i="82" s="1"/>
  <c r="J44" i="65"/>
  <c r="G45" i="74" s="1"/>
  <c r="H45" i="74" s="1"/>
  <c r="J45" i="69"/>
  <c r="G46" i="78" s="1"/>
  <c r="H46" i="78" s="1"/>
  <c r="R55" i="66"/>
  <c r="T55" i="66" s="1"/>
  <c r="R72" i="70"/>
  <c r="T72" i="70" s="1"/>
  <c r="J64" i="69"/>
  <c r="G65" i="78" s="1"/>
  <c r="H65" i="78" s="1"/>
  <c r="J69" i="70"/>
  <c r="R51" i="72"/>
  <c r="T51" i="72" s="1"/>
  <c r="J35" i="67"/>
  <c r="G36" i="76" s="1"/>
  <c r="H36" i="76" s="1"/>
  <c r="J67" i="70"/>
  <c r="L67" i="70" s="1"/>
  <c r="R47" i="69"/>
  <c r="J41" i="67"/>
  <c r="L41" i="67" s="1"/>
  <c r="J49" i="67"/>
  <c r="L49" i="67" s="1"/>
  <c r="R54" i="67"/>
  <c r="T54" i="67" s="1"/>
  <c r="R32" i="49"/>
  <c r="T32" i="49" s="1"/>
  <c r="R47" i="46"/>
  <c r="T47" i="46" s="1"/>
  <c r="J68" i="66"/>
  <c r="G69" i="75" s="1"/>
  <c r="H69" i="75" s="1"/>
  <c r="R24" i="69"/>
  <c r="K25" i="78" s="1"/>
  <c r="L25" i="78" s="1"/>
  <c r="J51" i="70"/>
  <c r="J38" i="66"/>
  <c r="G39" i="75" s="1"/>
  <c r="H39" i="75" s="1"/>
  <c r="R19" i="69"/>
  <c r="K20" i="78" s="1"/>
  <c r="L20" i="78" s="1"/>
  <c r="R51" i="73"/>
  <c r="T51" i="73" s="1"/>
  <c r="J73" i="67"/>
  <c r="J61" i="69"/>
  <c r="L61" i="69" s="1"/>
  <c r="R58" i="72"/>
  <c r="T58" i="72" s="1"/>
  <c r="R45" i="73"/>
  <c r="R51" i="68"/>
  <c r="K52" i="77" s="1"/>
  <c r="L52" i="77" s="1"/>
  <c r="J69" i="66"/>
  <c r="L69" i="66" s="1"/>
  <c r="J64" i="67"/>
  <c r="G65" i="76" s="1"/>
  <c r="H65" i="76" s="1"/>
  <c r="J62" i="48"/>
  <c r="R31" i="49"/>
  <c r="T31" i="49" s="1"/>
  <c r="J36" i="47"/>
  <c r="G37" i="35" s="1"/>
  <c r="H37" i="35" s="1"/>
  <c r="J48" i="46"/>
  <c r="G49" i="34" s="1"/>
  <c r="H49" i="34" s="1"/>
  <c r="J28" i="68"/>
  <c r="G29" i="77" s="1"/>
  <c r="H29" i="77" s="1"/>
  <c r="J51" i="72"/>
  <c r="G52" i="81" s="1"/>
  <c r="H52" i="81" s="1"/>
  <c r="R18" i="46"/>
  <c r="K19" i="34" s="1"/>
  <c r="L19" i="34" s="1"/>
  <c r="R69" i="67"/>
  <c r="K70" i="76" s="1"/>
  <c r="L70" i="76" s="1"/>
  <c r="J32" i="65"/>
  <c r="G33" i="74" s="1"/>
  <c r="H33" i="74" s="1"/>
  <c r="J71" i="47"/>
  <c r="L71" i="47" s="1"/>
  <c r="R36" i="71"/>
  <c r="T36" i="71" s="1"/>
  <c r="J69" i="46"/>
  <c r="G70" i="34" s="1"/>
  <c r="H70" i="34" s="1"/>
  <c r="R30" i="48"/>
  <c r="K31" i="36" s="1"/>
  <c r="L31" i="36" s="1"/>
  <c r="R51" i="69"/>
  <c r="T51" i="69" s="1"/>
  <c r="J29" i="71"/>
  <c r="G30" i="80" s="1"/>
  <c r="H30" i="80" s="1"/>
  <c r="R23" i="68"/>
  <c r="T23" i="68" s="1"/>
  <c r="J51" i="68"/>
  <c r="L51" i="68" s="1"/>
  <c r="J45" i="73"/>
  <c r="J44" i="46"/>
  <c r="G45" i="34" s="1"/>
  <c r="H45" i="34" s="1"/>
  <c r="J37" i="67"/>
  <c r="L37" i="67" s="1"/>
  <c r="R21" i="65"/>
  <c r="K22" i="74" s="1"/>
  <c r="L22" i="74" s="1"/>
  <c r="J43" i="48"/>
  <c r="G44" i="36" s="1"/>
  <c r="H44" i="36" s="1"/>
  <c r="J52" i="68"/>
  <c r="L52" i="68" s="1"/>
  <c r="R42" i="68"/>
  <c r="K43" i="77" s="1"/>
  <c r="L43" i="77" s="1"/>
  <c r="J16" i="49"/>
  <c r="G17" i="37" s="1"/>
  <c r="H17" i="37" s="1"/>
  <c r="J32" i="46"/>
  <c r="G33" i="34" s="1"/>
  <c r="H33" i="34" s="1"/>
  <c r="J54" i="72"/>
  <c r="L54" i="72" s="1"/>
  <c r="R48" i="65"/>
  <c r="K49" i="74" s="1"/>
  <c r="L49" i="74" s="1"/>
  <c r="R58" i="47"/>
  <c r="T58" i="47" s="1"/>
  <c r="J33" i="71"/>
  <c r="J24" i="73"/>
  <c r="G25" i="82" s="1"/>
  <c r="H25" i="82" s="1"/>
  <c r="J55" i="72"/>
  <c r="G56" i="81" s="1"/>
  <c r="H56" i="81" s="1"/>
  <c r="R66" i="67"/>
  <c r="K67" i="76" s="1"/>
  <c r="L67" i="76" s="1"/>
  <c r="R49" i="66"/>
  <c r="K50" i="75" s="1"/>
  <c r="L50" i="75" s="1"/>
  <c r="J72" i="66"/>
  <c r="L72" i="66" s="1"/>
  <c r="J27" i="46"/>
  <c r="G28" i="34" s="1"/>
  <c r="H28" i="34" s="1"/>
  <c r="R43" i="67"/>
  <c r="J70" i="65"/>
  <c r="L70" i="65" s="1"/>
  <c r="R25" i="66"/>
  <c r="K26" i="75" s="1"/>
  <c r="L26" i="75" s="1"/>
  <c r="R40" i="73"/>
  <c r="T40" i="73" s="1"/>
  <c r="R16" i="73"/>
  <c r="K17" i="82" s="1"/>
  <c r="L17" i="82" s="1"/>
  <c r="R17" i="70"/>
  <c r="T17" i="70" s="1"/>
  <c r="J50" i="48"/>
  <c r="G51" i="36" s="1"/>
  <c r="H51" i="36" s="1"/>
  <c r="R68" i="73"/>
  <c r="T68" i="73" s="1"/>
  <c r="J46" i="65"/>
  <c r="L46" i="65" s="1"/>
  <c r="R33" i="73"/>
  <c r="K34" i="82" s="1"/>
  <c r="L34" i="82" s="1"/>
  <c r="J18" i="66"/>
  <c r="G19" i="75" s="1"/>
  <c r="H19" i="75" s="1"/>
  <c r="J51" i="69"/>
  <c r="L51" i="69" s="1"/>
  <c r="J59" i="72"/>
  <c r="L59" i="72" s="1"/>
  <c r="J52" i="46"/>
  <c r="L52" i="46" s="1"/>
  <c r="R24" i="71"/>
  <c r="K25" i="80" s="1"/>
  <c r="L25" i="80" s="1"/>
  <c r="J48" i="68"/>
  <c r="L48" i="68" s="1"/>
  <c r="R18" i="70"/>
  <c r="T18" i="70" s="1"/>
  <c r="R56" i="71"/>
  <c r="T56" i="71" s="1"/>
  <c r="J62" i="66"/>
  <c r="L62" i="66" s="1"/>
  <c r="R70" i="71"/>
  <c r="T70" i="71" s="1"/>
  <c r="J63" i="49"/>
  <c r="G64" i="37" s="1"/>
  <c r="H64" i="37" s="1"/>
  <c r="R25" i="71"/>
  <c r="K26" i="80" s="1"/>
  <c r="L26" i="80" s="1"/>
  <c r="R54" i="71"/>
  <c r="T54" i="71" s="1"/>
  <c r="J65" i="68"/>
  <c r="L65" i="68" s="1"/>
  <c r="R61" i="71"/>
  <c r="T61" i="71" s="1"/>
  <c r="J19" i="73"/>
  <c r="G20" i="82" s="1"/>
  <c r="H20" i="82" s="1"/>
  <c r="J18" i="72"/>
  <c r="L18" i="72" s="1"/>
  <c r="R35" i="70"/>
  <c r="T35" i="70" s="1"/>
  <c r="J50" i="65"/>
  <c r="L50" i="65" s="1"/>
  <c r="R42" i="71"/>
  <c r="J24" i="72"/>
  <c r="G25" i="81" s="1"/>
  <c r="H25" i="81" s="1"/>
  <c r="J39" i="65"/>
  <c r="G40" i="74" s="1"/>
  <c r="H40" i="74" s="1"/>
  <c r="J61" i="70"/>
  <c r="G62" i="79" s="1"/>
  <c r="H62" i="79" s="1"/>
  <c r="R65" i="66"/>
  <c r="T65" i="66" s="1"/>
  <c r="J65" i="70"/>
  <c r="L65" i="70" s="1"/>
  <c r="R58" i="68"/>
  <c r="K59" i="77" s="1"/>
  <c r="L59" i="77" s="1"/>
  <c r="J53" i="73"/>
  <c r="L53" i="73" s="1"/>
  <c r="R68" i="71"/>
  <c r="K69" i="80" s="1"/>
  <c r="L69" i="80" s="1"/>
  <c r="J17" i="67"/>
  <c r="L17" i="67" s="1"/>
  <c r="R35" i="65"/>
  <c r="K36" i="74" s="1"/>
  <c r="L36" i="74" s="1"/>
  <c r="J53" i="71"/>
  <c r="L53" i="71" s="1"/>
  <c r="R54" i="46"/>
  <c r="K55" i="34" s="1"/>
  <c r="L55" i="34" s="1"/>
  <c r="R32" i="72"/>
  <c r="T32" i="72" s="1"/>
  <c r="R23" i="67"/>
  <c r="T23" i="67" s="1"/>
  <c r="J60" i="72"/>
  <c r="G61" i="81" s="1"/>
  <c r="H61" i="81" s="1"/>
  <c r="J64" i="71"/>
  <c r="G65" i="80" s="1"/>
  <c r="H65" i="80" s="1"/>
  <c r="R25" i="68"/>
  <c r="T25" i="68" s="1"/>
  <c r="R19" i="70"/>
  <c r="K20" i="79" s="1"/>
  <c r="L20" i="79" s="1"/>
  <c r="R39" i="46"/>
  <c r="K40" i="34" s="1"/>
  <c r="L40" i="34" s="1"/>
  <c r="R26" i="65"/>
  <c r="T26" i="65" s="1"/>
  <c r="R17" i="65"/>
  <c r="T17" i="65" s="1"/>
  <c r="J34" i="48"/>
  <c r="G35" i="36" s="1"/>
  <c r="H35" i="36" s="1"/>
  <c r="J50" i="49"/>
  <c r="G51" i="37" s="1"/>
  <c r="H51" i="37" s="1"/>
  <c r="R19" i="68"/>
  <c r="J50" i="73"/>
  <c r="G51" i="82" s="1"/>
  <c r="H51" i="82" s="1"/>
  <c r="R64" i="69"/>
  <c r="R22" i="69"/>
  <c r="K23" i="78" s="1"/>
  <c r="L23" i="78" s="1"/>
  <c r="J66" i="48"/>
  <c r="G67" i="36" s="1"/>
  <c r="H67" i="36" s="1"/>
  <c r="R23" i="69"/>
  <c r="T23" i="69" s="1"/>
  <c r="R64" i="70"/>
  <c r="T64" i="70" s="1"/>
  <c r="J31" i="65"/>
  <c r="L31" i="65" s="1"/>
  <c r="R38" i="49"/>
  <c r="T38" i="49" s="1"/>
  <c r="R69" i="73"/>
  <c r="J23" i="70"/>
  <c r="L23" i="70" s="1"/>
  <c r="J47" i="49"/>
  <c r="L47" i="49" s="1"/>
  <c r="J16" i="72"/>
  <c r="L16" i="72" s="1"/>
  <c r="J63" i="70"/>
  <c r="L63" i="70" s="1"/>
  <c r="J40" i="48"/>
  <c r="J22" i="67"/>
  <c r="J52" i="67"/>
  <c r="L52" i="67" s="1"/>
  <c r="R67" i="70"/>
  <c r="T67" i="70" s="1"/>
  <c r="J73" i="68"/>
  <c r="J69" i="49"/>
  <c r="G70" i="37" s="1"/>
  <c r="H70" i="37" s="1"/>
  <c r="R41" i="48"/>
  <c r="K42" i="36" s="1"/>
  <c r="L42" i="36" s="1"/>
  <c r="J47" i="71"/>
  <c r="L47" i="71" s="1"/>
  <c r="R57" i="73"/>
  <c r="K58" i="82" s="1"/>
  <c r="L58" i="82" s="1"/>
  <c r="J31" i="66"/>
  <c r="L31" i="66" s="1"/>
  <c r="R28" i="46"/>
  <c r="K29" i="34" s="1"/>
  <c r="L29" i="34" s="1"/>
  <c r="J71" i="71"/>
  <c r="G72" i="80" s="1"/>
  <c r="H72" i="80" s="1"/>
  <c r="R48" i="69"/>
  <c r="T48" i="69" s="1"/>
  <c r="R48" i="70"/>
  <c r="T48" i="70" s="1"/>
  <c r="R22" i="72"/>
  <c r="K23" i="81" s="1"/>
  <c r="L23" i="81" s="1"/>
  <c r="J23" i="66"/>
  <c r="L23" i="66" s="1"/>
  <c r="R31" i="67"/>
  <c r="T31" i="67" s="1"/>
  <c r="R45" i="66"/>
  <c r="R72" i="68"/>
  <c r="T72" i="68" s="1"/>
  <c r="R51" i="66"/>
  <c r="K52" i="75" s="1"/>
  <c r="L52" i="75" s="1"/>
  <c r="R36" i="67"/>
  <c r="K37" i="76" s="1"/>
  <c r="L37" i="76" s="1"/>
  <c r="J53" i="69"/>
  <c r="R21" i="71"/>
  <c r="T21" i="71" s="1"/>
  <c r="R39" i="71"/>
  <c r="T39" i="71" s="1"/>
  <c r="R68" i="69"/>
  <c r="K69" i="78" s="1"/>
  <c r="L69" i="78" s="1"/>
  <c r="R70" i="72"/>
  <c r="T70" i="72" s="1"/>
  <c r="R25" i="70"/>
  <c r="K26" i="79" s="1"/>
  <c r="L26" i="79" s="1"/>
  <c r="R62" i="71"/>
  <c r="T62" i="71" s="1"/>
  <c r="R53" i="66"/>
  <c r="T53" i="66" s="1"/>
  <c r="R41" i="66"/>
  <c r="J67" i="72"/>
  <c r="L67" i="72" s="1"/>
  <c r="R36" i="73"/>
  <c r="K37" i="82" s="1"/>
  <c r="L37" i="82" s="1"/>
  <c r="J69" i="72"/>
  <c r="L69" i="72" s="1"/>
  <c r="J16" i="70"/>
  <c r="R69" i="68"/>
  <c r="R34" i="68"/>
  <c r="T34" i="68" s="1"/>
  <c r="R25" i="72"/>
  <c r="T25" i="72" s="1"/>
  <c r="R41" i="68"/>
  <c r="T41" i="68" s="1"/>
  <c r="J26" i="48"/>
  <c r="G27" i="36" s="1"/>
  <c r="H27" i="36" s="1"/>
  <c r="J67" i="68"/>
  <c r="L67" i="68" s="1"/>
  <c r="R60" i="65"/>
  <c r="T60" i="65" s="1"/>
  <c r="J15" i="68"/>
  <c r="G16" i="77" s="1"/>
  <c r="J37" i="66"/>
  <c r="R32" i="69"/>
  <c r="K33" i="78" s="1"/>
  <c r="L33" i="78" s="1"/>
  <c r="R18" i="67"/>
  <c r="T18" i="67" s="1"/>
  <c r="R15" i="49"/>
  <c r="R17" i="66"/>
  <c r="T17" i="66" s="1"/>
  <c r="J47" i="72"/>
  <c r="G48" i="81" s="1"/>
  <c r="H48" i="81" s="1"/>
  <c r="J24" i="67"/>
  <c r="J25" i="72"/>
  <c r="G26" i="81" s="1"/>
  <c r="H26" i="81" s="1"/>
  <c r="J50" i="70"/>
  <c r="L50" i="70" s="1"/>
  <c r="J42" i="65"/>
  <c r="L42" i="65" s="1"/>
  <c r="R50" i="47"/>
  <c r="K51" i="35" s="1"/>
  <c r="L51" i="35" s="1"/>
  <c r="J20" i="73"/>
  <c r="G21" i="82" s="1"/>
  <c r="H21" i="82" s="1"/>
  <c r="J54" i="69"/>
  <c r="G55" i="78" s="1"/>
  <c r="H55" i="78" s="1"/>
  <c r="R54" i="68"/>
  <c r="T54" i="68" s="1"/>
  <c r="R37" i="70"/>
  <c r="R22" i="70"/>
  <c r="R66" i="71"/>
  <c r="J35" i="65"/>
  <c r="L35" i="65" s="1"/>
  <c r="J72" i="49"/>
  <c r="G73" i="37" s="1"/>
  <c r="H73" i="37" s="1"/>
  <c r="J72" i="67"/>
  <c r="L72" i="67" s="1"/>
  <c r="R27" i="67"/>
  <c r="T27" i="67" s="1"/>
  <c r="R24" i="66"/>
  <c r="K25" i="75" s="1"/>
  <c r="L25" i="75" s="1"/>
  <c r="J52" i="71"/>
  <c r="L52" i="71" s="1"/>
  <c r="R31" i="66"/>
  <c r="R52" i="68"/>
  <c r="T52" i="68" s="1"/>
  <c r="R56" i="70"/>
  <c r="K57" i="79" s="1"/>
  <c r="L57" i="79" s="1"/>
  <c r="R49" i="69"/>
  <c r="T49" i="69" s="1"/>
  <c r="J68" i="70"/>
  <c r="G69" i="79" s="1"/>
  <c r="H69" i="79" s="1"/>
  <c r="J71" i="70"/>
  <c r="J66" i="69"/>
  <c r="L66" i="69" s="1"/>
  <c r="R47" i="72"/>
  <c r="K48" i="81" s="1"/>
  <c r="L48" i="81" s="1"/>
  <c r="R33" i="72"/>
  <c r="T33" i="72" s="1"/>
  <c r="J68" i="68"/>
  <c r="L68" i="68" s="1"/>
  <c r="R43" i="65"/>
  <c r="T43" i="65" s="1"/>
  <c r="J23" i="67"/>
  <c r="L23" i="67" s="1"/>
  <c r="J46" i="68"/>
  <c r="R70" i="66"/>
  <c r="J66" i="68"/>
  <c r="G67" i="77" s="1"/>
  <c r="H67" i="77" s="1"/>
  <c r="J28" i="67"/>
  <c r="G29" i="76" s="1"/>
  <c r="H29" i="76" s="1"/>
  <c r="R48" i="71"/>
  <c r="K49" i="80" s="1"/>
  <c r="L49" i="80" s="1"/>
  <c r="R50" i="69"/>
  <c r="K51" i="78" s="1"/>
  <c r="L51" i="78" s="1"/>
  <c r="R46" i="69"/>
  <c r="K47" i="78" s="1"/>
  <c r="L47" i="78" s="1"/>
  <c r="J60" i="49"/>
  <c r="G61" i="37" s="1"/>
  <c r="H61" i="37" s="1"/>
  <c r="J66" i="49"/>
  <c r="L66" i="49" s="1"/>
  <c r="R31" i="65"/>
  <c r="K32" i="74" s="1"/>
  <c r="L32" i="74" s="1"/>
  <c r="J31" i="73"/>
  <c r="L31" i="73" s="1"/>
  <c r="J17" i="68"/>
  <c r="G18" i="77" s="1"/>
  <c r="H18" i="77" s="1"/>
  <c r="J16" i="71"/>
  <c r="J29" i="73"/>
  <c r="J70" i="49"/>
  <c r="L70" i="49" s="1"/>
  <c r="J30" i="49"/>
  <c r="L30" i="49" s="1"/>
  <c r="J32" i="68"/>
  <c r="G33" i="77" s="1"/>
  <c r="H33" i="77" s="1"/>
  <c r="J39" i="70"/>
  <c r="R29" i="66"/>
  <c r="T29" i="66" s="1"/>
  <c r="J19" i="65"/>
  <c r="G20" i="74" s="1"/>
  <c r="H20" i="74" s="1"/>
  <c r="J34" i="71"/>
  <c r="J34" i="49"/>
  <c r="L34" i="49" s="1"/>
  <c r="J65" i="49"/>
  <c r="G66" i="37" s="1"/>
  <c r="H66" i="37" s="1"/>
  <c r="J34" i="72"/>
  <c r="L34" i="72" s="1"/>
  <c r="R60" i="66"/>
  <c r="J59" i="71"/>
  <c r="R24" i="72"/>
  <c r="K25" i="81" s="1"/>
  <c r="L25" i="81" s="1"/>
  <c r="J64" i="73"/>
  <c r="L64" i="73" s="1"/>
  <c r="J28" i="73"/>
  <c r="G29" i="82" s="1"/>
  <c r="H29" i="82" s="1"/>
  <c r="J41" i="73"/>
  <c r="G42" i="82" s="1"/>
  <c r="H42" i="82" s="1"/>
  <c r="J36" i="71"/>
  <c r="L36" i="71" s="1"/>
  <c r="R43" i="72"/>
  <c r="T43" i="72" s="1"/>
  <c r="J25" i="65"/>
  <c r="G26" i="74" s="1"/>
  <c r="H26" i="74" s="1"/>
  <c r="J19" i="69"/>
  <c r="G20" i="78" s="1"/>
  <c r="H20" i="78" s="1"/>
  <c r="J51" i="66"/>
  <c r="L51" i="66" s="1"/>
  <c r="J26" i="67"/>
  <c r="G27" i="76" s="1"/>
  <c r="H27" i="76" s="1"/>
  <c r="R28" i="66"/>
  <c r="R61" i="69"/>
  <c r="R27" i="69"/>
  <c r="K28" i="78" s="1"/>
  <c r="L28" i="78" s="1"/>
  <c r="R40" i="65"/>
  <c r="K41" i="74" s="1"/>
  <c r="L41" i="74" s="1"/>
  <c r="J62" i="72"/>
  <c r="G63" i="81" s="1"/>
  <c r="H63" i="81" s="1"/>
  <c r="R71" i="73"/>
  <c r="J29" i="69"/>
  <c r="G30" i="78" s="1"/>
  <c r="H30" i="78" s="1"/>
  <c r="R55" i="49"/>
  <c r="T55" i="49" s="1"/>
  <c r="R15" i="69"/>
  <c r="R35" i="71"/>
  <c r="T35" i="71" s="1"/>
  <c r="J61" i="68"/>
  <c r="G62" i="77" s="1"/>
  <c r="H62" i="77" s="1"/>
  <c r="J28" i="72"/>
  <c r="G29" i="81" s="1"/>
  <c r="H29" i="81" s="1"/>
  <c r="R37" i="72"/>
  <c r="R30" i="68"/>
  <c r="R49" i="49"/>
  <c r="T49" i="49" s="1"/>
  <c r="R16" i="66"/>
  <c r="T16" i="66" s="1"/>
  <c r="R60" i="67"/>
  <c r="T60" i="67" s="1"/>
  <c r="J38" i="68"/>
  <c r="G39" i="77" s="1"/>
  <c r="H39" i="77" s="1"/>
  <c r="R41" i="72"/>
  <c r="K42" i="81" s="1"/>
  <c r="L42" i="81" s="1"/>
  <c r="R15" i="73"/>
  <c r="K16" i="82" s="1"/>
  <c r="J25" i="69"/>
  <c r="G26" i="78" s="1"/>
  <c r="H26" i="78" s="1"/>
  <c r="J25" i="47"/>
  <c r="G26" i="35" s="1"/>
  <c r="H26" i="35" s="1"/>
  <c r="R54" i="48"/>
  <c r="K55" i="36" s="1"/>
  <c r="L55" i="36" s="1"/>
  <c r="R43" i="46"/>
  <c r="K44" i="34" s="1"/>
  <c r="L44" i="34" s="1"/>
  <c r="R25" i="46"/>
  <c r="R18" i="48"/>
  <c r="T18" i="48" s="1"/>
  <c r="J26" i="71"/>
  <c r="R41" i="71"/>
  <c r="T41" i="71" s="1"/>
  <c r="J71" i="72"/>
  <c r="G72" i="81" s="1"/>
  <c r="H72" i="81" s="1"/>
  <c r="J39" i="73"/>
  <c r="J72" i="65"/>
  <c r="G73" i="74" s="1"/>
  <c r="H73" i="74" s="1"/>
  <c r="R72" i="49"/>
  <c r="T72" i="49" s="1"/>
  <c r="J66" i="46"/>
  <c r="J46" i="48"/>
  <c r="L46" i="48" s="1"/>
  <c r="R64" i="71"/>
  <c r="T64" i="71" s="1"/>
  <c r="J68" i="72"/>
  <c r="G69" i="81" s="1"/>
  <c r="H69" i="81" s="1"/>
  <c r="J73" i="72"/>
  <c r="J53" i="47"/>
  <c r="R67" i="68"/>
  <c r="K68" i="77" s="1"/>
  <c r="L68" i="77" s="1"/>
  <c r="J64" i="65"/>
  <c r="J56" i="67"/>
  <c r="L56" i="67" s="1"/>
  <c r="R20" i="68"/>
  <c r="K21" i="77" s="1"/>
  <c r="L21" i="77" s="1"/>
  <c r="R60" i="73"/>
  <c r="T60" i="73" s="1"/>
  <c r="J41" i="72"/>
  <c r="R64" i="48"/>
  <c r="K65" i="36" s="1"/>
  <c r="L65" i="36" s="1"/>
  <c r="R67" i="49"/>
  <c r="K68" i="37" s="1"/>
  <c r="L68" i="37" s="1"/>
  <c r="J73" i="73"/>
  <c r="J55" i="73"/>
  <c r="G56" i="82" s="1"/>
  <c r="H56" i="82" s="1"/>
  <c r="J54" i="67"/>
  <c r="L54" i="67" s="1"/>
  <c r="R60" i="69"/>
  <c r="T60" i="69" s="1"/>
  <c r="J19" i="72"/>
  <c r="R65" i="49"/>
  <c r="J36" i="46"/>
  <c r="J37" i="65"/>
  <c r="L37" i="65" s="1"/>
  <c r="R18" i="71"/>
  <c r="K19" i="80" s="1"/>
  <c r="L19" i="80" s="1"/>
  <c r="R19" i="71"/>
  <c r="K20" i="80" s="1"/>
  <c r="L20" i="80" s="1"/>
  <c r="R44" i="70"/>
  <c r="K45" i="79" s="1"/>
  <c r="L45" i="79" s="1"/>
  <c r="R52" i="70"/>
  <c r="K53" i="79" s="1"/>
  <c r="L53" i="79" s="1"/>
  <c r="J18" i="46"/>
  <c r="G19" i="34" s="1"/>
  <c r="H19" i="34" s="1"/>
  <c r="R62" i="48"/>
  <c r="T62" i="48" s="1"/>
  <c r="J36" i="70"/>
  <c r="R38" i="68"/>
  <c r="T38" i="68" s="1"/>
  <c r="J60" i="68"/>
  <c r="J18" i="68"/>
  <c r="R57" i="69"/>
  <c r="J36" i="49"/>
  <c r="G37" i="37" s="1"/>
  <c r="H37" i="37" s="1"/>
  <c r="J32" i="49"/>
  <c r="G33" i="37" s="1"/>
  <c r="H33" i="37" s="1"/>
  <c r="J40" i="66"/>
  <c r="R67" i="69"/>
  <c r="R27" i="68"/>
  <c r="T27" i="68" s="1"/>
  <c r="R26" i="71"/>
  <c r="T26" i="71" s="1"/>
  <c r="J18" i="70"/>
  <c r="L18" i="70" s="1"/>
  <c r="R57" i="65"/>
  <c r="K58" i="74" s="1"/>
  <c r="L58" i="74" s="1"/>
  <c r="J54" i="71"/>
  <c r="L54" i="71" s="1"/>
  <c r="R45" i="69"/>
  <c r="T45" i="69" s="1"/>
  <c r="J59" i="66"/>
  <c r="J73" i="71"/>
  <c r="J30" i="72"/>
  <c r="J57" i="73"/>
  <c r="G58" i="82" s="1"/>
  <c r="H58" i="82" s="1"/>
  <c r="J34" i="67"/>
  <c r="G35" i="76" s="1"/>
  <c r="H35" i="76" s="1"/>
  <c r="J21" i="72"/>
  <c r="G22" i="81" s="1"/>
  <c r="H22" i="81" s="1"/>
  <c r="J23" i="72"/>
  <c r="G24" i="81" s="1"/>
  <c r="H24" i="81" s="1"/>
  <c r="R37" i="67"/>
  <c r="K38" i="76" s="1"/>
  <c r="L38" i="76" s="1"/>
  <c r="R18" i="72"/>
  <c r="T18" i="72" s="1"/>
  <c r="J57" i="71"/>
  <c r="G58" i="80" s="1"/>
  <c r="H58" i="80" s="1"/>
  <c r="J46" i="67"/>
  <c r="G47" i="76" s="1"/>
  <c r="H47" i="76" s="1"/>
  <c r="R19" i="65"/>
  <c r="R71" i="67"/>
  <c r="T71" i="67" s="1"/>
  <c r="R46" i="67"/>
  <c r="R46" i="66"/>
  <c r="T46" i="66" s="1"/>
  <c r="J48" i="67"/>
  <c r="G49" i="76" s="1"/>
  <c r="H49" i="76" s="1"/>
  <c r="J60" i="66"/>
  <c r="G61" i="75" s="1"/>
  <c r="H61" i="75" s="1"/>
  <c r="R54" i="65"/>
  <c r="T54" i="65" s="1"/>
  <c r="R58" i="69"/>
  <c r="T58" i="69" s="1"/>
  <c r="J37" i="47"/>
  <c r="L37" i="47" s="1"/>
  <c r="R22" i="46"/>
  <c r="T22" i="46" s="1"/>
  <c r="J57" i="48"/>
  <c r="G58" i="36" s="1"/>
  <c r="H58" i="36" s="1"/>
  <c r="J15" i="49"/>
  <c r="L15" i="49" s="1"/>
  <c r="J38" i="67"/>
  <c r="L38" i="67" s="1"/>
  <c r="R47" i="68"/>
  <c r="K48" i="77" s="1"/>
  <c r="L48" i="77" s="1"/>
  <c r="J30" i="68"/>
  <c r="J50" i="72"/>
  <c r="L50" i="72" s="1"/>
  <c r="J34" i="66"/>
  <c r="G35" i="75" s="1"/>
  <c r="H35" i="75" s="1"/>
  <c r="R57" i="49"/>
  <c r="T57" i="49" s="1"/>
  <c r="R34" i="47"/>
  <c r="R33" i="65"/>
  <c r="T33" i="65" s="1"/>
  <c r="J17" i="46"/>
  <c r="G18" i="34" s="1"/>
  <c r="H18" i="34" s="1"/>
  <c r="R44" i="65"/>
  <c r="T44" i="65" s="1"/>
  <c r="R29" i="69"/>
  <c r="T29" i="69" s="1"/>
  <c r="R41" i="49"/>
  <c r="K42" i="37" s="1"/>
  <c r="L42" i="37" s="1"/>
  <c r="J53" i="65"/>
  <c r="G54" i="74" s="1"/>
  <c r="H54" i="74" s="1"/>
  <c r="J58" i="72"/>
  <c r="L58" i="72" s="1"/>
  <c r="J35" i="49"/>
  <c r="J68" i="46"/>
  <c r="G69" i="34" s="1"/>
  <c r="H69" i="34" s="1"/>
  <c r="R56" i="69"/>
  <c r="K57" i="78" s="1"/>
  <c r="L57" i="78" s="1"/>
  <c r="R50" i="72"/>
  <c r="J52" i="72"/>
  <c r="J49" i="68"/>
  <c r="G50" i="77" s="1"/>
  <c r="H50" i="77" s="1"/>
  <c r="R33" i="67"/>
  <c r="K34" i="76" s="1"/>
  <c r="L34" i="76" s="1"/>
  <c r="R52" i="46"/>
  <c r="K53" i="34" s="1"/>
  <c r="L53" i="34" s="1"/>
  <c r="J58" i="73"/>
  <c r="G59" i="82" s="1"/>
  <c r="H59" i="82" s="1"/>
  <c r="R51" i="65"/>
  <c r="K52" i="74" s="1"/>
  <c r="L52" i="74" s="1"/>
  <c r="R33" i="66"/>
  <c r="J73" i="69"/>
  <c r="R28" i="71"/>
  <c r="J42" i="72"/>
  <c r="R21" i="73"/>
  <c r="T21" i="73" s="1"/>
  <c r="R27" i="70"/>
  <c r="T27" i="70" s="1"/>
  <c r="J60" i="70"/>
  <c r="J59" i="47"/>
  <c r="L59" i="47" s="1"/>
  <c r="R42" i="49"/>
  <c r="K43" i="37" s="1"/>
  <c r="L43" i="37" s="1"/>
  <c r="R20" i="72"/>
  <c r="T20" i="72" s="1"/>
  <c r="J34" i="70"/>
  <c r="J72" i="71"/>
  <c r="L72" i="71" s="1"/>
  <c r="R66" i="66"/>
  <c r="K67" i="75" s="1"/>
  <c r="L67" i="75" s="1"/>
  <c r="R69" i="69"/>
  <c r="K70" i="78" s="1"/>
  <c r="L70" i="78" s="1"/>
  <c r="J16" i="47"/>
  <c r="R24" i="49"/>
  <c r="K25" i="37" s="1"/>
  <c r="L25" i="37" s="1"/>
  <c r="J37" i="71"/>
  <c r="G38" i="80" s="1"/>
  <c r="H38" i="80" s="1"/>
  <c r="J54" i="68"/>
  <c r="G55" i="77" s="1"/>
  <c r="H55" i="77" s="1"/>
  <c r="J24" i="69"/>
  <c r="G25" i="78" s="1"/>
  <c r="H25" i="78" s="1"/>
  <c r="R71" i="72"/>
  <c r="T71" i="72" s="1"/>
  <c r="R45" i="68"/>
  <c r="T45" i="68" s="1"/>
  <c r="R47" i="49"/>
  <c r="T47" i="49" s="1"/>
  <c r="J67" i="47"/>
  <c r="G68" i="35" s="1"/>
  <c r="H68" i="35" s="1"/>
  <c r="R49" i="65"/>
  <c r="T49" i="65" s="1"/>
  <c r="R66" i="68"/>
  <c r="K67" i="77" s="1"/>
  <c r="L67" i="77" s="1"/>
  <c r="J19" i="68"/>
  <c r="G20" i="77" s="1"/>
  <c r="H20" i="77" s="1"/>
  <c r="R61" i="70"/>
  <c r="R17" i="68"/>
  <c r="T17" i="68" s="1"/>
  <c r="J41" i="48"/>
  <c r="L41" i="48" s="1"/>
  <c r="J61" i="46"/>
  <c r="G62" i="34" s="1"/>
  <c r="H62" i="34" s="1"/>
  <c r="R70" i="73"/>
  <c r="R16" i="67"/>
  <c r="K17" i="76" s="1"/>
  <c r="L17" i="76" s="1"/>
  <c r="R52" i="69"/>
  <c r="T52" i="69" s="1"/>
  <c r="R72" i="71"/>
  <c r="T72" i="71" s="1"/>
  <c r="R68" i="65"/>
  <c r="K69" i="74" s="1"/>
  <c r="L69" i="74" s="1"/>
  <c r="J38" i="49"/>
  <c r="L38" i="49" s="1"/>
  <c r="R25" i="47"/>
  <c r="K26" i="35" s="1"/>
  <c r="L26" i="35" s="1"/>
  <c r="J37" i="73"/>
  <c r="G38" i="82" s="1"/>
  <c r="H38" i="82" s="1"/>
  <c r="J21" i="73"/>
  <c r="J69" i="73"/>
  <c r="G70" i="82" s="1"/>
  <c r="H70" i="82" s="1"/>
  <c r="R37" i="69"/>
  <c r="T37" i="69" s="1"/>
  <c r="J39" i="67"/>
  <c r="G40" i="76" s="1"/>
  <c r="H40" i="76" s="1"/>
  <c r="J44" i="67"/>
  <c r="G45" i="76" s="1"/>
  <c r="H45" i="76" s="1"/>
  <c r="R54" i="69"/>
  <c r="K55" i="78" s="1"/>
  <c r="L55" i="78" s="1"/>
  <c r="J28" i="69"/>
  <c r="L28" i="69" s="1"/>
  <c r="J59" i="69"/>
  <c r="G60" i="78" s="1"/>
  <c r="H60" i="78" s="1"/>
  <c r="R43" i="73"/>
  <c r="J42" i="73"/>
  <c r="G43" i="82" s="1"/>
  <c r="H43" i="82" s="1"/>
  <c r="R47" i="66"/>
  <c r="J57" i="66"/>
  <c r="G58" i="75" s="1"/>
  <c r="H58" i="75" s="1"/>
  <c r="J55" i="67"/>
  <c r="J63" i="69"/>
  <c r="G64" i="78" s="1"/>
  <c r="H64" i="78" s="1"/>
  <c r="R62" i="66"/>
  <c r="K63" i="75" s="1"/>
  <c r="L63" i="75" s="1"/>
  <c r="J31" i="67"/>
  <c r="L31" i="67" s="1"/>
  <c r="J27" i="69"/>
  <c r="L27" i="69" s="1"/>
  <c r="R58" i="65"/>
  <c r="T58" i="65" s="1"/>
  <c r="J47" i="67"/>
  <c r="L47" i="67" s="1"/>
  <c r="J25" i="48"/>
  <c r="G26" i="36" s="1"/>
  <c r="H26" i="36" s="1"/>
  <c r="J44" i="68"/>
  <c r="L44" i="68" s="1"/>
  <c r="R39" i="49"/>
  <c r="K40" i="37" s="1"/>
  <c r="L40" i="37" s="1"/>
  <c r="J49" i="47"/>
  <c r="L49" i="47" s="1"/>
  <c r="R38" i="72"/>
  <c r="K39" i="81" s="1"/>
  <c r="L39" i="81" s="1"/>
  <c r="J33" i="70"/>
  <c r="R58" i="71"/>
  <c r="K59" i="80" s="1"/>
  <c r="L59" i="80" s="1"/>
  <c r="R21" i="68"/>
  <c r="K22" i="77" s="1"/>
  <c r="L22" i="77" s="1"/>
  <c r="R56" i="65"/>
  <c r="K57" i="74" s="1"/>
  <c r="L57" i="74" s="1"/>
  <c r="R36" i="70"/>
  <c r="R63" i="67"/>
  <c r="T63" i="67" s="1"/>
  <c r="R57" i="72"/>
  <c r="K58" i="81" s="1"/>
  <c r="L58" i="81" s="1"/>
  <c r="R40" i="49"/>
  <c r="K41" i="37" s="1"/>
  <c r="L41" i="37" s="1"/>
  <c r="J56" i="72"/>
  <c r="G57" i="81" s="1"/>
  <c r="H57" i="81" s="1"/>
  <c r="J24" i="65"/>
  <c r="L24" i="65" s="1"/>
  <c r="J61" i="48"/>
  <c r="G62" i="36" s="1"/>
  <c r="H62" i="36" s="1"/>
  <c r="J73" i="70"/>
  <c r="J26" i="49"/>
  <c r="G27" i="37" s="1"/>
  <c r="H27" i="37" s="1"/>
  <c r="R63" i="49"/>
  <c r="R65" i="68"/>
  <c r="T65" i="68" s="1"/>
  <c r="J59" i="70"/>
  <c r="G60" i="79" s="1"/>
  <c r="H60" i="79" s="1"/>
  <c r="R22" i="65"/>
  <c r="R17" i="47"/>
  <c r="K18" i="35" s="1"/>
  <c r="L18" i="35" s="1"/>
  <c r="J17" i="65"/>
  <c r="L17" i="65" s="1"/>
  <c r="J37" i="72"/>
  <c r="L37" i="72" s="1"/>
  <c r="R47" i="70"/>
  <c r="K48" i="79" s="1"/>
  <c r="L48" i="79" s="1"/>
  <c r="R40" i="70"/>
  <c r="T40" i="70" s="1"/>
  <c r="R66" i="69"/>
  <c r="K67" i="78" s="1"/>
  <c r="L67" i="78" s="1"/>
  <c r="R18" i="65"/>
  <c r="R65" i="71"/>
  <c r="R67" i="47"/>
  <c r="K68" i="35" s="1"/>
  <c r="L68" i="35" s="1"/>
  <c r="J55" i="46"/>
  <c r="G56" i="34" s="1"/>
  <c r="H56" i="34" s="1"/>
  <c r="J36" i="66"/>
  <c r="J69" i="71"/>
  <c r="J64" i="66"/>
  <c r="G65" i="75" s="1"/>
  <c r="H65" i="75" s="1"/>
  <c r="J21" i="65"/>
  <c r="L21" i="65" s="1"/>
  <c r="R58" i="66"/>
  <c r="T58" i="66" s="1"/>
  <c r="R70" i="47"/>
  <c r="T70" i="47" s="1"/>
  <c r="J56" i="47"/>
  <c r="G57" i="35" s="1"/>
  <c r="H57" i="35" s="1"/>
  <c r="R23" i="66"/>
  <c r="T23" i="66" s="1"/>
  <c r="R51" i="71"/>
  <c r="J25" i="71"/>
  <c r="L25" i="71" s="1"/>
  <c r="R44" i="68"/>
  <c r="K45" i="77" s="1"/>
  <c r="L45" i="77" s="1"/>
  <c r="J55" i="71"/>
  <c r="L55" i="71" s="1"/>
  <c r="J60" i="73"/>
  <c r="L60" i="73" s="1"/>
  <c r="J30" i="46"/>
  <c r="L30" i="46" s="1"/>
  <c r="J65" i="73"/>
  <c r="G66" i="82" s="1"/>
  <c r="H66" i="82" s="1"/>
  <c r="R52" i="65"/>
  <c r="T52" i="65" s="1"/>
  <c r="R40" i="68"/>
  <c r="T40" i="68" s="1"/>
  <c r="R56" i="67"/>
  <c r="T56" i="67" s="1"/>
  <c r="J67" i="67"/>
  <c r="L67" i="67" s="1"/>
  <c r="R21" i="48"/>
  <c r="K22" i="36" s="1"/>
  <c r="L22" i="36" s="1"/>
  <c r="R34" i="65"/>
  <c r="R60" i="71"/>
  <c r="T60" i="71" s="1"/>
  <c r="J18" i="47"/>
  <c r="L18" i="47" s="1"/>
  <c r="J34" i="69"/>
  <c r="L34" i="69" s="1"/>
  <c r="R62" i="69"/>
  <c r="K63" i="78" s="1"/>
  <c r="L63" i="78" s="1"/>
  <c r="R29" i="48"/>
  <c r="J15" i="71"/>
  <c r="L15" i="71" s="1"/>
  <c r="R59" i="67"/>
  <c r="K60" i="76" s="1"/>
  <c r="L60" i="76" s="1"/>
  <c r="R44" i="69"/>
  <c r="R53" i="73"/>
  <c r="R18" i="47"/>
  <c r="R72" i="66"/>
  <c r="T72" i="66" s="1"/>
  <c r="R30" i="70"/>
  <c r="J50" i="71"/>
  <c r="J27" i="47"/>
  <c r="R29" i="72"/>
  <c r="T29" i="72" s="1"/>
  <c r="R20" i="47"/>
  <c r="J66" i="47"/>
  <c r="R66" i="72"/>
  <c r="K67" i="81" s="1"/>
  <c r="L67" i="81" s="1"/>
  <c r="J30" i="65"/>
  <c r="R73" i="47"/>
  <c r="J39" i="47"/>
  <c r="G40" i="35" s="1"/>
  <c r="H40" i="35" s="1"/>
  <c r="R16" i="69"/>
  <c r="R52" i="47"/>
  <c r="J37" i="46"/>
  <c r="G38" i="34" s="1"/>
  <c r="H38" i="34" s="1"/>
  <c r="J49" i="49"/>
  <c r="R29" i="49"/>
  <c r="T29" i="49" s="1"/>
  <c r="J60" i="69"/>
  <c r="G61" i="78" s="1"/>
  <c r="H61" i="78" s="1"/>
  <c r="J15" i="65"/>
  <c r="J28" i="66"/>
  <c r="R33" i="47"/>
  <c r="T33" i="47" s="1"/>
  <c r="J17" i="49"/>
  <c r="J46" i="47"/>
  <c r="G47" i="35" s="1"/>
  <c r="H47" i="35" s="1"/>
  <c r="R46" i="71"/>
  <c r="K47" i="80" s="1"/>
  <c r="L47" i="80" s="1"/>
  <c r="J35" i="66"/>
  <c r="J53" i="66"/>
  <c r="G54" i="75" s="1"/>
  <c r="H54" i="75" s="1"/>
  <c r="R27" i="49"/>
  <c r="T27" i="49" s="1"/>
  <c r="J45" i="47"/>
  <c r="G46" i="35" s="1"/>
  <c r="H46" i="35" s="1"/>
  <c r="R72" i="48"/>
  <c r="K73" i="36" s="1"/>
  <c r="L73" i="36" s="1"/>
  <c r="R37" i="46"/>
  <c r="T37" i="46" s="1"/>
  <c r="J63" i="67"/>
  <c r="J57" i="68"/>
  <c r="L57" i="68" s="1"/>
  <c r="J29" i="49"/>
  <c r="G30" i="37" s="1"/>
  <c r="H30" i="37" s="1"/>
  <c r="J72" i="72"/>
  <c r="R35" i="47"/>
  <c r="T35" i="47" s="1"/>
  <c r="J20" i="69"/>
  <c r="L20" i="69" s="1"/>
  <c r="J21" i="46"/>
  <c r="J38" i="70"/>
  <c r="R18" i="68"/>
  <c r="J23" i="48"/>
  <c r="G24" i="36" s="1"/>
  <c r="H24" i="36" s="1"/>
  <c r="J71" i="46"/>
  <c r="R60" i="70"/>
  <c r="T60" i="70" s="1"/>
  <c r="J17" i="47"/>
  <c r="L17" i="47" s="1"/>
  <c r="J39" i="71"/>
  <c r="R17" i="71"/>
  <c r="T17" i="71" s="1"/>
  <c r="J26" i="70"/>
  <c r="L26" i="70" s="1"/>
  <c r="J73" i="65"/>
  <c r="R62" i="72"/>
  <c r="R22" i="47"/>
  <c r="J66" i="73"/>
  <c r="L66" i="73" s="1"/>
  <c r="R16" i="47"/>
  <c r="K17" i="35" s="1"/>
  <c r="L17" i="35" s="1"/>
  <c r="R22" i="66"/>
  <c r="K23" i="75" s="1"/>
  <c r="L23" i="75" s="1"/>
  <c r="R52" i="72"/>
  <c r="K53" i="81" s="1"/>
  <c r="L53" i="81" s="1"/>
  <c r="J30" i="70"/>
  <c r="L30" i="70" s="1"/>
  <c r="J22" i="72"/>
  <c r="G23" i="81" s="1"/>
  <c r="H23" i="81" s="1"/>
  <c r="J44" i="48"/>
  <c r="G45" i="36" s="1"/>
  <c r="H45" i="36" s="1"/>
  <c r="J15" i="69"/>
  <c r="L15" i="69" s="1"/>
  <c r="J39" i="66"/>
  <c r="L39" i="66" s="1"/>
  <c r="J29" i="68"/>
  <c r="J64" i="72"/>
  <c r="L64" i="72" s="1"/>
  <c r="R68" i="68"/>
  <c r="J22" i="66"/>
  <c r="G23" i="75" s="1"/>
  <c r="H23" i="75" s="1"/>
  <c r="J63" i="71"/>
  <c r="L63" i="71" s="1"/>
  <c r="J64" i="70"/>
  <c r="L64" i="70" s="1"/>
  <c r="R43" i="71"/>
  <c r="J56" i="68"/>
  <c r="G57" i="77" s="1"/>
  <c r="H57" i="77" s="1"/>
  <c r="J21" i="67"/>
  <c r="J65" i="71"/>
  <c r="R61" i="46"/>
  <c r="K62" i="34" s="1"/>
  <c r="L62" i="34" s="1"/>
  <c r="R55" i="65"/>
  <c r="T55" i="65" s="1"/>
  <c r="J36" i="73"/>
  <c r="G37" i="82" s="1"/>
  <c r="H37" i="82" s="1"/>
  <c r="R59" i="65"/>
  <c r="T59" i="65" s="1"/>
  <c r="R36" i="72"/>
  <c r="T36" i="72" s="1"/>
  <c r="R27" i="65"/>
  <c r="R53" i="70"/>
  <c r="T53" i="70" s="1"/>
  <c r="R51" i="67"/>
  <c r="R33" i="69"/>
  <c r="R51" i="48"/>
  <c r="K52" i="36" s="1"/>
  <c r="L52" i="36" s="1"/>
  <c r="J38" i="47"/>
  <c r="L38" i="47" s="1"/>
  <c r="R39" i="70"/>
  <c r="K40" i="79" s="1"/>
  <c r="L40" i="79" s="1"/>
  <c r="J59" i="65"/>
  <c r="L59" i="65" s="1"/>
  <c r="J33" i="73"/>
  <c r="J54" i="47"/>
  <c r="G55" i="35" s="1"/>
  <c r="H55" i="35" s="1"/>
  <c r="J51" i="46"/>
  <c r="J27" i="71"/>
  <c r="L27" i="71" s="1"/>
  <c r="R51" i="49"/>
  <c r="T51" i="49" s="1"/>
  <c r="R61" i="48"/>
  <c r="J26" i="68"/>
  <c r="G27" i="77" s="1"/>
  <c r="H27" i="77" s="1"/>
  <c r="R55" i="47"/>
  <c r="T55" i="47" s="1"/>
  <c r="R49" i="72"/>
  <c r="K50" i="81" s="1"/>
  <c r="L50" i="81" s="1"/>
  <c r="R20" i="49"/>
  <c r="T20" i="49" s="1"/>
  <c r="R53" i="67"/>
  <c r="R30" i="47"/>
  <c r="T30" i="47" s="1"/>
  <c r="J20" i="65"/>
  <c r="L20" i="65" s="1"/>
  <c r="J55" i="66"/>
  <c r="L55" i="66" s="1"/>
  <c r="R55" i="46"/>
  <c r="T55" i="46" s="1"/>
  <c r="R27" i="71"/>
  <c r="R54" i="72"/>
  <c r="T54" i="72" s="1"/>
  <c r="R19" i="73"/>
  <c r="K20" i="82" s="1"/>
  <c r="L20" i="82" s="1"/>
  <c r="R62" i="46"/>
  <c r="T62" i="46" s="1"/>
  <c r="J15" i="48"/>
  <c r="L15" i="48" s="1"/>
  <c r="R48" i="46"/>
  <c r="T48" i="46" s="1"/>
  <c r="R43" i="68"/>
  <c r="T43" i="68" s="1"/>
  <c r="R34" i="67"/>
  <c r="R21" i="47"/>
  <c r="K22" i="35" s="1"/>
  <c r="L22" i="35" s="1"/>
  <c r="J24" i="70"/>
  <c r="L24" i="70" s="1"/>
  <c r="R55" i="71"/>
  <c r="K56" i="80" s="1"/>
  <c r="L56" i="80" s="1"/>
  <c r="J21" i="66"/>
  <c r="G22" i="75" s="1"/>
  <c r="H22" i="75" s="1"/>
  <c r="R68" i="48"/>
  <c r="K69" i="36" s="1"/>
  <c r="L69" i="36" s="1"/>
  <c r="J21" i="70"/>
  <c r="L21" i="70" s="1"/>
  <c r="R61" i="72"/>
  <c r="T61" i="72" s="1"/>
  <c r="R23" i="49"/>
  <c r="K24" i="37" s="1"/>
  <c r="L24" i="37" s="1"/>
  <c r="J22" i="49"/>
  <c r="L22" i="49" s="1"/>
  <c r="J18" i="65"/>
  <c r="L18" i="65" s="1"/>
  <c r="J61" i="47"/>
  <c r="L61" i="47" s="1"/>
  <c r="J50" i="47"/>
  <c r="G51" i="35" s="1"/>
  <c r="H51" i="35" s="1"/>
  <c r="J34" i="46"/>
  <c r="L34" i="46" s="1"/>
  <c r="J68" i="65"/>
  <c r="G69" i="74" s="1"/>
  <c r="H69" i="74" s="1"/>
  <c r="R70" i="46"/>
  <c r="T70" i="46" s="1"/>
  <c r="J61" i="66"/>
  <c r="G62" i="75" s="1"/>
  <c r="H62" i="75" s="1"/>
  <c r="R71" i="71"/>
  <c r="J32" i="48"/>
  <c r="L32" i="48" s="1"/>
  <c r="R37" i="71"/>
  <c r="K38" i="80" s="1"/>
  <c r="L38" i="80" s="1"/>
  <c r="R67" i="71"/>
  <c r="K68" i="80" s="1"/>
  <c r="L68" i="80" s="1"/>
  <c r="J39" i="49"/>
  <c r="R28" i="47"/>
  <c r="T28" i="47" s="1"/>
  <c r="J21" i="49"/>
  <c r="R72" i="72"/>
  <c r="K73" i="81" s="1"/>
  <c r="L73" i="81" s="1"/>
  <c r="R49" i="73"/>
  <c r="K50" i="82" s="1"/>
  <c r="L50" i="82" s="1"/>
  <c r="R36" i="47"/>
  <c r="J21" i="48"/>
  <c r="G22" i="36" s="1"/>
  <c r="H22" i="36" s="1"/>
  <c r="R71" i="69"/>
  <c r="J41" i="69"/>
  <c r="R24" i="65"/>
  <c r="K25" i="74" s="1"/>
  <c r="L25" i="74" s="1"/>
  <c r="R19" i="46"/>
  <c r="J55" i="70"/>
  <c r="G56" i="79" s="1"/>
  <c r="H56" i="79" s="1"/>
  <c r="R65" i="69"/>
  <c r="R30" i="49"/>
  <c r="K31" i="37" s="1"/>
  <c r="L31" i="37" s="1"/>
  <c r="J65" i="47"/>
  <c r="G66" i="35" s="1"/>
  <c r="H66" i="35" s="1"/>
  <c r="J17" i="48"/>
  <c r="L17" i="48" s="1"/>
  <c r="R24" i="47"/>
  <c r="K25" i="35" s="1"/>
  <c r="L25" i="35" s="1"/>
  <c r="R65" i="67"/>
  <c r="T65" i="67" s="1"/>
  <c r="R51" i="47"/>
  <c r="T51" i="47" s="1"/>
  <c r="J68" i="73"/>
  <c r="L68" i="73" s="1"/>
  <c r="R31" i="47"/>
  <c r="K32" i="35" s="1"/>
  <c r="L32" i="35" s="1"/>
  <c r="J47" i="48"/>
  <c r="R59" i="66"/>
  <c r="K60" i="75" s="1"/>
  <c r="L60" i="75" s="1"/>
  <c r="R15" i="71"/>
  <c r="J72" i="73"/>
  <c r="R46" i="49"/>
  <c r="K47" i="37" s="1"/>
  <c r="L47" i="37" s="1"/>
  <c r="R27" i="73"/>
  <c r="K28" i="82" s="1"/>
  <c r="L28" i="82" s="1"/>
  <c r="J68" i="71"/>
  <c r="J37" i="48"/>
  <c r="L37" i="48" s="1"/>
  <c r="J25" i="70"/>
  <c r="G26" i="79" s="1"/>
  <c r="H26" i="79" s="1"/>
  <c r="J62" i="70"/>
  <c r="G63" i="79" s="1"/>
  <c r="H63" i="79" s="1"/>
  <c r="R23" i="70"/>
  <c r="K24" i="79" s="1"/>
  <c r="L24" i="79" s="1"/>
  <c r="J71" i="73"/>
  <c r="J45" i="68"/>
  <c r="G46" i="77" s="1"/>
  <c r="H46" i="77" s="1"/>
  <c r="R15" i="66"/>
  <c r="K16" i="75" s="1"/>
  <c r="J65" i="69"/>
  <c r="G66" i="78" s="1"/>
  <c r="H66" i="78" s="1"/>
  <c r="R48" i="66"/>
  <c r="R69" i="71"/>
  <c r="K70" i="80" s="1"/>
  <c r="L70" i="80" s="1"/>
  <c r="R65" i="72"/>
  <c r="R57" i="70"/>
  <c r="K58" i="79" s="1"/>
  <c r="L58" i="79" s="1"/>
  <c r="J34" i="73"/>
  <c r="G35" i="82" s="1"/>
  <c r="H35" i="82" s="1"/>
  <c r="J22" i="68"/>
  <c r="L22" i="68" s="1"/>
  <c r="J29" i="72"/>
  <c r="G30" i="81" s="1"/>
  <c r="H30" i="81" s="1"/>
  <c r="R29" i="67"/>
  <c r="K30" i="76" s="1"/>
  <c r="L30" i="76" s="1"/>
  <c r="R71" i="47"/>
  <c r="T71" i="47" s="1"/>
  <c r="J45" i="67"/>
  <c r="G46" i="76" s="1"/>
  <c r="H46" i="76" s="1"/>
  <c r="R46" i="73"/>
  <c r="T46" i="73" s="1"/>
  <c r="R25" i="49"/>
  <c r="T25" i="49" s="1"/>
  <c r="J31" i="49"/>
  <c r="L31" i="49" s="1"/>
  <c r="J54" i="65"/>
  <c r="L54" i="65" s="1"/>
  <c r="R47" i="67"/>
  <c r="T47" i="67" s="1"/>
  <c r="R37" i="47"/>
  <c r="K38" i="35" s="1"/>
  <c r="L38" i="35" s="1"/>
  <c r="R40" i="48"/>
  <c r="T40" i="48" s="1"/>
  <c r="J66" i="70"/>
  <c r="L66" i="70" s="1"/>
  <c r="J23" i="49"/>
  <c r="G24" i="37" s="1"/>
  <c r="H24" i="37" s="1"/>
  <c r="R71" i="49"/>
  <c r="K72" i="37" s="1"/>
  <c r="L72" i="37" s="1"/>
  <c r="R36" i="49"/>
  <c r="T36" i="49" s="1"/>
  <c r="R57" i="66"/>
  <c r="T57" i="66" s="1"/>
  <c r="J16" i="46"/>
  <c r="R63" i="46"/>
  <c r="K64" i="34" s="1"/>
  <c r="L64" i="34" s="1"/>
  <c r="J71" i="49"/>
  <c r="L71" i="49" s="1"/>
  <c r="R21" i="72"/>
  <c r="K22" i="81" s="1"/>
  <c r="L22" i="81" s="1"/>
  <c r="R69" i="70"/>
  <c r="K70" i="79" s="1"/>
  <c r="L70" i="79" s="1"/>
  <c r="J73" i="66"/>
  <c r="R19" i="47"/>
  <c r="K20" i="35" s="1"/>
  <c r="L20" i="35" s="1"/>
  <c r="R45" i="49"/>
  <c r="T45" i="49" s="1"/>
  <c r="J69" i="68"/>
  <c r="L69" i="68" s="1"/>
  <c r="J40" i="72"/>
  <c r="J25" i="73"/>
  <c r="L25" i="73" s="1"/>
  <c r="R62" i="70"/>
  <c r="R17" i="46"/>
  <c r="K18" i="34" s="1"/>
  <c r="L18" i="34" s="1"/>
  <c r="J51" i="73"/>
  <c r="L51" i="73" s="1"/>
  <c r="J47" i="73"/>
  <c r="G48" i="82" s="1"/>
  <c r="H48" i="82" s="1"/>
  <c r="J58" i="46"/>
  <c r="G59" i="34" s="1"/>
  <c r="H59" i="34" s="1"/>
  <c r="R18" i="73"/>
  <c r="K19" i="82" s="1"/>
  <c r="L19" i="82" s="1"/>
  <c r="R56" i="73"/>
  <c r="J17" i="71"/>
  <c r="G18" i="80" s="1"/>
  <c r="H18" i="80" s="1"/>
  <c r="J28" i="48"/>
  <c r="L28" i="48" s="1"/>
  <c r="R19" i="48"/>
  <c r="K20" i="36" s="1"/>
  <c r="L20" i="36" s="1"/>
  <c r="R26" i="47"/>
  <c r="T26" i="47" s="1"/>
  <c r="J47" i="47"/>
  <c r="G48" i="35" s="1"/>
  <c r="H48" i="35" s="1"/>
  <c r="R55" i="73"/>
  <c r="K56" i="82" s="1"/>
  <c r="L56" i="82" s="1"/>
  <c r="J52" i="65"/>
  <c r="G53" i="74" s="1"/>
  <c r="H53" i="74" s="1"/>
  <c r="J53" i="68"/>
  <c r="G54" i="77" s="1"/>
  <c r="H54" i="77" s="1"/>
  <c r="R68" i="72"/>
  <c r="K69" i="81" s="1"/>
  <c r="L69" i="81" s="1"/>
  <c r="R34" i="66"/>
  <c r="T34" i="66" s="1"/>
  <c r="J62" i="73"/>
  <c r="G63" i="82" s="1"/>
  <c r="H63" i="82" s="1"/>
  <c r="J43" i="68"/>
  <c r="L43" i="68" s="1"/>
  <c r="J15" i="70"/>
  <c r="G16" i="79" s="1"/>
  <c r="J30" i="73"/>
  <c r="J32" i="71"/>
  <c r="G33" i="80" s="1"/>
  <c r="H33" i="80" s="1"/>
  <c r="R20" i="70"/>
  <c r="J63" i="73"/>
  <c r="J47" i="70"/>
  <c r="R60" i="72"/>
  <c r="T60" i="72" s="1"/>
  <c r="J16" i="65"/>
  <c r="R15" i="65"/>
  <c r="J27" i="68"/>
  <c r="G28" i="77" s="1"/>
  <c r="H28" i="77" s="1"/>
  <c r="J47" i="69"/>
  <c r="G48" i="78" s="1"/>
  <c r="H48" i="78" s="1"/>
  <c r="J35" i="68"/>
  <c r="R53" i="72"/>
  <c r="T53" i="72" s="1"/>
  <c r="R21" i="70"/>
  <c r="K22" i="79" s="1"/>
  <c r="L22" i="79" s="1"/>
  <c r="R41" i="67"/>
  <c r="T41" i="67" s="1"/>
  <c r="J37" i="69"/>
  <c r="G38" i="78" s="1"/>
  <c r="H38" i="78" s="1"/>
  <c r="J51" i="67"/>
  <c r="G52" i="76" s="1"/>
  <c r="H52" i="76" s="1"/>
  <c r="J26" i="73"/>
  <c r="L26" i="73" s="1"/>
  <c r="R50" i="71"/>
  <c r="J22" i="70"/>
  <c r="G23" i="79" s="1"/>
  <c r="H23" i="79" s="1"/>
  <c r="J18" i="73"/>
  <c r="L18" i="73" s="1"/>
  <c r="J48" i="69"/>
  <c r="G49" i="78" s="1"/>
  <c r="H49" i="78" s="1"/>
  <c r="J30" i="71"/>
  <c r="L30" i="71" s="1"/>
  <c r="J42" i="49"/>
  <c r="R45" i="65"/>
  <c r="K46" i="74" s="1"/>
  <c r="L46" i="74" s="1"/>
  <c r="R67" i="66"/>
  <c r="T67" i="66" s="1"/>
  <c r="J43" i="49"/>
  <c r="J20" i="47"/>
  <c r="G21" i="35" s="1"/>
  <c r="H21" i="35" s="1"/>
  <c r="J39" i="68"/>
  <c r="G40" i="77" s="1"/>
  <c r="H40" i="77" s="1"/>
  <c r="J25" i="66"/>
  <c r="G26" i="75" s="1"/>
  <c r="H26" i="75" s="1"/>
  <c r="R22" i="49"/>
  <c r="T22" i="49" s="1"/>
  <c r="R57" i="48"/>
  <c r="K58" i="36" s="1"/>
  <c r="L58" i="36" s="1"/>
  <c r="R45" i="71"/>
  <c r="J24" i="46"/>
  <c r="G25" i="34" s="1"/>
  <c r="H25" i="34" s="1"/>
  <c r="R36" i="48"/>
  <c r="T36" i="48" s="1"/>
  <c r="J56" i="46"/>
  <c r="G57" i="34" s="1"/>
  <c r="H57" i="34" s="1"/>
  <c r="R23" i="71"/>
  <c r="K24" i="80" s="1"/>
  <c r="L24" i="80" s="1"/>
  <c r="R66" i="47"/>
  <c r="T66" i="47" s="1"/>
  <c r="R42" i="48"/>
  <c r="K43" i="36" s="1"/>
  <c r="L43" i="36" s="1"/>
  <c r="R66" i="46"/>
  <c r="K67" i="34" s="1"/>
  <c r="L67" i="34" s="1"/>
  <c r="J34" i="68"/>
  <c r="G35" i="77" s="1"/>
  <c r="H35" i="77" s="1"/>
  <c r="J62" i="68"/>
  <c r="G63" i="77" s="1"/>
  <c r="H63" i="77" s="1"/>
  <c r="J72" i="70"/>
  <c r="G73" i="79" s="1"/>
  <c r="H73" i="79" s="1"/>
  <c r="J41" i="47"/>
  <c r="G42" i="35" s="1"/>
  <c r="H42" i="35" s="1"/>
  <c r="R71" i="46"/>
  <c r="T71" i="46" s="1"/>
  <c r="R65" i="47"/>
  <c r="K66" i="35" s="1"/>
  <c r="L66" i="35" s="1"/>
  <c r="R17" i="49"/>
  <c r="J65" i="67"/>
  <c r="G66" i="76" s="1"/>
  <c r="H66" i="76" s="1"/>
  <c r="R20" i="69"/>
  <c r="T20" i="69" s="1"/>
  <c r="R44" i="67"/>
  <c r="T44" i="67" s="1"/>
  <c r="J41" i="49"/>
  <c r="G42" i="37" s="1"/>
  <c r="H42" i="37" s="1"/>
  <c r="R54" i="47"/>
  <c r="J34" i="47"/>
  <c r="G35" i="35" s="1"/>
  <c r="H35" i="35" s="1"/>
  <c r="J22" i="69"/>
  <c r="J68" i="67"/>
  <c r="L68" i="67" s="1"/>
  <c r="J23" i="71"/>
  <c r="G24" i="80" s="1"/>
  <c r="H24" i="80" s="1"/>
  <c r="J42" i="46"/>
  <c r="G43" i="34" s="1"/>
  <c r="H43" i="34" s="1"/>
  <c r="R39" i="48"/>
  <c r="T39" i="48" s="1"/>
  <c r="J30" i="48"/>
  <c r="J20" i="72"/>
  <c r="L20" i="72" s="1"/>
  <c r="R35" i="49"/>
  <c r="K36" i="37" s="1"/>
  <c r="L36" i="37" s="1"/>
  <c r="R46" i="47"/>
  <c r="J54" i="73"/>
  <c r="L54" i="73" s="1"/>
  <c r="R69" i="48"/>
  <c r="R32" i="70"/>
  <c r="T32" i="70" s="1"/>
  <c r="J58" i="47"/>
  <c r="L58" i="47" s="1"/>
  <c r="R33" i="46"/>
  <c r="K34" i="34" s="1"/>
  <c r="L34" i="34" s="1"/>
  <c r="J43" i="70"/>
  <c r="G44" i="79" s="1"/>
  <c r="H44" i="79" s="1"/>
  <c r="J39" i="48"/>
  <c r="G40" i="36" s="1"/>
  <c r="H40" i="36" s="1"/>
  <c r="R62" i="47"/>
  <c r="T62" i="47" s="1"/>
  <c r="J57" i="70"/>
  <c r="G58" i="79" s="1"/>
  <c r="H58" i="79" s="1"/>
  <c r="R69" i="47"/>
  <c r="J24" i="49"/>
  <c r="L24" i="49" s="1"/>
  <c r="J72" i="68"/>
  <c r="L72" i="68" s="1"/>
  <c r="J71" i="65"/>
  <c r="G72" i="74" s="1"/>
  <c r="H72" i="74" s="1"/>
  <c r="R67" i="46"/>
  <c r="J57" i="67"/>
  <c r="R53" i="68"/>
  <c r="T53" i="68" s="1"/>
  <c r="R69" i="49"/>
  <c r="R48" i="47"/>
  <c r="T48" i="47" s="1"/>
  <c r="R64" i="72"/>
  <c r="K65" i="81" s="1"/>
  <c r="L65" i="81" s="1"/>
  <c r="J33" i="67"/>
  <c r="L33" i="67" s="1"/>
  <c r="R15" i="72"/>
  <c r="K16" i="81" s="1"/>
  <c r="J71" i="48"/>
  <c r="G72" i="36" s="1"/>
  <c r="H72" i="36" s="1"/>
  <c r="J18" i="69"/>
  <c r="L18" i="69" s="1"/>
  <c r="J40" i="68"/>
  <c r="J46" i="66"/>
  <c r="J33" i="69"/>
  <c r="R71" i="66"/>
  <c r="J54" i="70"/>
  <c r="R30" i="73"/>
  <c r="K31" i="82" s="1"/>
  <c r="L31" i="82" s="1"/>
  <c r="R18" i="69"/>
  <c r="K19" i="78" s="1"/>
  <c r="L19" i="78" s="1"/>
  <c r="J37" i="68"/>
  <c r="L37" i="68" s="1"/>
  <c r="J27" i="70"/>
  <c r="L27" i="70" s="1"/>
  <c r="J41" i="71"/>
  <c r="R30" i="69"/>
  <c r="K31" i="78" s="1"/>
  <c r="L31" i="78" s="1"/>
  <c r="J38" i="69"/>
  <c r="L38" i="69" s="1"/>
  <c r="R72" i="65"/>
  <c r="T72" i="65" s="1"/>
  <c r="J63" i="72"/>
  <c r="G64" i="81" s="1"/>
  <c r="H64" i="81" s="1"/>
  <c r="J67" i="71"/>
  <c r="G68" i="80" s="1"/>
  <c r="H68" i="80" s="1"/>
  <c r="R39" i="68"/>
  <c r="J44" i="49"/>
  <c r="G45" i="37" s="1"/>
  <c r="H45" i="37" s="1"/>
  <c r="R25" i="69"/>
  <c r="K26" i="78" s="1"/>
  <c r="L26" i="78" s="1"/>
  <c r="R19" i="67"/>
  <c r="J43" i="73"/>
  <c r="L43" i="73" s="1"/>
  <c r="R29" i="46"/>
  <c r="K30" i="34" s="1"/>
  <c r="L30" i="34" s="1"/>
  <c r="R32" i="46"/>
  <c r="J56" i="66"/>
  <c r="L56" i="66" s="1"/>
  <c r="R20" i="67"/>
  <c r="K21" i="76" s="1"/>
  <c r="L21" i="76" s="1"/>
  <c r="J68" i="47"/>
  <c r="G69" i="35" s="1"/>
  <c r="H69" i="35" s="1"/>
  <c r="R38" i="73"/>
  <c r="K39" i="82" s="1"/>
  <c r="L39" i="82" s="1"/>
  <c r="J29" i="67"/>
  <c r="G30" i="76" s="1"/>
  <c r="H30" i="76" s="1"/>
  <c r="J33" i="48"/>
  <c r="R59" i="68"/>
  <c r="K60" i="77" s="1"/>
  <c r="L60" i="77" s="1"/>
  <c r="J32" i="47"/>
  <c r="R69" i="72"/>
  <c r="R35" i="69"/>
  <c r="R58" i="48"/>
  <c r="T58" i="48" s="1"/>
  <c r="J33" i="47"/>
  <c r="L33" i="47" s="1"/>
  <c r="R43" i="48"/>
  <c r="T43" i="48" s="1"/>
  <c r="R32" i="68"/>
  <c r="K33" i="77" s="1"/>
  <c r="L33" i="77" s="1"/>
  <c r="R38" i="71"/>
  <c r="K39" i="80" s="1"/>
  <c r="L39" i="80" s="1"/>
  <c r="J66" i="66"/>
  <c r="L66" i="66" s="1"/>
  <c r="J45" i="70"/>
  <c r="J23" i="68"/>
  <c r="G24" i="77" s="1"/>
  <c r="H24" i="77" s="1"/>
  <c r="J47" i="46"/>
  <c r="G48" i="34" s="1"/>
  <c r="H48" i="34" s="1"/>
  <c r="R17" i="69"/>
  <c r="R20" i="66"/>
  <c r="T20" i="66" s="1"/>
  <c r="J69" i="48"/>
  <c r="G70" i="36" s="1"/>
  <c r="H70" i="36" s="1"/>
  <c r="R64" i="46"/>
  <c r="K65" i="34" s="1"/>
  <c r="L65" i="34" s="1"/>
  <c r="J68" i="48"/>
  <c r="L68" i="48" s="1"/>
  <c r="R17" i="48"/>
  <c r="K18" i="36" s="1"/>
  <c r="L18" i="36" s="1"/>
  <c r="J25" i="67"/>
  <c r="G26" i="76" s="1"/>
  <c r="H26" i="76" s="1"/>
  <c r="R66" i="70"/>
  <c r="J48" i="71"/>
  <c r="J49" i="65"/>
  <c r="R35" i="73"/>
  <c r="T35" i="73" s="1"/>
  <c r="R37" i="49"/>
  <c r="K38" i="37" s="1"/>
  <c r="L38" i="37" s="1"/>
  <c r="J62" i="65"/>
  <c r="R46" i="72"/>
  <c r="T46" i="72" s="1"/>
  <c r="J54" i="66"/>
  <c r="L54" i="66" s="1"/>
  <c r="J59" i="46"/>
  <c r="G60" i="34" s="1"/>
  <c r="H60" i="34" s="1"/>
  <c r="J24" i="66"/>
  <c r="G25" i="75" s="1"/>
  <c r="H25" i="75" s="1"/>
  <c r="R58" i="73"/>
  <c r="T58" i="73" s="1"/>
  <c r="R34" i="49"/>
  <c r="T34" i="49" s="1"/>
  <c r="J62" i="67"/>
  <c r="R32" i="48"/>
  <c r="K33" i="36" s="1"/>
  <c r="L33" i="36" s="1"/>
  <c r="R16" i="46"/>
  <c r="K17" i="34" s="1"/>
  <c r="L17" i="34" s="1"/>
  <c r="R57" i="46"/>
  <c r="K58" i="34" s="1"/>
  <c r="L58" i="34" s="1"/>
  <c r="J38" i="71"/>
  <c r="G39" i="80" s="1"/>
  <c r="H39" i="80" s="1"/>
  <c r="R35" i="67"/>
  <c r="R15" i="67"/>
  <c r="T15" i="67" s="1"/>
  <c r="R59" i="72"/>
  <c r="J60" i="46"/>
  <c r="G61" i="34" s="1"/>
  <c r="H61" i="34" s="1"/>
  <c r="R38" i="69"/>
  <c r="K39" i="78" s="1"/>
  <c r="L39" i="78" s="1"/>
  <c r="R66" i="48"/>
  <c r="K67" i="36" s="1"/>
  <c r="L67" i="36" s="1"/>
  <c r="R72" i="67"/>
  <c r="T72" i="67" s="1"/>
  <c r="R49" i="46"/>
  <c r="K50" i="34" s="1"/>
  <c r="L50" i="34" s="1"/>
  <c r="J58" i="71"/>
  <c r="G59" i="80" s="1"/>
  <c r="H59" i="80" s="1"/>
  <c r="R42" i="65"/>
  <c r="J67" i="69"/>
  <c r="G68" i="78" s="1"/>
  <c r="H68" i="78" s="1"/>
  <c r="J67" i="66"/>
  <c r="L67" i="66" s="1"/>
  <c r="R38" i="70"/>
  <c r="K39" i="79" s="1"/>
  <c r="L39" i="79" s="1"/>
  <c r="R32" i="71"/>
  <c r="J69" i="69"/>
  <c r="G70" i="78" s="1"/>
  <c r="H70" i="78" s="1"/>
  <c r="J68" i="69"/>
  <c r="G69" i="78" s="1"/>
  <c r="H69" i="78" s="1"/>
  <c r="R49" i="71"/>
  <c r="T49" i="71" s="1"/>
  <c r="R42" i="66"/>
  <c r="T42" i="66" s="1"/>
  <c r="J48" i="49"/>
  <c r="G49" i="37" s="1"/>
  <c r="H49" i="37" s="1"/>
  <c r="J61" i="71"/>
  <c r="J42" i="67"/>
  <c r="R59" i="47"/>
  <c r="K60" i="35" s="1"/>
  <c r="L60" i="35" s="1"/>
  <c r="J32" i="67"/>
  <c r="L32" i="67" s="1"/>
  <c r="J29" i="66"/>
  <c r="L29" i="66" s="1"/>
  <c r="R36" i="46"/>
  <c r="K37" i="34" s="1"/>
  <c r="L37" i="34" s="1"/>
  <c r="J26" i="72"/>
  <c r="L26" i="72" s="1"/>
  <c r="J49" i="48"/>
  <c r="G50" i="36" s="1"/>
  <c r="H50" i="36" s="1"/>
  <c r="J51" i="71"/>
  <c r="L51" i="71" s="1"/>
  <c r="R39" i="66"/>
  <c r="T39" i="66" s="1"/>
  <c r="J37" i="49"/>
  <c r="J59" i="67"/>
  <c r="G60" i="76" s="1"/>
  <c r="H60" i="76" s="1"/>
  <c r="R63" i="66"/>
  <c r="T63" i="66" s="1"/>
  <c r="R40" i="47"/>
  <c r="K41" i="35" s="1"/>
  <c r="L41" i="35" s="1"/>
  <c r="R50" i="46"/>
  <c r="J64" i="68"/>
  <c r="L64" i="68" s="1"/>
  <c r="R25" i="67"/>
  <c r="J38" i="48"/>
  <c r="G39" i="36" s="1"/>
  <c r="H39" i="36" s="1"/>
  <c r="R70" i="65"/>
  <c r="T70" i="65" s="1"/>
  <c r="J20" i="71"/>
  <c r="R49" i="67"/>
  <c r="K50" i="76" s="1"/>
  <c r="L50" i="76" s="1"/>
  <c r="R56" i="48"/>
  <c r="K57" i="36" s="1"/>
  <c r="L57" i="36" s="1"/>
  <c r="R59" i="73"/>
  <c r="R26" i="67"/>
  <c r="K27" i="76" s="1"/>
  <c r="L27" i="76" s="1"/>
  <c r="R43" i="47"/>
  <c r="K44" i="35" s="1"/>
  <c r="L44" i="35" s="1"/>
  <c r="J49" i="73"/>
  <c r="L49" i="73" s="1"/>
  <c r="J36" i="65"/>
  <c r="R29" i="47"/>
  <c r="J23" i="65"/>
  <c r="L23" i="65" s="1"/>
  <c r="R28" i="67"/>
  <c r="K29" i="76" s="1"/>
  <c r="L29" i="76" s="1"/>
  <c r="J64" i="48"/>
  <c r="L64" i="48" s="1"/>
  <c r="J38" i="73"/>
  <c r="L38" i="73" s="1"/>
  <c r="J49" i="69"/>
  <c r="L49" i="69" s="1"/>
  <c r="J50" i="67"/>
  <c r="R35" i="46"/>
  <c r="R59" i="46"/>
  <c r="T59" i="46" s="1"/>
  <c r="R55" i="69"/>
  <c r="T55" i="69" s="1"/>
  <c r="J20" i="70"/>
  <c r="R26" i="66"/>
  <c r="J31" i="48"/>
  <c r="R16" i="70"/>
  <c r="T16" i="70" s="1"/>
  <c r="R37" i="68"/>
  <c r="T37" i="68" s="1"/>
  <c r="R44" i="71"/>
  <c r="K45" i="80" s="1"/>
  <c r="L45" i="80" s="1"/>
  <c r="R62" i="68"/>
  <c r="T62" i="68" s="1"/>
  <c r="J20" i="68"/>
  <c r="L20" i="68" s="1"/>
  <c r="J70" i="71"/>
  <c r="G71" i="80" s="1"/>
  <c r="H71" i="80" s="1"/>
  <c r="R36" i="66"/>
  <c r="K37" i="75" s="1"/>
  <c r="L37" i="75" s="1"/>
  <c r="J15" i="73"/>
  <c r="G16" i="82" s="1"/>
  <c r="J15" i="67"/>
  <c r="L15" i="67" s="1"/>
  <c r="R16" i="71"/>
  <c r="K17" i="80" s="1"/>
  <c r="L17" i="80" s="1"/>
  <c r="R50" i="66"/>
  <c r="T50" i="66" s="1"/>
  <c r="J43" i="46"/>
  <c r="J19" i="67"/>
  <c r="R18" i="66"/>
  <c r="T18" i="66" s="1"/>
  <c r="J20" i="48"/>
  <c r="J24" i="71"/>
  <c r="J41" i="70"/>
  <c r="G42" i="79" s="1"/>
  <c r="H42" i="79" s="1"/>
  <c r="R48" i="49"/>
  <c r="K49" i="37" s="1"/>
  <c r="L49" i="37" s="1"/>
  <c r="J56" i="73"/>
  <c r="L56" i="73" s="1"/>
  <c r="J62" i="69"/>
  <c r="L62" i="69" s="1"/>
  <c r="R56" i="47"/>
  <c r="T56" i="47" s="1"/>
  <c r="J58" i="65"/>
  <c r="L58" i="65" s="1"/>
  <c r="R62" i="73"/>
  <c r="R50" i="73"/>
  <c r="K51" i="82" s="1"/>
  <c r="L51" i="82" s="1"/>
  <c r="R34" i="69"/>
  <c r="T34" i="69" s="1"/>
  <c r="J67" i="48"/>
  <c r="J59" i="49"/>
  <c r="G60" i="37" s="1"/>
  <c r="H60" i="37" s="1"/>
  <c r="R41" i="65"/>
  <c r="T41" i="65" s="1"/>
  <c r="J19" i="46"/>
  <c r="L19" i="46" s="1"/>
  <c r="J22" i="46"/>
  <c r="L22" i="46" s="1"/>
  <c r="J55" i="49"/>
  <c r="J38" i="72"/>
  <c r="L38" i="72" s="1"/>
  <c r="R44" i="46"/>
  <c r="T44" i="46" s="1"/>
  <c r="J28" i="49"/>
  <c r="G29" i="37" s="1"/>
  <c r="H29" i="37" s="1"/>
  <c r="J43" i="71"/>
  <c r="J17" i="69"/>
  <c r="J17" i="73"/>
  <c r="R56" i="49"/>
  <c r="K57" i="37" s="1"/>
  <c r="L57" i="37" s="1"/>
  <c r="J22" i="73"/>
  <c r="L22" i="73" s="1"/>
  <c r="R50" i="67"/>
  <c r="T50" i="67" s="1"/>
  <c r="J28" i="70"/>
  <c r="G29" i="79" s="1"/>
  <c r="H29" i="79" s="1"/>
  <c r="R54" i="70"/>
  <c r="T54" i="70" s="1"/>
  <c r="R55" i="72"/>
  <c r="T55" i="72" s="1"/>
  <c r="R44" i="73"/>
  <c r="K45" i="82" s="1"/>
  <c r="L45" i="82" s="1"/>
  <c r="R49" i="48"/>
  <c r="J23" i="69"/>
  <c r="L23" i="69" s="1"/>
  <c r="J29" i="65"/>
  <c r="L29" i="65" s="1"/>
  <c r="J67" i="46"/>
  <c r="J44" i="72"/>
  <c r="J26" i="65"/>
  <c r="G27" i="74" s="1"/>
  <c r="H27" i="74" s="1"/>
  <c r="J40" i="47"/>
  <c r="G41" i="35" s="1"/>
  <c r="H41" i="35" s="1"/>
  <c r="J63" i="66"/>
  <c r="J55" i="65"/>
  <c r="G56" i="74" s="1"/>
  <c r="H56" i="74" s="1"/>
  <c r="R33" i="68"/>
  <c r="T33" i="68" s="1"/>
  <c r="R71" i="68"/>
  <c r="T71" i="68" s="1"/>
  <c r="J44" i="73"/>
  <c r="G45" i="82" s="1"/>
  <c r="H45" i="82" s="1"/>
  <c r="R69" i="46"/>
  <c r="T69" i="46" s="1"/>
  <c r="R52" i="48"/>
  <c r="T52" i="48" s="1"/>
  <c r="R16" i="48"/>
  <c r="K17" i="36" s="1"/>
  <c r="L17" i="36" s="1"/>
  <c r="R63" i="71"/>
  <c r="J21" i="71"/>
  <c r="G22" i="80" s="1"/>
  <c r="H22" i="80" s="1"/>
  <c r="J56" i="70"/>
  <c r="G57" i="79" s="1"/>
  <c r="H57" i="79" s="1"/>
  <c r="J23" i="47"/>
  <c r="J18" i="71"/>
  <c r="G19" i="80" s="1"/>
  <c r="H19" i="80" s="1"/>
  <c r="J70" i="48"/>
  <c r="L70" i="48" s="1"/>
  <c r="R36" i="65"/>
  <c r="T36" i="65" s="1"/>
  <c r="J50" i="66"/>
  <c r="J48" i="65"/>
  <c r="G49" i="74" s="1"/>
  <c r="H49" i="74" s="1"/>
  <c r="R60" i="46"/>
  <c r="K61" i="34" s="1"/>
  <c r="L61" i="34" s="1"/>
  <c r="R58" i="49"/>
  <c r="T58" i="49" s="1"/>
  <c r="R16" i="68"/>
  <c r="K17" i="77" s="1"/>
  <c r="L17" i="77" s="1"/>
  <c r="J38" i="65"/>
  <c r="G39" i="74" s="1"/>
  <c r="H39" i="74" s="1"/>
  <c r="R44" i="49"/>
  <c r="T44" i="49" s="1"/>
  <c r="J62" i="49"/>
  <c r="L62" i="49" s="1"/>
  <c r="J27" i="48"/>
  <c r="R45" i="70"/>
  <c r="R60" i="68"/>
  <c r="T60" i="68" s="1"/>
  <c r="J72" i="69"/>
  <c r="L72" i="69" s="1"/>
  <c r="R62" i="49"/>
  <c r="K63" i="37" s="1"/>
  <c r="L63" i="37" s="1"/>
  <c r="R37" i="48"/>
  <c r="K38" i="36" s="1"/>
  <c r="L38" i="36" s="1"/>
  <c r="J58" i="48"/>
  <c r="J20" i="49"/>
  <c r="L20" i="49" s="1"/>
  <c r="J20" i="66"/>
  <c r="L20" i="66" s="1"/>
  <c r="J43" i="69"/>
  <c r="L43" i="69" s="1"/>
  <c r="J51" i="47"/>
  <c r="G52" i="35" s="1"/>
  <c r="H52" i="35" s="1"/>
  <c r="R36" i="68"/>
  <c r="K37" i="77" s="1"/>
  <c r="L37" i="77" s="1"/>
  <c r="J67" i="49"/>
  <c r="R55" i="68"/>
  <c r="K56" i="77" s="1"/>
  <c r="L56" i="77" s="1"/>
  <c r="R23" i="73"/>
  <c r="K24" i="82" s="1"/>
  <c r="L24" i="82" s="1"/>
  <c r="R48" i="73"/>
  <c r="J17" i="70"/>
  <c r="J19" i="49"/>
  <c r="L19" i="49" s="1"/>
  <c r="R44" i="47"/>
  <c r="K45" i="35" s="1"/>
  <c r="L45" i="35" s="1"/>
  <c r="R41" i="73"/>
  <c r="T41" i="73" s="1"/>
  <c r="R40" i="69"/>
  <c r="T40" i="69" s="1"/>
  <c r="J33" i="46"/>
  <c r="L33" i="46" s="1"/>
  <c r="J22" i="48"/>
  <c r="L22" i="48" s="1"/>
  <c r="R53" i="69"/>
  <c r="K54" i="78" s="1"/>
  <c r="L54" i="78" s="1"/>
  <c r="J35" i="46"/>
  <c r="J65" i="48"/>
  <c r="L65" i="48" s="1"/>
  <c r="R68" i="46"/>
  <c r="T68" i="46" s="1"/>
  <c r="J52" i="48"/>
  <c r="L52" i="48" s="1"/>
  <c r="R29" i="68"/>
  <c r="T29" i="68" s="1"/>
  <c r="J50" i="68"/>
  <c r="L50" i="68" s="1"/>
  <c r="J40" i="73"/>
  <c r="R48" i="67"/>
  <c r="T48" i="67" s="1"/>
  <c r="R21" i="46"/>
  <c r="J43" i="67"/>
  <c r="G44" i="76" s="1"/>
  <c r="H44" i="76" s="1"/>
  <c r="J62" i="71"/>
  <c r="R31" i="48"/>
  <c r="K32" i="36" s="1"/>
  <c r="L32" i="36" s="1"/>
  <c r="R39" i="73"/>
  <c r="K40" i="82" s="1"/>
  <c r="L40" i="82" s="1"/>
  <c r="J55" i="69"/>
  <c r="L55" i="69" s="1"/>
  <c r="J43" i="47"/>
  <c r="G44" i="35" s="1"/>
  <c r="H44" i="35" s="1"/>
  <c r="J65" i="72"/>
  <c r="G66" i="81" s="1"/>
  <c r="H66" i="81" s="1"/>
  <c r="R55" i="48"/>
  <c r="T55" i="48" s="1"/>
  <c r="R27" i="46"/>
  <c r="K28" i="34" s="1"/>
  <c r="L28" i="34" s="1"/>
  <c r="J18" i="48"/>
  <c r="L18" i="48" s="1"/>
  <c r="R21" i="69"/>
  <c r="T21" i="69" s="1"/>
  <c r="R64" i="73"/>
  <c r="T64" i="73" s="1"/>
  <c r="R64" i="67"/>
  <c r="J33" i="72"/>
  <c r="L33" i="72" s="1"/>
  <c r="J46" i="70"/>
  <c r="G47" i="79" s="1"/>
  <c r="H47" i="79" s="1"/>
  <c r="R65" i="48"/>
  <c r="T65" i="48" s="1"/>
  <c r="R35" i="66"/>
  <c r="R39" i="67"/>
  <c r="K40" i="76" s="1"/>
  <c r="L40" i="76" s="1"/>
  <c r="R34" i="70"/>
  <c r="T34" i="70" s="1"/>
  <c r="J44" i="47"/>
  <c r="L44" i="47" s="1"/>
  <c r="J58" i="68"/>
  <c r="G59" i="77" s="1"/>
  <c r="H59" i="77" s="1"/>
  <c r="J44" i="69"/>
  <c r="G45" i="78" s="1"/>
  <c r="H45" i="78" s="1"/>
  <c r="J29" i="48"/>
  <c r="J31" i="70"/>
  <c r="R40" i="72"/>
  <c r="T40" i="72" s="1"/>
  <c r="J42" i="48"/>
  <c r="R28" i="70"/>
  <c r="J32" i="70"/>
  <c r="J16" i="68"/>
  <c r="J66" i="65"/>
  <c r="L66" i="65" s="1"/>
  <c r="R56" i="68"/>
  <c r="K57" i="77" s="1"/>
  <c r="L57" i="77" s="1"/>
  <c r="R48" i="48"/>
  <c r="T48" i="48" s="1"/>
  <c r="J52" i="69"/>
  <c r="G53" i="78" s="1"/>
  <c r="H53" i="78" s="1"/>
  <c r="J70" i="72"/>
  <c r="G71" i="81" s="1"/>
  <c r="H71" i="81" s="1"/>
  <c r="R72" i="47"/>
  <c r="K73" i="35" s="1"/>
  <c r="L73" i="35" s="1"/>
  <c r="J60" i="48"/>
  <c r="L60" i="48" s="1"/>
  <c r="J45" i="46"/>
  <c r="G46" i="34" s="1"/>
  <c r="H46" i="34" s="1"/>
  <c r="R47" i="71"/>
  <c r="R57" i="68"/>
  <c r="T57" i="68" s="1"/>
  <c r="R29" i="73"/>
  <c r="T29" i="73" s="1"/>
  <c r="R50" i="49"/>
  <c r="K51" i="37" s="1"/>
  <c r="L51" i="37" s="1"/>
  <c r="R22" i="68"/>
  <c r="K23" i="77" s="1"/>
  <c r="L23" i="77" s="1"/>
  <c r="J70" i="46"/>
  <c r="J54" i="49"/>
  <c r="L54" i="49" s="1"/>
  <c r="R43" i="70"/>
  <c r="T43" i="70" s="1"/>
  <c r="R21" i="66"/>
  <c r="T21" i="66" s="1"/>
  <c r="J25" i="46"/>
  <c r="J35" i="71"/>
  <c r="J58" i="69"/>
  <c r="L58" i="69" s="1"/>
  <c r="J53" i="72"/>
  <c r="L53" i="72" s="1"/>
  <c r="J21" i="69"/>
  <c r="L21" i="69" s="1"/>
  <c r="R15" i="46"/>
  <c r="R21" i="49"/>
  <c r="K22" i="37" s="1"/>
  <c r="L22" i="37" s="1"/>
  <c r="R24" i="67"/>
  <c r="T24" i="67" s="1"/>
  <c r="R34" i="73"/>
  <c r="J34" i="65"/>
  <c r="R66" i="65"/>
  <c r="K67" i="74" s="1"/>
  <c r="L67" i="74" s="1"/>
  <c r="R35" i="72"/>
  <c r="R37" i="73"/>
  <c r="J19" i="48"/>
  <c r="L19" i="48" s="1"/>
  <c r="J16" i="66"/>
  <c r="L16" i="66" s="1"/>
  <c r="R60" i="49"/>
  <c r="K61" i="37" s="1"/>
  <c r="L61" i="37" s="1"/>
  <c r="J58" i="49"/>
  <c r="J22" i="65"/>
  <c r="G23" i="74" s="1"/>
  <c r="H23" i="74" s="1"/>
  <c r="R50" i="70"/>
  <c r="R32" i="66"/>
  <c r="J33" i="68"/>
  <c r="L33" i="68" s="1"/>
  <c r="J47" i="65"/>
  <c r="G48" i="74" s="1"/>
  <c r="H48" i="74" s="1"/>
  <c r="R51" i="46"/>
  <c r="K52" i="34" s="1"/>
  <c r="L52" i="34" s="1"/>
  <c r="R16" i="49"/>
  <c r="T16" i="49" s="1"/>
  <c r="J21" i="68"/>
  <c r="L21" i="68" s="1"/>
  <c r="R26" i="49"/>
  <c r="R70" i="68"/>
  <c r="T70" i="68" s="1"/>
  <c r="R39" i="72"/>
  <c r="R56" i="46"/>
  <c r="J26" i="46"/>
  <c r="J56" i="65"/>
  <c r="G57" i="74" s="1"/>
  <c r="H57" i="74" s="1"/>
  <c r="J42" i="71"/>
  <c r="L42" i="71" s="1"/>
  <c r="R72" i="46"/>
  <c r="K73" i="34" s="1"/>
  <c r="L73" i="34" s="1"/>
  <c r="R41" i="46"/>
  <c r="J40" i="49"/>
  <c r="G41" i="37" s="1"/>
  <c r="H41" i="37" s="1"/>
  <c r="R24" i="73"/>
  <c r="J30" i="66"/>
  <c r="G31" i="75" s="1"/>
  <c r="H31" i="75" s="1"/>
  <c r="R57" i="67"/>
  <c r="T57" i="67" s="1"/>
  <c r="R17" i="67"/>
  <c r="K18" i="76" s="1"/>
  <c r="L18" i="76" s="1"/>
  <c r="J36" i="48"/>
  <c r="G37" i="36" s="1"/>
  <c r="H37" i="36" s="1"/>
  <c r="J61" i="49"/>
  <c r="L61" i="49" s="1"/>
  <c r="J27" i="73"/>
  <c r="G28" i="82" s="1"/>
  <c r="H28" i="82" s="1"/>
  <c r="J62" i="46"/>
  <c r="G63" i="34" s="1"/>
  <c r="H63" i="34" s="1"/>
  <c r="J19" i="66"/>
  <c r="L19" i="66" s="1"/>
  <c r="R59" i="48"/>
  <c r="J67" i="73"/>
  <c r="R28" i="69"/>
  <c r="K29" i="78" s="1"/>
  <c r="L29" i="78" s="1"/>
  <c r="J70" i="67"/>
  <c r="L70" i="67" s="1"/>
  <c r="J39" i="46"/>
  <c r="J52" i="66"/>
  <c r="R50" i="68"/>
  <c r="R20" i="46"/>
  <c r="T20" i="46" s="1"/>
  <c r="R22" i="73"/>
  <c r="T22" i="73" s="1"/>
  <c r="R53" i="48"/>
  <c r="R59" i="71"/>
  <c r="J25" i="49"/>
  <c r="R33" i="71"/>
  <c r="T33" i="71" s="1"/>
  <c r="R64" i="68"/>
  <c r="J22" i="47"/>
  <c r="G23" i="35" s="1"/>
  <c r="H23" i="35" s="1"/>
  <c r="J32" i="66"/>
  <c r="L32" i="66" s="1"/>
  <c r="R57" i="71"/>
  <c r="R31" i="72"/>
  <c r="T31" i="72" s="1"/>
  <c r="R67" i="67"/>
  <c r="T67" i="67" s="1"/>
  <c r="J60" i="65"/>
  <c r="G61" i="74" s="1"/>
  <c r="H61" i="74" s="1"/>
  <c r="R70" i="69"/>
  <c r="K71" i="78" s="1"/>
  <c r="L71" i="78" s="1"/>
  <c r="J16" i="48"/>
  <c r="R71" i="65"/>
  <c r="T71" i="65" s="1"/>
  <c r="J64" i="46"/>
  <c r="R61" i="73"/>
  <c r="K62" i="82" s="1"/>
  <c r="L62" i="82" s="1"/>
  <c r="J33" i="65"/>
  <c r="J40" i="67"/>
  <c r="L40" i="67" s="1"/>
  <c r="J23" i="73"/>
  <c r="L23" i="73" s="1"/>
  <c r="J70" i="69"/>
  <c r="G71" i="78" s="1"/>
  <c r="H71" i="78" s="1"/>
  <c r="J47" i="68"/>
  <c r="R34" i="48"/>
  <c r="J48" i="66"/>
  <c r="R26" i="72"/>
  <c r="R38" i="47"/>
  <c r="R19" i="72"/>
  <c r="K20" i="81" s="1"/>
  <c r="L20" i="81" s="1"/>
  <c r="J57" i="65"/>
  <c r="R27" i="72"/>
  <c r="T27" i="72" s="1"/>
  <c r="R54" i="49"/>
  <c r="T54" i="49" s="1"/>
  <c r="R65" i="46"/>
  <c r="K66" i="34" s="1"/>
  <c r="L66" i="34" s="1"/>
  <c r="R41" i="69"/>
  <c r="T41" i="69" s="1"/>
  <c r="R59" i="69"/>
  <c r="T59" i="69" s="1"/>
  <c r="J46" i="69"/>
  <c r="G47" i="78" s="1"/>
  <c r="H47" i="78" s="1"/>
  <c r="R32" i="73"/>
  <c r="R60" i="47"/>
  <c r="K61" i="35" s="1"/>
  <c r="L61" i="35" s="1"/>
  <c r="R61" i="49"/>
  <c r="T61" i="49" s="1"/>
  <c r="R39" i="69"/>
  <c r="J28" i="71"/>
  <c r="L28" i="71" s="1"/>
  <c r="R72" i="73"/>
  <c r="T72" i="73" s="1"/>
  <c r="R68" i="47"/>
  <c r="T68" i="47" s="1"/>
  <c r="J16" i="69"/>
  <c r="R64" i="47"/>
  <c r="T64" i="47" s="1"/>
  <c r="R61" i="67"/>
  <c r="J58" i="67"/>
  <c r="G59" i="76" s="1"/>
  <c r="H59" i="76" s="1"/>
  <c r="R64" i="49"/>
  <c r="R41" i="47"/>
  <c r="K42" i="35" s="1"/>
  <c r="L42" i="35" s="1"/>
  <c r="R43" i="49"/>
  <c r="K44" i="37" s="1"/>
  <c r="L44" i="37" s="1"/>
  <c r="J19" i="70"/>
  <c r="G20" i="79" s="1"/>
  <c r="H20" i="79" s="1"/>
  <c r="J55" i="47"/>
  <c r="L55" i="47" s="1"/>
  <c r="J63" i="48"/>
  <c r="G64" i="36" s="1"/>
  <c r="H64" i="36" s="1"/>
  <c r="J58" i="70"/>
  <c r="R52" i="71"/>
  <c r="T52" i="71" s="1"/>
  <c r="J46" i="72"/>
  <c r="J27" i="67"/>
  <c r="L27" i="67" s="1"/>
  <c r="R71" i="48"/>
  <c r="K72" i="36" s="1"/>
  <c r="L72" i="36" s="1"/>
  <c r="R53" i="46"/>
  <c r="J30" i="47"/>
  <c r="L30" i="47" s="1"/>
  <c r="J68" i="49"/>
  <c r="R46" i="65"/>
  <c r="T46" i="65" s="1"/>
  <c r="R42" i="69"/>
  <c r="R29" i="70"/>
  <c r="T29" i="70" s="1"/>
  <c r="J71" i="68"/>
  <c r="G72" i="77" s="1"/>
  <c r="H72" i="77" s="1"/>
  <c r="J66" i="67"/>
  <c r="G67" i="76" s="1"/>
  <c r="H67" i="76" s="1"/>
  <c r="J53" i="70"/>
  <c r="R31" i="46"/>
  <c r="T31" i="46" s="1"/>
  <c r="R34" i="46"/>
  <c r="T34" i="46" s="1"/>
  <c r="J55" i="68"/>
  <c r="R63" i="47"/>
  <c r="R61" i="68"/>
  <c r="R58" i="67"/>
  <c r="T58" i="67" s="1"/>
  <c r="R71" i="70"/>
  <c r="T71" i="70" s="1"/>
  <c r="R50" i="65"/>
  <c r="J24" i="48"/>
  <c r="L24" i="48" s="1"/>
  <c r="R22" i="71"/>
  <c r="T22" i="71" s="1"/>
  <c r="R23" i="65"/>
  <c r="K24" i="74" s="1"/>
  <c r="L24" i="74" s="1"/>
  <c r="J63" i="47"/>
  <c r="G64" i="35" s="1"/>
  <c r="H64" i="35" s="1"/>
  <c r="J33" i="66"/>
  <c r="J31" i="71"/>
  <c r="G32" i="80" s="1"/>
  <c r="H32" i="80" s="1"/>
  <c r="J16" i="67"/>
  <c r="J49" i="46"/>
  <c r="R20" i="73"/>
  <c r="K21" i="82" s="1"/>
  <c r="L21" i="82" s="1"/>
  <c r="R67" i="73"/>
  <c r="T67" i="73" s="1"/>
  <c r="J56" i="48"/>
  <c r="G57" i="36" s="1"/>
  <c r="H57" i="36" s="1"/>
  <c r="J22" i="71"/>
  <c r="G23" i="80" s="1"/>
  <c r="H23" i="80" s="1"/>
  <c r="R53" i="65"/>
  <c r="J61" i="73"/>
  <c r="L61" i="73" s="1"/>
  <c r="R25" i="65"/>
  <c r="R70" i="67"/>
  <c r="T70" i="67" s="1"/>
  <c r="J49" i="71"/>
  <c r="L49" i="71" s="1"/>
  <c r="R32" i="65"/>
  <c r="K33" i="74" s="1"/>
  <c r="L33" i="74" s="1"/>
  <c r="R17" i="73"/>
  <c r="T17" i="73" s="1"/>
  <c r="R48" i="72"/>
  <c r="T48" i="72" s="1"/>
  <c r="R26" i="70"/>
  <c r="J32" i="72"/>
  <c r="R15" i="68"/>
  <c r="R63" i="68"/>
  <c r="J28" i="47"/>
  <c r="G29" i="35" s="1"/>
  <c r="H29" i="35" s="1"/>
  <c r="R18" i="49"/>
  <c r="K19" i="37" s="1"/>
  <c r="L19" i="37" s="1"/>
  <c r="J49" i="70"/>
  <c r="G50" i="79" s="1"/>
  <c r="H50" i="79" s="1"/>
  <c r="J70" i="47"/>
  <c r="R40" i="71"/>
  <c r="K41" i="80" s="1"/>
  <c r="L41" i="80" s="1"/>
  <c r="J67" i="65"/>
  <c r="G68" i="74" s="1"/>
  <c r="H68" i="74" s="1"/>
  <c r="J37" i="70"/>
  <c r="L37" i="70" s="1"/>
  <c r="J48" i="47"/>
  <c r="J45" i="66"/>
  <c r="J62" i="47"/>
  <c r="G63" i="35" s="1"/>
  <c r="H63" i="35" s="1"/>
  <c r="J66" i="72"/>
  <c r="L66" i="72" s="1"/>
  <c r="J51" i="49"/>
  <c r="G52" i="37" s="1"/>
  <c r="H52" i="37" s="1"/>
  <c r="R51" i="70"/>
  <c r="K52" i="79" s="1"/>
  <c r="L52" i="79" s="1"/>
  <c r="R42" i="47"/>
  <c r="K43" i="35" s="1"/>
  <c r="L43" i="35" s="1"/>
  <c r="R42" i="46"/>
  <c r="K43" i="34" s="1"/>
  <c r="L43" i="34" s="1"/>
  <c r="R22" i="67"/>
  <c r="T22" i="67" s="1"/>
  <c r="R22" i="48"/>
  <c r="R37" i="66"/>
  <c r="K38" i="75" s="1"/>
  <c r="L38" i="75" s="1"/>
  <c r="R26" i="46"/>
  <c r="T26" i="46" s="1"/>
  <c r="J31" i="47"/>
  <c r="L31" i="47" s="1"/>
  <c r="J48" i="48"/>
  <c r="L48" i="48" s="1"/>
  <c r="J15" i="46"/>
  <c r="J61" i="65"/>
  <c r="L61" i="65" s="1"/>
  <c r="J40" i="70"/>
  <c r="G41" i="79" s="1"/>
  <c r="H41" i="79" s="1"/>
  <c r="J50" i="69"/>
  <c r="R55" i="70"/>
  <c r="K56" i="79" s="1"/>
  <c r="L56" i="79" s="1"/>
  <c r="J59" i="73"/>
  <c r="L59" i="73" s="1"/>
  <c r="J44" i="71"/>
  <c r="G45" i="80" s="1"/>
  <c r="H45" i="80" s="1"/>
  <c r="R38" i="48"/>
  <c r="T38" i="48" s="1"/>
  <c r="J56" i="71"/>
  <c r="G57" i="80" s="1"/>
  <c r="H57" i="80" s="1"/>
  <c r="R31" i="71"/>
  <c r="K32" i="80" s="1"/>
  <c r="L32" i="80" s="1"/>
  <c r="R35" i="48"/>
  <c r="K36" i="36" s="1"/>
  <c r="L36" i="36" s="1"/>
  <c r="J19" i="47"/>
  <c r="J61" i="67"/>
  <c r="G62" i="76" s="1"/>
  <c r="H62" i="76" s="1"/>
  <c r="J50" i="46"/>
  <c r="J26" i="47"/>
  <c r="G27" i="35" s="1"/>
  <c r="H27" i="35" s="1"/>
  <c r="R62" i="67"/>
  <c r="T62" i="67" s="1"/>
  <c r="J27" i="66"/>
  <c r="L27" i="66" s="1"/>
  <c r="J57" i="46"/>
  <c r="L57" i="46" s="1"/>
  <c r="R61" i="65"/>
  <c r="K62" i="74" s="1"/>
  <c r="L62" i="74" s="1"/>
  <c r="J66" i="71"/>
  <c r="J30" i="67"/>
  <c r="G31" i="76" s="1"/>
  <c r="H31" i="76" s="1"/>
  <c r="R63" i="65"/>
  <c r="R70" i="49"/>
  <c r="T70" i="49" s="1"/>
  <c r="J42" i="47"/>
  <c r="J39" i="69"/>
  <c r="L39" i="69" s="1"/>
  <c r="R39" i="65"/>
  <c r="K40" i="74" s="1"/>
  <c r="L40" i="74" s="1"/>
  <c r="J20" i="67"/>
  <c r="R28" i="72"/>
  <c r="T28" i="72" s="1"/>
  <c r="J15" i="72"/>
  <c r="G16" i="81" s="1"/>
  <c r="J53" i="67"/>
  <c r="G54" i="76" s="1"/>
  <c r="H54" i="76" s="1"/>
  <c r="R31" i="69"/>
  <c r="R28" i="48"/>
  <c r="R25" i="73"/>
  <c r="T25" i="73" s="1"/>
  <c r="R67" i="72"/>
  <c r="K68" i="81" s="1"/>
  <c r="L68" i="81" s="1"/>
  <c r="R28" i="49"/>
  <c r="K29" i="37" s="1"/>
  <c r="L29" i="37" s="1"/>
  <c r="J60" i="67"/>
  <c r="J36" i="68"/>
  <c r="L36" i="68" s="1"/>
  <c r="J54" i="48"/>
  <c r="G55" i="36" s="1"/>
  <c r="H55" i="36" s="1"/>
  <c r="J23" i="46"/>
  <c r="L23" i="46" s="1"/>
  <c r="R52" i="49"/>
  <c r="R47" i="65"/>
  <c r="K48" i="74" s="1"/>
  <c r="L48" i="74" s="1"/>
  <c r="R53" i="47"/>
  <c r="K54" i="35" s="1"/>
  <c r="L54" i="35" s="1"/>
  <c r="J46" i="71"/>
  <c r="R64" i="65"/>
  <c r="J48" i="72"/>
  <c r="L48" i="72" s="1"/>
  <c r="J19" i="71"/>
  <c r="G20" i="80" s="1"/>
  <c r="H20" i="80" s="1"/>
  <c r="J35" i="47"/>
  <c r="L35" i="47" s="1"/>
  <c r="J49" i="72"/>
  <c r="R35" i="68"/>
  <c r="K36" i="77" s="1"/>
  <c r="L36" i="77" s="1"/>
  <c r="J40" i="71"/>
  <c r="R68" i="66"/>
  <c r="K69" i="75" s="1"/>
  <c r="L69" i="75" s="1"/>
  <c r="R45" i="48"/>
  <c r="J28" i="65"/>
  <c r="G29" i="74" s="1"/>
  <c r="H29" i="74" s="1"/>
  <c r="R26" i="73"/>
  <c r="T26" i="73" s="1"/>
  <c r="R52" i="73"/>
  <c r="T52" i="73" s="1"/>
  <c r="R45" i="67"/>
  <c r="J58" i="66"/>
  <c r="G59" i="75" s="1"/>
  <c r="H59" i="75" s="1"/>
  <c r="J35" i="70"/>
  <c r="G36" i="79" s="1"/>
  <c r="H36" i="79" s="1"/>
  <c r="J70" i="68"/>
  <c r="R30" i="66"/>
  <c r="R49" i="68"/>
  <c r="K50" i="77" s="1"/>
  <c r="L50" i="77" s="1"/>
  <c r="J69" i="67"/>
  <c r="L69" i="67" s="1"/>
  <c r="R47" i="73"/>
  <c r="K48" i="82" s="1"/>
  <c r="L48" i="82" s="1"/>
  <c r="R42" i="72"/>
  <c r="T42" i="72" s="1"/>
  <c r="R61" i="66"/>
  <c r="J28" i="46"/>
  <c r="J29" i="46"/>
  <c r="R69" i="65"/>
  <c r="R68" i="70"/>
  <c r="K69" i="79" s="1"/>
  <c r="L69" i="79" s="1"/>
  <c r="R70" i="48"/>
  <c r="K71" i="36" s="1"/>
  <c r="L71" i="36" s="1"/>
  <c r="R37" i="65"/>
  <c r="R44" i="72"/>
  <c r="R15" i="47"/>
  <c r="R50" i="48"/>
  <c r="T50" i="48" s="1"/>
  <c r="R65" i="70"/>
  <c r="K66" i="79" s="1"/>
  <c r="L66" i="79" s="1"/>
  <c r="R34" i="72"/>
  <c r="J49" i="66"/>
  <c r="G50" i="75" s="1"/>
  <c r="H50" i="75" s="1"/>
  <c r="R66" i="73"/>
  <c r="K67" i="82" s="1"/>
  <c r="L67" i="82" s="1"/>
  <c r="J29" i="47"/>
  <c r="L29" i="47" s="1"/>
  <c r="J52" i="70"/>
  <c r="L52" i="70" s="1"/>
  <c r="J70" i="73"/>
  <c r="G71" i="82" s="1"/>
  <c r="H71" i="82" s="1"/>
  <c r="R33" i="49"/>
  <c r="J33" i="49"/>
  <c r="J24" i="68"/>
  <c r="J53" i="49"/>
  <c r="G54" i="37" s="1"/>
  <c r="H54" i="37" s="1"/>
  <c r="R49" i="47"/>
  <c r="K50" i="35" s="1"/>
  <c r="L50" i="35" s="1"/>
  <c r="R38" i="46"/>
  <c r="J56" i="49"/>
  <c r="L56" i="49" s="1"/>
  <c r="J52" i="47"/>
  <c r="G53" i="35" s="1"/>
  <c r="H53" i="35" s="1"/>
  <c r="J72" i="48"/>
  <c r="L72" i="48" s="1"/>
  <c r="R39" i="47"/>
  <c r="K40" i="35" s="1"/>
  <c r="L40" i="35" s="1"/>
  <c r="R44" i="48"/>
  <c r="R65" i="65"/>
  <c r="T65" i="65" s="1"/>
  <c r="R27" i="48"/>
  <c r="K28" i="36" s="1"/>
  <c r="L28" i="36" s="1"/>
  <c r="J18" i="49"/>
  <c r="L18" i="49" s="1"/>
  <c r="J41" i="65"/>
  <c r="J71" i="67"/>
  <c r="R63" i="69"/>
  <c r="T63" i="69" s="1"/>
  <c r="J72" i="46"/>
  <c r="L72" i="46" s="1"/>
  <c r="R24" i="48"/>
  <c r="R28" i="65"/>
  <c r="T28" i="65" s="1"/>
  <c r="J71" i="66"/>
  <c r="L71" i="66" s="1"/>
  <c r="J43" i="66"/>
  <c r="G44" i="75" s="1"/>
  <c r="H44" i="75" s="1"/>
  <c r="R25" i="48"/>
  <c r="K26" i="36" s="1"/>
  <c r="L26" i="36" s="1"/>
  <c r="J57" i="47"/>
  <c r="L57" i="47" s="1"/>
  <c r="R27" i="47"/>
  <c r="K28" i="35" s="1"/>
  <c r="L28" i="35" s="1"/>
  <c r="R58" i="70"/>
  <c r="J40" i="65"/>
  <c r="L40" i="65" s="1"/>
  <c r="R45" i="72"/>
  <c r="R41" i="70"/>
  <c r="J60" i="47"/>
  <c r="L60" i="47" s="1"/>
  <c r="J48" i="73"/>
  <c r="L48" i="73" s="1"/>
  <c r="R63" i="73"/>
  <c r="T63" i="73" s="1"/>
  <c r="J36" i="69"/>
  <c r="R21" i="67"/>
  <c r="K22" i="76" s="1"/>
  <c r="L22" i="76" s="1"/>
  <c r="R63" i="48"/>
  <c r="K64" i="36" s="1"/>
  <c r="L64" i="36" s="1"/>
  <c r="J30" i="69"/>
  <c r="G31" i="78" s="1"/>
  <c r="H31" i="78" s="1"/>
  <c r="J61" i="72"/>
  <c r="G62" i="81" s="1"/>
  <c r="H62" i="81" s="1"/>
  <c r="R56" i="66"/>
  <c r="J43" i="72"/>
  <c r="R33" i="70"/>
  <c r="K34" i="79" s="1"/>
  <c r="L34" i="79" s="1"/>
  <c r="J40" i="46"/>
  <c r="G41" i="34" s="1"/>
  <c r="H41" i="34" s="1"/>
  <c r="R45" i="47"/>
  <c r="T45" i="47" s="1"/>
  <c r="R46" i="48"/>
  <c r="R32" i="67"/>
  <c r="T32" i="67" s="1"/>
  <c r="R15" i="70"/>
  <c r="K16" i="79" s="1"/>
  <c r="R42" i="70"/>
  <c r="T42" i="70" s="1"/>
  <c r="J38" i="46"/>
  <c r="R19" i="66"/>
  <c r="K20" i="75" s="1"/>
  <c r="L20" i="75" s="1"/>
  <c r="R20" i="48"/>
  <c r="T20" i="48" s="1"/>
  <c r="R63" i="70"/>
  <c r="T63" i="70" s="1"/>
  <c r="R29" i="71"/>
  <c r="J51" i="48"/>
  <c r="G52" i="36" s="1"/>
  <c r="H52" i="36" s="1"/>
  <c r="J18" i="67"/>
  <c r="R47" i="47"/>
  <c r="T47" i="47" s="1"/>
  <c r="J45" i="49"/>
  <c r="G46" i="37" s="1"/>
  <c r="H46" i="37" s="1"/>
  <c r="J57" i="49"/>
  <c r="G58" i="37" s="1"/>
  <c r="H58" i="37" s="1"/>
  <c r="J41" i="66"/>
  <c r="R42" i="73"/>
  <c r="K43" i="82" s="1"/>
  <c r="L43" i="82" s="1"/>
  <c r="J63" i="46"/>
  <c r="L63" i="46" s="1"/>
  <c r="R57" i="47"/>
  <c r="K58" i="35" s="1"/>
  <c r="L58" i="35" s="1"/>
  <c r="J54" i="46"/>
  <c r="L54" i="46" s="1"/>
  <c r="R45" i="46"/>
  <c r="K46" i="34" s="1"/>
  <c r="L46" i="34" s="1"/>
  <c r="R53" i="49"/>
  <c r="J21" i="47"/>
  <c r="L21" i="47" s="1"/>
  <c r="J52" i="49"/>
  <c r="G53" i="37" s="1"/>
  <c r="H53" i="37" s="1"/>
  <c r="R59" i="49"/>
  <c r="R38" i="65"/>
  <c r="J20" i="46"/>
  <c r="L20" i="46" s="1"/>
  <c r="J73" i="49"/>
  <c r="J72" i="47"/>
  <c r="L72" i="47" s="1"/>
  <c r="R48" i="68"/>
  <c r="J36" i="67"/>
  <c r="G37" i="76" s="1"/>
  <c r="H37" i="76" s="1"/>
  <c r="R26" i="48"/>
  <c r="T26" i="48" s="1"/>
  <c r="J64" i="47"/>
  <c r="G65" i="35" s="1"/>
  <c r="H65" i="35" s="1"/>
  <c r="J15" i="47"/>
  <c r="G16" i="35" s="1"/>
  <c r="R52" i="66"/>
  <c r="R54" i="73"/>
  <c r="T54" i="73" s="1"/>
  <c r="J32" i="69"/>
  <c r="J41" i="68"/>
  <c r="L41" i="68" s="1"/>
  <c r="J31" i="46"/>
  <c r="G32" i="34" s="1"/>
  <c r="H32" i="34" s="1"/>
  <c r="R46" i="68"/>
  <c r="K47" i="77" s="1"/>
  <c r="L47" i="77" s="1"/>
  <c r="R31" i="70"/>
  <c r="K32" i="79" s="1"/>
  <c r="L32" i="79" s="1"/>
  <c r="J102" i="29"/>
  <c r="K102" i="29" s="1"/>
  <c r="D12" i="52"/>
  <c r="F12" i="52" s="1"/>
  <c r="G32" i="81"/>
  <c r="H32" i="81" s="1"/>
  <c r="L31" i="72"/>
  <c r="K31" i="81"/>
  <c r="L31" i="81" s="1"/>
  <c r="K24" i="34"/>
  <c r="L24" i="34" s="1"/>
  <c r="T23" i="46"/>
  <c r="K18" i="81"/>
  <c r="L18" i="81" s="1"/>
  <c r="T17" i="72"/>
  <c r="K64" i="81"/>
  <c r="L64" i="81" s="1"/>
  <c r="T63" i="72"/>
  <c r="K68" i="36"/>
  <c r="L68" i="36" s="1"/>
  <c r="T67" i="48"/>
  <c r="L69" i="47" l="1"/>
  <c r="T19" i="69"/>
  <c r="K68" i="74"/>
  <c r="L68" i="74" s="1"/>
  <c r="K56" i="76"/>
  <c r="L56" i="76" s="1"/>
  <c r="K27" i="35"/>
  <c r="L27" i="35" s="1"/>
  <c r="T30" i="65"/>
  <c r="T68" i="49"/>
  <c r="G19" i="81"/>
  <c r="H19" i="81" s="1"/>
  <c r="T69" i="69"/>
  <c r="L65" i="46"/>
  <c r="L31" i="69"/>
  <c r="T40" i="65"/>
  <c r="K17" i="75"/>
  <c r="L17" i="75" s="1"/>
  <c r="K36" i="79"/>
  <c r="L36" i="79" s="1"/>
  <c r="T57" i="73"/>
  <c r="L72" i="70"/>
  <c r="T36" i="67"/>
  <c r="K62" i="35"/>
  <c r="L62" i="35" s="1"/>
  <c r="T54" i="66"/>
  <c r="L51" i="72"/>
  <c r="L35" i="67"/>
  <c r="T65" i="73"/>
  <c r="K19" i="76"/>
  <c r="L19" i="76" s="1"/>
  <c r="K24" i="77"/>
  <c r="L24" i="77" s="1"/>
  <c r="T48" i="65"/>
  <c r="K41" i="82"/>
  <c r="L41" i="82" s="1"/>
  <c r="L56" i="69"/>
  <c r="K71" i="79"/>
  <c r="L71" i="79" s="1"/>
  <c r="L34" i="48"/>
  <c r="G24" i="79"/>
  <c r="H24" i="79" s="1"/>
  <c r="K28" i="37"/>
  <c r="L28" i="37" s="1"/>
  <c r="T28" i="46"/>
  <c r="L71" i="72"/>
  <c r="L63" i="69"/>
  <c r="K61" i="81"/>
  <c r="L61" i="81" s="1"/>
  <c r="T31" i="73"/>
  <c r="T50" i="69"/>
  <c r="T58" i="71"/>
  <c r="T23" i="48"/>
  <c r="G31" i="37"/>
  <c r="H31" i="37" s="1"/>
  <c r="T52" i="72"/>
  <c r="G65" i="82"/>
  <c r="H65" i="82" s="1"/>
  <c r="T19" i="71"/>
  <c r="L60" i="49"/>
  <c r="L29" i="69"/>
  <c r="K48" i="36"/>
  <c r="L48" i="36" s="1"/>
  <c r="L59" i="68"/>
  <c r="T15" i="66"/>
  <c r="T19" i="73"/>
  <c r="K47" i="82"/>
  <c r="L47" i="82" s="1"/>
  <c r="T17" i="46"/>
  <c r="T47" i="72"/>
  <c r="K44" i="81"/>
  <c r="L44" i="81" s="1"/>
  <c r="K34" i="81"/>
  <c r="L34" i="81" s="1"/>
  <c r="L24" i="66"/>
  <c r="G32" i="76"/>
  <c r="H32" i="76" s="1"/>
  <c r="T37" i="71"/>
  <c r="K20" i="37"/>
  <c r="L20" i="37" s="1"/>
  <c r="L52" i="65"/>
  <c r="K19" i="75"/>
  <c r="L19" i="75" s="1"/>
  <c r="L55" i="72"/>
  <c r="T51" i="70"/>
  <c r="K33" i="81"/>
  <c r="L33" i="81" s="1"/>
  <c r="G55" i="74"/>
  <c r="H55" i="74" s="1"/>
  <c r="G22" i="78"/>
  <c r="H22" i="78" s="1"/>
  <c r="L46" i="70"/>
  <c r="T36" i="73"/>
  <c r="T60" i="48"/>
  <c r="T72" i="48"/>
  <c r="L19" i="70"/>
  <c r="T20" i="65"/>
  <c r="L48" i="69"/>
  <c r="T18" i="71"/>
  <c r="K47" i="75"/>
  <c r="L47" i="75" s="1"/>
  <c r="K30" i="74"/>
  <c r="L30" i="74" s="1"/>
  <c r="T31" i="48"/>
  <c r="L46" i="49"/>
  <c r="L68" i="70"/>
  <c r="K59" i="35"/>
  <c r="L59" i="35" s="1"/>
  <c r="K26" i="37"/>
  <c r="L26" i="37" s="1"/>
  <c r="T59" i="47"/>
  <c r="T23" i="49"/>
  <c r="K61" i="80"/>
  <c r="L61" i="80" s="1"/>
  <c r="G32" i="75"/>
  <c r="H32" i="75" s="1"/>
  <c r="G65" i="36"/>
  <c r="H65" i="36" s="1"/>
  <c r="L52" i="47"/>
  <c r="T63" i="46"/>
  <c r="T23" i="70"/>
  <c r="G34" i="76"/>
  <c r="H34" i="76" s="1"/>
  <c r="T29" i="46"/>
  <c r="L41" i="70"/>
  <c r="G50" i="78"/>
  <c r="H50" i="78" s="1"/>
  <c r="G46" i="81"/>
  <c r="H46" i="81" s="1"/>
  <c r="T56" i="69"/>
  <c r="K40" i="80"/>
  <c r="L40" i="80" s="1"/>
  <c r="G63" i="37"/>
  <c r="H63" i="37" s="1"/>
  <c r="T59" i="66"/>
  <c r="L69" i="65"/>
  <c r="K29" i="35"/>
  <c r="L29" i="35" s="1"/>
  <c r="K61" i="77"/>
  <c r="L61" i="77" s="1"/>
  <c r="L68" i="69"/>
  <c r="T46" i="49"/>
  <c r="K38" i="34"/>
  <c r="L38" i="34" s="1"/>
  <c r="G16" i="36"/>
  <c r="H16" i="36" s="1"/>
  <c r="T35" i="65"/>
  <c r="G32" i="37"/>
  <c r="H32" i="37" s="1"/>
  <c r="G42" i="34"/>
  <c r="H42" i="34" s="1"/>
  <c r="G38" i="74"/>
  <c r="H38" i="74" s="1"/>
  <c r="G71" i="75"/>
  <c r="H71" i="75" s="1"/>
  <c r="T39" i="67"/>
  <c r="G19" i="74"/>
  <c r="H19" i="74" s="1"/>
  <c r="K59" i="36"/>
  <c r="L59" i="36" s="1"/>
  <c r="T46" i="69"/>
  <c r="K46" i="35"/>
  <c r="L46" i="35" s="1"/>
  <c r="T25" i="69"/>
  <c r="L72" i="65"/>
  <c r="L32" i="49"/>
  <c r="L37" i="73"/>
  <c r="G64" i="80"/>
  <c r="H64" i="80" s="1"/>
  <c r="G18" i="81"/>
  <c r="H18" i="81" s="1"/>
  <c r="T18" i="46"/>
  <c r="G56" i="36"/>
  <c r="H56" i="36" s="1"/>
  <c r="T28" i="67"/>
  <c r="K72" i="76"/>
  <c r="L72" i="76" s="1"/>
  <c r="T62" i="66"/>
  <c r="G27" i="78"/>
  <c r="H27" i="78" s="1"/>
  <c r="K63" i="77"/>
  <c r="L63" i="77" s="1"/>
  <c r="L57" i="73"/>
  <c r="T56" i="49"/>
  <c r="K63" i="35"/>
  <c r="L63" i="35" s="1"/>
  <c r="K60" i="79"/>
  <c r="L60" i="79" s="1"/>
  <c r="G28" i="37"/>
  <c r="H28" i="37" s="1"/>
  <c r="T38" i="70"/>
  <c r="G62" i="37"/>
  <c r="H62" i="37" s="1"/>
  <c r="G67" i="78"/>
  <c r="H67" i="78" s="1"/>
  <c r="L57" i="49"/>
  <c r="G59" i="81"/>
  <c r="H59" i="81" s="1"/>
  <c r="T38" i="72"/>
  <c r="L44" i="46"/>
  <c r="L69" i="48"/>
  <c r="L60" i="69"/>
  <c r="L55" i="46"/>
  <c r="G42" i="76"/>
  <c r="H42" i="76" s="1"/>
  <c r="K18" i="79"/>
  <c r="L18" i="79" s="1"/>
  <c r="L50" i="73"/>
  <c r="K72" i="34"/>
  <c r="L72" i="34" s="1"/>
  <c r="K35" i="77"/>
  <c r="L35" i="77" s="1"/>
  <c r="L60" i="46"/>
  <c r="L24" i="46"/>
  <c r="K22" i="82"/>
  <c r="L22" i="82" s="1"/>
  <c r="T21" i="68"/>
  <c r="K30" i="81"/>
  <c r="L30" i="81" s="1"/>
  <c r="L27" i="68"/>
  <c r="G35" i="78"/>
  <c r="H35" i="78" s="1"/>
  <c r="T65" i="47"/>
  <c r="L43" i="47"/>
  <c r="G37" i="80"/>
  <c r="H37" i="80" s="1"/>
  <c r="T49" i="67"/>
  <c r="L66" i="67"/>
  <c r="G28" i="79"/>
  <c r="H28" i="79" s="1"/>
  <c r="T66" i="73"/>
  <c r="L47" i="72"/>
  <c r="T69" i="71"/>
  <c r="L56" i="68"/>
  <c r="L50" i="48"/>
  <c r="G19" i="35"/>
  <c r="H19" i="35" s="1"/>
  <c r="T51" i="48"/>
  <c r="L58" i="46"/>
  <c r="G52" i="80"/>
  <c r="H52" i="80" s="1"/>
  <c r="G31" i="79"/>
  <c r="H31" i="79" s="1"/>
  <c r="K25" i="76"/>
  <c r="L25" i="76" s="1"/>
  <c r="L62" i="46"/>
  <c r="T24" i="70"/>
  <c r="G62" i="78"/>
  <c r="H62" i="78" s="1"/>
  <c r="T30" i="49"/>
  <c r="L45" i="67"/>
  <c r="K40" i="36"/>
  <c r="L40" i="36" s="1"/>
  <c r="G36" i="74"/>
  <c r="H36" i="74" s="1"/>
  <c r="G62" i="82"/>
  <c r="H62" i="82" s="1"/>
  <c r="L65" i="65"/>
  <c r="K64" i="78"/>
  <c r="L64" i="78" s="1"/>
  <c r="G51" i="81"/>
  <c r="H51" i="81" s="1"/>
  <c r="T24" i="49"/>
  <c r="G63" i="75"/>
  <c r="H63" i="75" s="1"/>
  <c r="G64" i="79"/>
  <c r="H64" i="79" s="1"/>
  <c r="G44" i="77"/>
  <c r="H44" i="77" s="1"/>
  <c r="T47" i="65"/>
  <c r="K44" i="78"/>
  <c r="L44" i="78" s="1"/>
  <c r="T20" i="68"/>
  <c r="L34" i="66"/>
  <c r="G42" i="36"/>
  <c r="H42" i="36" s="1"/>
  <c r="K73" i="82"/>
  <c r="L73" i="82" s="1"/>
  <c r="K21" i="75"/>
  <c r="L21" i="75" s="1"/>
  <c r="G60" i="82"/>
  <c r="H60" i="82" s="1"/>
  <c r="L59" i="49"/>
  <c r="G71" i="36"/>
  <c r="H71" i="36" s="1"/>
  <c r="G42" i="77"/>
  <c r="H42" i="77" s="1"/>
  <c r="K54" i="80"/>
  <c r="L54" i="80" s="1"/>
  <c r="G20" i="34"/>
  <c r="H20" i="34" s="1"/>
  <c r="G23" i="37"/>
  <c r="H23" i="37" s="1"/>
  <c r="G72" i="37"/>
  <c r="H72" i="37" s="1"/>
  <c r="K30" i="82"/>
  <c r="L30" i="82" s="1"/>
  <c r="L39" i="48"/>
  <c r="L32" i="65"/>
  <c r="T50" i="49"/>
  <c r="L36" i="49"/>
  <c r="L52" i="73"/>
  <c r="L63" i="49"/>
  <c r="L35" i="48"/>
  <c r="G39" i="35"/>
  <c r="H39" i="35" s="1"/>
  <c r="L47" i="69"/>
  <c r="L72" i="49"/>
  <c r="K18" i="77"/>
  <c r="L18" i="77" s="1"/>
  <c r="L60" i="71"/>
  <c r="G17" i="81"/>
  <c r="H17" i="81" s="1"/>
  <c r="T23" i="72"/>
  <c r="L18" i="71"/>
  <c r="K22" i="80"/>
  <c r="L22" i="80" s="1"/>
  <c r="G16" i="80"/>
  <c r="H16" i="80" s="1"/>
  <c r="T55" i="68"/>
  <c r="K30" i="37"/>
  <c r="L30" i="37" s="1"/>
  <c r="T67" i="47"/>
  <c r="L69" i="73"/>
  <c r="K62" i="37"/>
  <c r="L62" i="37" s="1"/>
  <c r="T19" i="72"/>
  <c r="L29" i="49"/>
  <c r="T53" i="47"/>
  <c r="T62" i="49"/>
  <c r="T65" i="70"/>
  <c r="T16" i="65"/>
  <c r="T42" i="46"/>
  <c r="T36" i="68"/>
  <c r="L48" i="65"/>
  <c r="G58" i="77"/>
  <c r="H58" i="77" s="1"/>
  <c r="L40" i="70"/>
  <c r="G67" i="74"/>
  <c r="H67" i="74" s="1"/>
  <c r="G43" i="80"/>
  <c r="H43" i="80" s="1"/>
  <c r="T42" i="67"/>
  <c r="L51" i="49"/>
  <c r="G20" i="37"/>
  <c r="H20" i="37" s="1"/>
  <c r="L63" i="48"/>
  <c r="K71" i="81"/>
  <c r="L71" i="81" s="1"/>
  <c r="G28" i="75"/>
  <c r="H28" i="75" s="1"/>
  <c r="K48" i="35"/>
  <c r="L48" i="35" s="1"/>
  <c r="T53" i="69"/>
  <c r="L34" i="73"/>
  <c r="T30" i="73"/>
  <c r="G67" i="80"/>
  <c r="H67" i="80" s="1"/>
  <c r="L66" i="71"/>
  <c r="G66" i="80"/>
  <c r="H66" i="80" s="1"/>
  <c r="L65" i="71"/>
  <c r="G23" i="76"/>
  <c r="H23" i="76" s="1"/>
  <c r="L22" i="67"/>
  <c r="T45" i="73"/>
  <c r="K46" i="82"/>
  <c r="L46" i="82" s="1"/>
  <c r="K60" i="36"/>
  <c r="L60" i="36" s="1"/>
  <c r="T59" i="48"/>
  <c r="K35" i="82"/>
  <c r="L35" i="82" s="1"/>
  <c r="T34" i="73"/>
  <c r="K49" i="82"/>
  <c r="L49" i="82" s="1"/>
  <c r="T48" i="73"/>
  <c r="G42" i="80"/>
  <c r="H42" i="80" s="1"/>
  <c r="L41" i="71"/>
  <c r="L63" i="67"/>
  <c r="G64" i="76"/>
  <c r="H64" i="76" s="1"/>
  <c r="T20" i="47"/>
  <c r="K21" i="35"/>
  <c r="L21" i="35" s="1"/>
  <c r="L40" i="48"/>
  <c r="G41" i="36"/>
  <c r="H41" i="36" s="1"/>
  <c r="G44" i="74"/>
  <c r="H44" i="74" s="1"/>
  <c r="L43" i="65"/>
  <c r="T18" i="73"/>
  <c r="K58" i="37"/>
  <c r="L58" i="37" s="1"/>
  <c r="G29" i="34"/>
  <c r="H29" i="34" s="1"/>
  <c r="L28" i="46"/>
  <c r="L58" i="70"/>
  <c r="G59" i="79"/>
  <c r="H59" i="79" s="1"/>
  <c r="G47" i="80"/>
  <c r="H47" i="80" s="1"/>
  <c r="L46" i="71"/>
  <c r="L70" i="46"/>
  <c r="G71" i="34"/>
  <c r="H71" i="34" s="1"/>
  <c r="L41" i="72"/>
  <c r="G42" i="81"/>
  <c r="H42" i="81" s="1"/>
  <c r="L68" i="46"/>
  <c r="K30" i="77"/>
  <c r="L30" i="77" s="1"/>
  <c r="T62" i="69"/>
  <c r="T46" i="68"/>
  <c r="L15" i="72"/>
  <c r="T22" i="48"/>
  <c r="K23" i="36"/>
  <c r="L23" i="36" s="1"/>
  <c r="T29" i="48"/>
  <c r="K30" i="36"/>
  <c r="L30" i="36" s="1"/>
  <c r="K23" i="74"/>
  <c r="L23" i="74" s="1"/>
  <c r="T22" i="65"/>
  <c r="L52" i="72"/>
  <c r="G53" i="81"/>
  <c r="H53" i="81" s="1"/>
  <c r="G71" i="35"/>
  <c r="H71" i="35" s="1"/>
  <c r="L70" i="47"/>
  <c r="G16" i="74"/>
  <c r="H16" i="74" s="1"/>
  <c r="L15" i="65"/>
  <c r="L50" i="47"/>
  <c r="K43" i="75"/>
  <c r="L43" i="75" s="1"/>
  <c r="L41" i="66"/>
  <c r="G42" i="75"/>
  <c r="H42" i="75" s="1"/>
  <c r="K26" i="74"/>
  <c r="L26" i="74" s="1"/>
  <c r="T25" i="65"/>
  <c r="T32" i="66"/>
  <c r="K33" i="75"/>
  <c r="L33" i="75" s="1"/>
  <c r="K55" i="76"/>
  <c r="L55" i="76" s="1"/>
  <c r="K49" i="75"/>
  <c r="L49" i="75" s="1"/>
  <c r="T48" i="66"/>
  <c r="T33" i="69"/>
  <c r="K34" i="78"/>
  <c r="L34" i="78" s="1"/>
  <c r="G72" i="34"/>
  <c r="H72" i="34" s="1"/>
  <c r="L71" i="46"/>
  <c r="L42" i="72"/>
  <c r="G43" i="81"/>
  <c r="H43" i="81" s="1"/>
  <c r="G31" i="81"/>
  <c r="H31" i="81" s="1"/>
  <c r="L30" i="72"/>
  <c r="T71" i="73"/>
  <c r="K72" i="82"/>
  <c r="L72" i="82" s="1"/>
  <c r="K67" i="80"/>
  <c r="L67" i="80" s="1"/>
  <c r="T66" i="71"/>
  <c r="K70" i="77"/>
  <c r="L70" i="77" s="1"/>
  <c r="T69" i="68"/>
  <c r="L33" i="71"/>
  <c r="G34" i="80"/>
  <c r="H34" i="80" s="1"/>
  <c r="T15" i="72"/>
  <c r="G20" i="75"/>
  <c r="H20" i="75" s="1"/>
  <c r="T54" i="46"/>
  <c r="K34" i="77"/>
  <c r="L34" i="77" s="1"/>
  <c r="T22" i="68"/>
  <c r="K42" i="77"/>
  <c r="L42" i="77" s="1"/>
  <c r="K56" i="35"/>
  <c r="L56" i="35" s="1"/>
  <c r="L61" i="46"/>
  <c r="L59" i="70"/>
  <c r="T26" i="69"/>
  <c r="T15" i="70"/>
  <c r="T30" i="67"/>
  <c r="K31" i="76"/>
  <c r="L31" i="76" s="1"/>
  <c r="L30" i="48"/>
  <c r="G31" i="36"/>
  <c r="H31" i="36" s="1"/>
  <c r="T50" i="72"/>
  <c r="K51" i="81"/>
  <c r="L51" i="81" s="1"/>
  <c r="G65" i="34"/>
  <c r="H65" i="34" s="1"/>
  <c r="L64" i="46"/>
  <c r="T59" i="71"/>
  <c r="K60" i="80"/>
  <c r="L60" i="80" s="1"/>
  <c r="G40" i="37"/>
  <c r="H40" i="37" s="1"/>
  <c r="L39" i="49"/>
  <c r="G40" i="79"/>
  <c r="H40" i="79" s="1"/>
  <c r="L39" i="70"/>
  <c r="K39" i="75"/>
  <c r="L39" i="75" s="1"/>
  <c r="T38" i="66"/>
  <c r="T36" i="69"/>
  <c r="L69" i="69"/>
  <c r="L68" i="71"/>
  <c r="G69" i="80"/>
  <c r="H69" i="80" s="1"/>
  <c r="K68" i="78"/>
  <c r="L68" i="78" s="1"/>
  <c r="T67" i="69"/>
  <c r="L46" i="73"/>
  <c r="G47" i="82"/>
  <c r="H47" i="82" s="1"/>
  <c r="K29" i="77"/>
  <c r="L29" i="77" s="1"/>
  <c r="G30" i="34"/>
  <c r="H30" i="34" s="1"/>
  <c r="L29" i="46"/>
  <c r="L50" i="67"/>
  <c r="G51" i="76"/>
  <c r="H51" i="76" s="1"/>
  <c r="K65" i="78"/>
  <c r="L65" i="78" s="1"/>
  <c r="T64" i="69"/>
  <c r="G50" i="76"/>
  <c r="H50" i="76" s="1"/>
  <c r="L61" i="70"/>
  <c r="G72" i="75"/>
  <c r="H72" i="75" s="1"/>
  <c r="L25" i="49"/>
  <c r="G26" i="37"/>
  <c r="H26" i="37" s="1"/>
  <c r="K56" i="37"/>
  <c r="L56" i="37" s="1"/>
  <c r="G53" i="36"/>
  <c r="H53" i="36" s="1"/>
  <c r="L53" i="67"/>
  <c r="T61" i="66"/>
  <c r="K62" i="75"/>
  <c r="L62" i="75" s="1"/>
  <c r="T50" i="70"/>
  <c r="K51" i="79"/>
  <c r="L51" i="79" s="1"/>
  <c r="L63" i="66"/>
  <c r="G64" i="75"/>
  <c r="H64" i="75" s="1"/>
  <c r="T59" i="72"/>
  <c r="K60" i="81"/>
  <c r="L60" i="81" s="1"/>
  <c r="G73" i="82"/>
  <c r="H73" i="82" s="1"/>
  <c r="L72" i="73"/>
  <c r="K64" i="37"/>
  <c r="L64" i="37" s="1"/>
  <c r="T63" i="49"/>
  <c r="T42" i="71"/>
  <c r="K43" i="80"/>
  <c r="L43" i="80" s="1"/>
  <c r="K69" i="82"/>
  <c r="L69" i="82" s="1"/>
  <c r="L42" i="70"/>
  <c r="G31" i="34"/>
  <c r="H31" i="34" s="1"/>
  <c r="T24" i="68"/>
  <c r="L41" i="73"/>
  <c r="T23" i="65"/>
  <c r="L34" i="67"/>
  <c r="L17" i="66"/>
  <c r="T21" i="49"/>
  <c r="K53" i="80"/>
  <c r="L53" i="80" s="1"/>
  <c r="T44" i="68"/>
  <c r="K27" i="82"/>
  <c r="L27" i="82" s="1"/>
  <c r="T35" i="46"/>
  <c r="K36" i="34"/>
  <c r="L36" i="34" s="1"/>
  <c r="T31" i="69"/>
  <c r="K32" i="78"/>
  <c r="L32" i="78" s="1"/>
  <c r="L53" i="70"/>
  <c r="G54" i="79"/>
  <c r="H54" i="79" s="1"/>
  <c r="K33" i="34"/>
  <c r="L33" i="34" s="1"/>
  <c r="T32" i="46"/>
  <c r="T17" i="49"/>
  <c r="K18" i="37"/>
  <c r="L18" i="37" s="1"/>
  <c r="T65" i="72"/>
  <c r="K66" i="81"/>
  <c r="L66" i="81" s="1"/>
  <c r="L21" i="49"/>
  <c r="G22" i="37"/>
  <c r="H22" i="37" s="1"/>
  <c r="G22" i="76"/>
  <c r="H22" i="76" s="1"/>
  <c r="L21" i="67"/>
  <c r="G37" i="75"/>
  <c r="H37" i="75" s="1"/>
  <c r="L36" i="66"/>
  <c r="G41" i="75"/>
  <c r="H41" i="75" s="1"/>
  <c r="L40" i="66"/>
  <c r="L24" i="67"/>
  <c r="G25" i="76"/>
  <c r="H25" i="76" s="1"/>
  <c r="L36" i="69"/>
  <c r="G37" i="78"/>
  <c r="H37" i="78" s="1"/>
  <c r="G58" i="74"/>
  <c r="H58" i="74" s="1"/>
  <c r="L57" i="65"/>
  <c r="G34" i="77"/>
  <c r="H34" i="77" s="1"/>
  <c r="G17" i="77"/>
  <c r="H17" i="77" s="1"/>
  <c r="L16" i="68"/>
  <c r="K36" i="75"/>
  <c r="L36" i="75" s="1"/>
  <c r="T35" i="66"/>
  <c r="T45" i="70"/>
  <c r="K46" i="79"/>
  <c r="L46" i="79" s="1"/>
  <c r="G25" i="80"/>
  <c r="H25" i="80" s="1"/>
  <c r="L24" i="71"/>
  <c r="G21" i="80"/>
  <c r="H21" i="80" s="1"/>
  <c r="L20" i="71"/>
  <c r="K36" i="78"/>
  <c r="L36" i="78" s="1"/>
  <c r="T35" i="69"/>
  <c r="K46" i="80"/>
  <c r="L46" i="80" s="1"/>
  <c r="T45" i="71"/>
  <c r="T15" i="65"/>
  <c r="K16" i="74"/>
  <c r="L16" i="74" s="1"/>
  <c r="T65" i="69"/>
  <c r="K66" i="78"/>
  <c r="L66" i="78" s="1"/>
  <c r="K44" i="80"/>
  <c r="L44" i="80" s="1"/>
  <c r="T43" i="71"/>
  <c r="L27" i="47"/>
  <c r="G28" i="35"/>
  <c r="H28" i="35" s="1"/>
  <c r="G40" i="82"/>
  <c r="H40" i="82" s="1"/>
  <c r="L39" i="73"/>
  <c r="L71" i="70"/>
  <c r="G72" i="79"/>
  <c r="H72" i="79" s="1"/>
  <c r="K20" i="77"/>
  <c r="L20" i="77" s="1"/>
  <c r="T19" i="68"/>
  <c r="L45" i="73"/>
  <c r="G46" i="82"/>
  <c r="H46" i="82" s="1"/>
  <c r="T47" i="69"/>
  <c r="K48" i="78"/>
  <c r="L48" i="78" s="1"/>
  <c r="T26" i="68"/>
  <c r="K27" i="77"/>
  <c r="L27" i="77" s="1"/>
  <c r="K51" i="76"/>
  <c r="L51" i="76" s="1"/>
  <c r="L38" i="68"/>
  <c r="L49" i="48"/>
  <c r="G23" i="34"/>
  <c r="H23" i="34" s="1"/>
  <c r="L26" i="66"/>
  <c r="L63" i="68"/>
  <c r="K57" i="80"/>
  <c r="L57" i="80" s="1"/>
  <c r="L62" i="73"/>
  <c r="K49" i="78"/>
  <c r="L49" i="78" s="1"/>
  <c r="K18" i="75"/>
  <c r="L18" i="75" s="1"/>
  <c r="G57" i="82"/>
  <c r="H57" i="82" s="1"/>
  <c r="G58" i="34"/>
  <c r="H58" i="34" s="1"/>
  <c r="K45" i="75"/>
  <c r="L45" i="75" s="1"/>
  <c r="G19" i="82"/>
  <c r="H19" i="82" s="1"/>
  <c r="G34" i="35"/>
  <c r="H34" i="35" s="1"/>
  <c r="K53" i="82"/>
  <c r="L53" i="82" s="1"/>
  <c r="L21" i="72"/>
  <c r="L49" i="70"/>
  <c r="K69" i="34"/>
  <c r="L69" i="34" s="1"/>
  <c r="L28" i="70"/>
  <c r="T18" i="69"/>
  <c r="T33" i="46"/>
  <c r="K54" i="79"/>
  <c r="L54" i="79" s="1"/>
  <c r="G24" i="34"/>
  <c r="H24" i="34" s="1"/>
  <c r="L28" i="73"/>
  <c r="L22" i="70"/>
  <c r="G52" i="77"/>
  <c r="H52" i="77" s="1"/>
  <c r="L28" i="47"/>
  <c r="G56" i="80"/>
  <c r="H56" i="80" s="1"/>
  <c r="T23" i="73"/>
  <c r="T72" i="69"/>
  <c r="L48" i="46"/>
  <c r="K49" i="34"/>
  <c r="L49" i="34" s="1"/>
  <c r="G49" i="77"/>
  <c r="H49" i="77" s="1"/>
  <c r="T21" i="72"/>
  <c r="K35" i="75"/>
  <c r="L35" i="75" s="1"/>
  <c r="G69" i="76"/>
  <c r="H69" i="76" s="1"/>
  <c r="L71" i="71"/>
  <c r="G70" i="81"/>
  <c r="H70" i="81" s="1"/>
  <c r="K23" i="37"/>
  <c r="L23" i="37" s="1"/>
  <c r="T64" i="46"/>
  <c r="T41" i="72"/>
  <c r="T46" i="70"/>
  <c r="K61" i="82"/>
  <c r="L61" i="82" s="1"/>
  <c r="L48" i="67"/>
  <c r="L37" i="71"/>
  <c r="K38" i="78"/>
  <c r="L38" i="78" s="1"/>
  <c r="T56" i="72"/>
  <c r="L55" i="65"/>
  <c r="L38" i="48"/>
  <c r="T49" i="72"/>
  <c r="K62" i="81"/>
  <c r="L62" i="81" s="1"/>
  <c r="L24" i="73"/>
  <c r="L24" i="72"/>
  <c r="G25" i="36"/>
  <c r="H25" i="36" s="1"/>
  <c r="K58" i="77"/>
  <c r="L58" i="77" s="1"/>
  <c r="L23" i="71"/>
  <c r="L59" i="46"/>
  <c r="L28" i="67"/>
  <c r="K30" i="75"/>
  <c r="L30" i="75" s="1"/>
  <c r="K42" i="80"/>
  <c r="L42" i="80" s="1"/>
  <c r="T47" i="68"/>
  <c r="K61" i="79"/>
  <c r="L61" i="79" s="1"/>
  <c r="L19" i="68"/>
  <c r="L57" i="66"/>
  <c r="K66" i="77"/>
  <c r="L66" i="77" s="1"/>
  <c r="K39" i="76"/>
  <c r="L39" i="76" s="1"/>
  <c r="G21" i="77"/>
  <c r="H21" i="77" s="1"/>
  <c r="T16" i="47"/>
  <c r="T67" i="71"/>
  <c r="L53" i="68"/>
  <c r="L28" i="68"/>
  <c r="T22" i="66"/>
  <c r="K50" i="78"/>
  <c r="L50" i="78" s="1"/>
  <c r="L26" i="65"/>
  <c r="T51" i="68"/>
  <c r="T25" i="70"/>
  <c r="T25" i="71"/>
  <c r="L66" i="48"/>
  <c r="T34" i="71"/>
  <c r="T66" i="48"/>
  <c r="L31" i="46"/>
  <c r="G39" i="78"/>
  <c r="H39" i="78" s="1"/>
  <c r="G47" i="36"/>
  <c r="H47" i="36" s="1"/>
  <c r="K34" i="74"/>
  <c r="L34" i="74" s="1"/>
  <c r="T21" i="47"/>
  <c r="T28" i="69"/>
  <c r="T22" i="72"/>
  <c r="G19" i="78"/>
  <c r="H19" i="78" s="1"/>
  <c r="L64" i="66"/>
  <c r="L25" i="47"/>
  <c r="G51" i="77"/>
  <c r="H51" i="77" s="1"/>
  <c r="K31" i="35"/>
  <c r="L31" i="35" s="1"/>
  <c r="K33" i="37"/>
  <c r="L33" i="37" s="1"/>
  <c r="K34" i="35"/>
  <c r="L34" i="35" s="1"/>
  <c r="T54" i="48"/>
  <c r="T21" i="67"/>
  <c r="T27" i="73"/>
  <c r="K34" i="80"/>
  <c r="L34" i="80" s="1"/>
  <c r="G30" i="35"/>
  <c r="H30" i="35" s="1"/>
  <c r="K43" i="79"/>
  <c r="L43" i="79" s="1"/>
  <c r="G46" i="74"/>
  <c r="H46" i="74" s="1"/>
  <c r="T69" i="70"/>
  <c r="L65" i="47"/>
  <c r="K35" i="79"/>
  <c r="L35" i="79" s="1"/>
  <c r="K37" i="36"/>
  <c r="L37" i="36" s="1"/>
  <c r="L22" i="72"/>
  <c r="L70" i="73"/>
  <c r="T42" i="73"/>
  <c r="T61" i="73"/>
  <c r="L54" i="68"/>
  <c r="K50" i="80"/>
  <c r="L50" i="80" s="1"/>
  <c r="T56" i="68"/>
  <c r="L43" i="66"/>
  <c r="G69" i="36"/>
  <c r="H69" i="36" s="1"/>
  <c r="K28" i="81"/>
  <c r="L28" i="81" s="1"/>
  <c r="G62" i="35"/>
  <c r="H62" i="35" s="1"/>
  <c r="T68" i="72"/>
  <c r="T64" i="72"/>
  <c r="L70" i="71"/>
  <c r="K69" i="35"/>
  <c r="L69" i="35" s="1"/>
  <c r="T56" i="48"/>
  <c r="L42" i="46"/>
  <c r="L57" i="70"/>
  <c r="G31" i="80"/>
  <c r="H31" i="80" s="1"/>
  <c r="K23" i="80"/>
  <c r="L23" i="80" s="1"/>
  <c r="L28" i="65"/>
  <c r="K72" i="74"/>
  <c r="L72" i="74" s="1"/>
  <c r="L63" i="47"/>
  <c r="L39" i="67"/>
  <c r="K21" i="37"/>
  <c r="L21" i="37" s="1"/>
  <c r="G38" i="77"/>
  <c r="H38" i="77" s="1"/>
  <c r="G18" i="35"/>
  <c r="H18" i="35" s="1"/>
  <c r="T48" i="49"/>
  <c r="L71" i="68"/>
  <c r="K44" i="77"/>
  <c r="L44" i="77" s="1"/>
  <c r="K24" i="76"/>
  <c r="L24" i="76" s="1"/>
  <c r="G56" i="78"/>
  <c r="H56" i="78" s="1"/>
  <c r="T18" i="49"/>
  <c r="G55" i="75"/>
  <c r="H55" i="75" s="1"/>
  <c r="G44" i="82"/>
  <c r="H44" i="82" s="1"/>
  <c r="T61" i="65"/>
  <c r="L19" i="65"/>
  <c r="K73" i="37"/>
  <c r="L73" i="37" s="1"/>
  <c r="L60" i="66"/>
  <c r="G73" i="78"/>
  <c r="H73" i="78" s="1"/>
  <c r="L65" i="72"/>
  <c r="T71" i="48"/>
  <c r="L22" i="47"/>
  <c r="K29" i="74"/>
  <c r="L29" i="74" s="1"/>
  <c r="L56" i="65"/>
  <c r="K71" i="80"/>
  <c r="L71" i="80" s="1"/>
  <c r="L47" i="73"/>
  <c r="K48" i="76"/>
  <c r="L48" i="76" s="1"/>
  <c r="K26" i="81"/>
  <c r="L26" i="81" s="1"/>
  <c r="K33" i="76"/>
  <c r="L33" i="76" s="1"/>
  <c r="L49" i="66"/>
  <c r="T15" i="73"/>
  <c r="K71" i="76"/>
  <c r="L71" i="76" s="1"/>
  <c r="G66" i="36"/>
  <c r="H66" i="36" s="1"/>
  <c r="T56" i="65"/>
  <c r="T38" i="69"/>
  <c r="K40" i="75"/>
  <c r="L40" i="75" s="1"/>
  <c r="K64" i="82"/>
  <c r="L64" i="82" s="1"/>
  <c r="K42" i="74"/>
  <c r="L42" i="74" s="1"/>
  <c r="T55" i="70"/>
  <c r="G38" i="76"/>
  <c r="H38" i="76" s="1"/>
  <c r="L39" i="65"/>
  <c r="T68" i="69"/>
  <c r="G29" i="80"/>
  <c r="H29" i="80" s="1"/>
  <c r="K55" i="79"/>
  <c r="L55" i="79" s="1"/>
  <c r="G39" i="82"/>
  <c r="H39" i="82" s="1"/>
  <c r="K23" i="76"/>
  <c r="L23" i="76" s="1"/>
  <c r="K28" i="79"/>
  <c r="L28" i="79" s="1"/>
  <c r="G61" i="82"/>
  <c r="H61" i="82" s="1"/>
  <c r="T42" i="47"/>
  <c r="T39" i="47"/>
  <c r="L44" i="71"/>
  <c r="K37" i="74"/>
  <c r="L37" i="74" s="1"/>
  <c r="G21" i="34"/>
  <c r="H21" i="34" s="1"/>
  <c r="K59" i="81"/>
  <c r="L59" i="81" s="1"/>
  <c r="T69" i="67"/>
  <c r="G41" i="76"/>
  <c r="H41" i="76" s="1"/>
  <c r="K65" i="80"/>
  <c r="L65" i="80" s="1"/>
  <c r="T63" i="48"/>
  <c r="L59" i="67"/>
  <c r="L28" i="72"/>
  <c r="K24" i="78"/>
  <c r="L24" i="78" s="1"/>
  <c r="G50" i="82"/>
  <c r="H50" i="82" s="1"/>
  <c r="T19" i="70"/>
  <c r="L56" i="71"/>
  <c r="G73" i="36"/>
  <c r="H73" i="36" s="1"/>
  <c r="K42" i="76"/>
  <c r="L42" i="76" s="1"/>
  <c r="G38" i="79"/>
  <c r="H38" i="79" s="1"/>
  <c r="T42" i="68"/>
  <c r="L70" i="72"/>
  <c r="T38" i="71"/>
  <c r="G40" i="75"/>
  <c r="H40" i="75" s="1"/>
  <c r="G58" i="35"/>
  <c r="H58" i="35" s="1"/>
  <c r="G50" i="80"/>
  <c r="H50" i="80" s="1"/>
  <c r="G73" i="35"/>
  <c r="H73" i="35" s="1"/>
  <c r="K55" i="82"/>
  <c r="L55" i="82" s="1"/>
  <c r="T32" i="47"/>
  <c r="K48" i="34"/>
  <c r="L48" i="34" s="1"/>
  <c r="L18" i="66"/>
  <c r="G24" i="75"/>
  <c r="H24" i="75" s="1"/>
  <c r="G33" i="75"/>
  <c r="H33" i="75" s="1"/>
  <c r="K44" i="79"/>
  <c r="L44" i="79" s="1"/>
  <c r="L30" i="69"/>
  <c r="K56" i="78"/>
  <c r="L56" i="78" s="1"/>
  <c r="K73" i="79"/>
  <c r="L73" i="79" s="1"/>
  <c r="G52" i="78"/>
  <c r="H52" i="78" s="1"/>
  <c r="T19" i="66"/>
  <c r="L71" i="65"/>
  <c r="G72" i="78"/>
  <c r="H72" i="78" s="1"/>
  <c r="T15" i="48"/>
  <c r="L68" i="47"/>
  <c r="G16" i="76"/>
  <c r="H16" i="76" s="1"/>
  <c r="T31" i="71"/>
  <c r="L68" i="66"/>
  <c r="G43" i="77"/>
  <c r="H43" i="77" s="1"/>
  <c r="K65" i="79"/>
  <c r="L65" i="79" s="1"/>
  <c r="L30" i="67"/>
  <c r="K24" i="35"/>
  <c r="L24" i="35" s="1"/>
  <c r="K53" i="36"/>
  <c r="L53" i="36" s="1"/>
  <c r="G25" i="79"/>
  <c r="H25" i="79" s="1"/>
  <c r="T66" i="67"/>
  <c r="K66" i="75"/>
  <c r="L66" i="75" s="1"/>
  <c r="G32" i="74"/>
  <c r="H32" i="74" s="1"/>
  <c r="G18" i="36"/>
  <c r="H18" i="36" s="1"/>
  <c r="L67" i="65"/>
  <c r="T57" i="70"/>
  <c r="T60" i="46"/>
  <c r="K32" i="76"/>
  <c r="L32" i="76" s="1"/>
  <c r="K54" i="75"/>
  <c r="L54" i="75" s="1"/>
  <c r="L26" i="48"/>
  <c r="L25" i="72"/>
  <c r="K28" i="76"/>
  <c r="L28" i="76" s="1"/>
  <c r="T45" i="65"/>
  <c r="T66" i="72"/>
  <c r="K55" i="37"/>
  <c r="L55" i="37" s="1"/>
  <c r="L39" i="47"/>
  <c r="K22" i="75"/>
  <c r="L22" i="75" s="1"/>
  <c r="L40" i="49"/>
  <c r="T70" i="48"/>
  <c r="K28" i="77"/>
  <c r="L28" i="77" s="1"/>
  <c r="L23" i="72"/>
  <c r="K55" i="74"/>
  <c r="L55" i="74" s="1"/>
  <c r="K45" i="74"/>
  <c r="L45" i="74" s="1"/>
  <c r="L49" i="68"/>
  <c r="T37" i="48"/>
  <c r="K64" i="76"/>
  <c r="L64" i="76" s="1"/>
  <c r="G28" i="76"/>
  <c r="H28" i="76" s="1"/>
  <c r="K59" i="34"/>
  <c r="L59" i="34" s="1"/>
  <c r="L47" i="65"/>
  <c r="K72" i="77"/>
  <c r="L72" i="77" s="1"/>
  <c r="T37" i="66"/>
  <c r="G36" i="82"/>
  <c r="H36" i="82" s="1"/>
  <c r="G27" i="79"/>
  <c r="H27" i="79" s="1"/>
  <c r="T16" i="71"/>
  <c r="T30" i="69"/>
  <c r="L52" i="69"/>
  <c r="L56" i="46"/>
  <c r="K54" i="81"/>
  <c r="L54" i="81" s="1"/>
  <c r="T67" i="72"/>
  <c r="T20" i="71"/>
  <c r="G60" i="81"/>
  <c r="H60" i="81" s="1"/>
  <c r="L68" i="72"/>
  <c r="L64" i="67"/>
  <c r="G24" i="82"/>
  <c r="H24" i="82" s="1"/>
  <c r="L23" i="49"/>
  <c r="L59" i="48"/>
  <c r="K42" i="82"/>
  <c r="L42" i="82" s="1"/>
  <c r="G53" i="76"/>
  <c r="H53" i="76" s="1"/>
  <c r="L44" i="70"/>
  <c r="L44" i="65"/>
  <c r="K37" i="80"/>
  <c r="L37" i="80" s="1"/>
  <c r="T55" i="71"/>
  <c r="L68" i="65"/>
  <c r="K68" i="79"/>
  <c r="L68" i="79" s="1"/>
  <c r="G30" i="79"/>
  <c r="H30" i="79" s="1"/>
  <c r="G16" i="78"/>
  <c r="H16" i="78" s="1"/>
  <c r="L37" i="69"/>
  <c r="T25" i="48"/>
  <c r="G68" i="77"/>
  <c r="H68" i="77" s="1"/>
  <c r="T24" i="66"/>
  <c r="K59" i="82"/>
  <c r="L59" i="82" s="1"/>
  <c r="G53" i="80"/>
  <c r="H53" i="80" s="1"/>
  <c r="G69" i="77"/>
  <c r="H69" i="77" s="1"/>
  <c r="T23" i="71"/>
  <c r="G35" i="37"/>
  <c r="H35" i="37" s="1"/>
  <c r="T68" i="70"/>
  <c r="T64" i="48"/>
  <c r="T44" i="70"/>
  <c r="K59" i="78"/>
  <c r="L59" i="78" s="1"/>
  <c r="T27" i="66"/>
  <c r="G60" i="35"/>
  <c r="H60" i="35" s="1"/>
  <c r="T16" i="67"/>
  <c r="L44" i="67"/>
  <c r="G28" i="78"/>
  <c r="H28" i="78" s="1"/>
  <c r="T17" i="47"/>
  <c r="K57" i="76"/>
  <c r="L57" i="76" s="1"/>
  <c r="G63" i="78"/>
  <c r="H63" i="78" s="1"/>
  <c r="T31" i="70"/>
  <c r="L63" i="72"/>
  <c r="K23" i="82"/>
  <c r="L23" i="82" s="1"/>
  <c r="G72" i="35"/>
  <c r="H72" i="35" s="1"/>
  <c r="G56" i="75"/>
  <c r="H56" i="75" s="1"/>
  <c r="K62" i="80"/>
  <c r="L62" i="80" s="1"/>
  <c r="L57" i="72"/>
  <c r="T21" i="65"/>
  <c r="T49" i="66"/>
  <c r="G66" i="79"/>
  <c r="H66" i="79" s="1"/>
  <c r="L17" i="71"/>
  <c r="T24" i="47"/>
  <c r="L25" i="70"/>
  <c r="K51" i="75"/>
  <c r="L51" i="75" s="1"/>
  <c r="L65" i="67"/>
  <c r="G25" i="37"/>
  <c r="H25" i="37" s="1"/>
  <c r="G51" i="79"/>
  <c r="H51" i="79" s="1"/>
  <c r="G39" i="81"/>
  <c r="H39" i="81" s="1"/>
  <c r="K35" i="37"/>
  <c r="L35" i="37" s="1"/>
  <c r="T21" i="70"/>
  <c r="K32" i="34"/>
  <c r="L32" i="34" s="1"/>
  <c r="G67" i="37"/>
  <c r="H67" i="37" s="1"/>
  <c r="L39" i="72"/>
  <c r="G21" i="78"/>
  <c r="H21" i="78" s="1"/>
  <c r="G19" i="79"/>
  <c r="H19" i="79" s="1"/>
  <c r="T37" i="67"/>
  <c r="K30" i="78"/>
  <c r="L30" i="78" s="1"/>
  <c r="T33" i="67"/>
  <c r="T57" i="47"/>
  <c r="G25" i="35"/>
  <c r="H25" i="35" s="1"/>
  <c r="L24" i="69"/>
  <c r="T54" i="69"/>
  <c r="K59" i="74"/>
  <c r="L59" i="74" s="1"/>
  <c r="T57" i="72"/>
  <c r="K73" i="76"/>
  <c r="L73" i="76" s="1"/>
  <c r="L48" i="49"/>
  <c r="T40" i="47"/>
  <c r="G38" i="36"/>
  <c r="H38" i="36" s="1"/>
  <c r="K67" i="35"/>
  <c r="L67" i="35" s="1"/>
  <c r="T47" i="73"/>
  <c r="T61" i="46"/>
  <c r="T39" i="70"/>
  <c r="K26" i="82"/>
  <c r="L26" i="82" s="1"/>
  <c r="L22" i="71"/>
  <c r="T72" i="72"/>
  <c r="L45" i="71"/>
  <c r="G70" i="75"/>
  <c r="H70" i="75" s="1"/>
  <c r="K42" i="78"/>
  <c r="L42" i="78" s="1"/>
  <c r="K64" i="75"/>
  <c r="L64" i="75" s="1"/>
  <c r="T19" i="47"/>
  <c r="L71" i="48"/>
  <c r="G21" i="81"/>
  <c r="H21" i="81" s="1"/>
  <c r="K61" i="74"/>
  <c r="L61" i="74" s="1"/>
  <c r="K58" i="76"/>
  <c r="L58" i="76" s="1"/>
  <c r="K44" i="36"/>
  <c r="L44" i="36" s="1"/>
  <c r="T17" i="48"/>
  <c r="K44" i="74"/>
  <c r="L44" i="74" s="1"/>
  <c r="K56" i="74"/>
  <c r="L56" i="74" s="1"/>
  <c r="G57" i="75"/>
  <c r="H57" i="75" s="1"/>
  <c r="T26" i="67"/>
  <c r="G53" i="79"/>
  <c r="H53" i="79" s="1"/>
  <c r="T31" i="65"/>
  <c r="L65" i="49"/>
  <c r="K36" i="80"/>
  <c r="L36" i="80" s="1"/>
  <c r="K39" i="36"/>
  <c r="L39" i="36" s="1"/>
  <c r="K18" i="80"/>
  <c r="L18" i="80" s="1"/>
  <c r="T67" i="49"/>
  <c r="T52" i="70"/>
  <c r="T57" i="65"/>
  <c r="T42" i="49"/>
  <c r="K53" i="78"/>
  <c r="L53" i="78" s="1"/>
  <c r="T27" i="46"/>
  <c r="K18" i="82"/>
  <c r="L18" i="82" s="1"/>
  <c r="T40" i="71"/>
  <c r="L58" i="66"/>
  <c r="T27" i="48"/>
  <c r="L32" i="71"/>
  <c r="G60" i="74"/>
  <c r="H60" i="74" s="1"/>
  <c r="T49" i="73"/>
  <c r="L36" i="73"/>
  <c r="G21" i="74"/>
  <c r="H21" i="74" s="1"/>
  <c r="L45" i="69"/>
  <c r="L69" i="46"/>
  <c r="G47" i="74"/>
  <c r="H47" i="74" s="1"/>
  <c r="L60" i="72"/>
  <c r="L43" i="48"/>
  <c r="G73" i="75"/>
  <c r="H73" i="75" s="1"/>
  <c r="T58" i="68"/>
  <c r="G29" i="36"/>
  <c r="H29" i="36" s="1"/>
  <c r="K66" i="76"/>
  <c r="L66" i="76" s="1"/>
  <c r="T44" i="73"/>
  <c r="K21" i="78"/>
  <c r="L21" i="78" s="1"/>
  <c r="T35" i="49"/>
  <c r="G73" i="77"/>
  <c r="H73" i="77" s="1"/>
  <c r="T50" i="47"/>
  <c r="K68" i="75"/>
  <c r="L68" i="75" s="1"/>
  <c r="T32" i="68"/>
  <c r="T16" i="46"/>
  <c r="L25" i="65"/>
  <c r="L25" i="69"/>
  <c r="K19" i="81"/>
  <c r="L19" i="81" s="1"/>
  <c r="K65" i="75"/>
  <c r="L65" i="75" s="1"/>
  <c r="K72" i="81"/>
  <c r="L72" i="81" s="1"/>
  <c r="G29" i="78"/>
  <c r="H29" i="78" s="1"/>
  <c r="L25" i="48"/>
  <c r="T40" i="49"/>
  <c r="G64" i="34"/>
  <c r="H64" i="34" s="1"/>
  <c r="L46" i="47"/>
  <c r="T36" i="66"/>
  <c r="K56" i="81"/>
  <c r="L56" i="81" s="1"/>
  <c r="K66" i="74"/>
  <c r="L66" i="74" s="1"/>
  <c r="K65" i="35"/>
  <c r="L65" i="35" s="1"/>
  <c r="L19" i="71"/>
  <c r="L58" i="68"/>
  <c r="G23" i="77"/>
  <c r="H23" i="77" s="1"/>
  <c r="L15" i="70"/>
  <c r="L61" i="72"/>
  <c r="K55" i="80"/>
  <c r="L55" i="80" s="1"/>
  <c r="K56" i="75"/>
  <c r="L56" i="75" s="1"/>
  <c r="L45" i="48"/>
  <c r="T66" i="65"/>
  <c r="T37" i="47"/>
  <c r="K49" i="79"/>
  <c r="L49" i="79" s="1"/>
  <c r="T27" i="47"/>
  <c r="L25" i="67"/>
  <c r="L31" i="68"/>
  <c r="L44" i="69"/>
  <c r="K49" i="36"/>
  <c r="L49" i="36" s="1"/>
  <c r="T20" i="67"/>
  <c r="T43" i="47"/>
  <c r="L31" i="71"/>
  <c r="K50" i="79"/>
  <c r="L50" i="79" s="1"/>
  <c r="L44" i="48"/>
  <c r="G35" i="81"/>
  <c r="H35" i="81" s="1"/>
  <c r="L19" i="69"/>
  <c r="L61" i="68"/>
  <c r="T65" i="46"/>
  <c r="L55" i="73"/>
  <c r="K21" i="81"/>
  <c r="L21" i="81" s="1"/>
  <c r="K73" i="80"/>
  <c r="L73" i="80" s="1"/>
  <c r="T32" i="65"/>
  <c r="G28" i="74"/>
  <c r="H28" i="74" s="1"/>
  <c r="L65" i="73"/>
  <c r="G67" i="79"/>
  <c r="H67" i="79" s="1"/>
  <c r="G41" i="78"/>
  <c r="H41" i="78" s="1"/>
  <c r="L44" i="73"/>
  <c r="L35" i="70"/>
  <c r="T45" i="46"/>
  <c r="T39" i="46"/>
  <c r="G66" i="75"/>
  <c r="H66" i="75" s="1"/>
  <c r="T44" i="47"/>
  <c r="T33" i="73"/>
  <c r="L64" i="71"/>
  <c r="T22" i="69"/>
  <c r="K46" i="37"/>
  <c r="L46" i="37" s="1"/>
  <c r="G53" i="77"/>
  <c r="H53" i="77" s="1"/>
  <c r="L27" i="46"/>
  <c r="G54" i="82"/>
  <c r="H54" i="82" s="1"/>
  <c r="T19" i="48"/>
  <c r="K52" i="35"/>
  <c r="L52" i="35" s="1"/>
  <c r="T20" i="73"/>
  <c r="G55" i="37"/>
  <c r="H55" i="37" s="1"/>
  <c r="K45" i="76"/>
  <c r="L45" i="76" s="1"/>
  <c r="G55" i="82"/>
  <c r="H55" i="82" s="1"/>
  <c r="G55" i="76"/>
  <c r="H55" i="76" s="1"/>
  <c r="L47" i="66"/>
  <c r="G71" i="76"/>
  <c r="H71" i="76" s="1"/>
  <c r="G59" i="74"/>
  <c r="H59" i="74" s="1"/>
  <c r="L15" i="73"/>
  <c r="L18" i="67"/>
  <c r="G19" i="76"/>
  <c r="H19" i="76" s="1"/>
  <c r="L62" i="71"/>
  <c r="G63" i="80"/>
  <c r="H63" i="80" s="1"/>
  <c r="K20" i="74"/>
  <c r="L20" i="74" s="1"/>
  <c r="T19" i="65"/>
  <c r="L57" i="67"/>
  <c r="G58" i="76"/>
  <c r="H58" i="76" s="1"/>
  <c r="K72" i="80"/>
  <c r="L72" i="80" s="1"/>
  <c r="T71" i="71"/>
  <c r="K28" i="80"/>
  <c r="L28" i="80" s="1"/>
  <c r="T27" i="71"/>
  <c r="T70" i="66"/>
  <c r="K71" i="75"/>
  <c r="L71" i="75" s="1"/>
  <c r="G38" i="75"/>
  <c r="H38" i="75" s="1"/>
  <c r="L37" i="66"/>
  <c r="L51" i="70"/>
  <c r="G52" i="79"/>
  <c r="H52" i="79" s="1"/>
  <c r="G70" i="79"/>
  <c r="H70" i="79" s="1"/>
  <c r="L69" i="70"/>
  <c r="T69" i="66"/>
  <c r="K70" i="75"/>
  <c r="L70" i="75" s="1"/>
  <c r="T68" i="67"/>
  <c r="K69" i="76"/>
  <c r="L69" i="76" s="1"/>
  <c r="K55" i="81"/>
  <c r="L55" i="81" s="1"/>
  <c r="T55" i="73"/>
  <c r="K54" i="77"/>
  <c r="L54" i="77" s="1"/>
  <c r="K58" i="75"/>
  <c r="L58" i="75" s="1"/>
  <c r="T56" i="70"/>
  <c r="G24" i="74"/>
  <c r="H24" i="74" s="1"/>
  <c r="T67" i="68"/>
  <c r="K46" i="78"/>
  <c r="L46" i="78" s="1"/>
  <c r="G39" i="76"/>
  <c r="H39" i="76" s="1"/>
  <c r="G21" i="37"/>
  <c r="H21" i="37" s="1"/>
  <c r="T66" i="66"/>
  <c r="T66" i="68"/>
  <c r="G36" i="78"/>
  <c r="H36" i="78" s="1"/>
  <c r="G26" i="77"/>
  <c r="H26" i="77" s="1"/>
  <c r="T26" i="70"/>
  <c r="K27" i="79"/>
  <c r="L27" i="79" s="1"/>
  <c r="G48" i="77"/>
  <c r="H48" i="77" s="1"/>
  <c r="L47" i="68"/>
  <c r="G32" i="79"/>
  <c r="H32" i="79" s="1"/>
  <c r="L31" i="70"/>
  <c r="K22" i="34"/>
  <c r="L22" i="34" s="1"/>
  <c r="T21" i="46"/>
  <c r="K51" i="34"/>
  <c r="L51" i="34" s="1"/>
  <c r="T50" i="46"/>
  <c r="G50" i="74"/>
  <c r="H50" i="74" s="1"/>
  <c r="L49" i="65"/>
  <c r="G46" i="79"/>
  <c r="H46" i="79" s="1"/>
  <c r="L45" i="70"/>
  <c r="G41" i="81"/>
  <c r="H41" i="81" s="1"/>
  <c r="L40" i="72"/>
  <c r="T71" i="69"/>
  <c r="K72" i="78"/>
  <c r="L72" i="78" s="1"/>
  <c r="K44" i="82"/>
  <c r="L44" i="82" s="1"/>
  <c r="T43" i="73"/>
  <c r="L34" i="70"/>
  <c r="G35" i="79"/>
  <c r="H35" i="79" s="1"/>
  <c r="G37" i="79"/>
  <c r="H37" i="79" s="1"/>
  <c r="L36" i="70"/>
  <c r="T41" i="66"/>
  <c r="K42" i="75"/>
  <c r="L42" i="75" s="1"/>
  <c r="T45" i="66"/>
  <c r="K46" i="75"/>
  <c r="L46" i="75" s="1"/>
  <c r="K44" i="76"/>
  <c r="L44" i="76" s="1"/>
  <c r="T43" i="67"/>
  <c r="L62" i="48"/>
  <c r="G63" i="36"/>
  <c r="H63" i="36" s="1"/>
  <c r="K42" i="79"/>
  <c r="L42" i="79" s="1"/>
  <c r="T41" i="70"/>
  <c r="T15" i="68"/>
  <c r="K16" i="77"/>
  <c r="L16" i="77" s="1"/>
  <c r="L48" i="66"/>
  <c r="G49" i="75"/>
  <c r="H49" i="75" s="1"/>
  <c r="K40" i="81"/>
  <c r="L40" i="81" s="1"/>
  <c r="T39" i="72"/>
  <c r="L22" i="69"/>
  <c r="G23" i="78"/>
  <c r="H23" i="78" s="1"/>
  <c r="K53" i="35"/>
  <c r="L53" i="35" s="1"/>
  <c r="T52" i="47"/>
  <c r="K34" i="75"/>
  <c r="L34" i="75" s="1"/>
  <c r="T33" i="66"/>
  <c r="T25" i="66"/>
  <c r="L53" i="65"/>
  <c r="G34" i="34"/>
  <c r="H34" i="34" s="1"/>
  <c r="K57" i="75"/>
  <c r="L57" i="75" s="1"/>
  <c r="T56" i="66"/>
  <c r="T37" i="65"/>
  <c r="K38" i="74"/>
  <c r="L38" i="74" s="1"/>
  <c r="G49" i="35"/>
  <c r="H49" i="35" s="1"/>
  <c r="L48" i="47"/>
  <c r="G50" i="34"/>
  <c r="H50" i="34" s="1"/>
  <c r="L49" i="46"/>
  <c r="T53" i="46"/>
  <c r="K54" i="34"/>
  <c r="L54" i="34" s="1"/>
  <c r="T57" i="71"/>
  <c r="K58" i="80"/>
  <c r="L58" i="80" s="1"/>
  <c r="G26" i="34"/>
  <c r="H26" i="34" s="1"/>
  <c r="L25" i="46"/>
  <c r="L29" i="48"/>
  <c r="G30" i="36"/>
  <c r="H30" i="36" s="1"/>
  <c r="L42" i="67"/>
  <c r="G43" i="76"/>
  <c r="H43" i="76" s="1"/>
  <c r="L48" i="71"/>
  <c r="G49" i="80"/>
  <c r="H49" i="80" s="1"/>
  <c r="G44" i="37"/>
  <c r="H44" i="37" s="1"/>
  <c r="L43" i="49"/>
  <c r="L29" i="68"/>
  <c r="G30" i="77"/>
  <c r="H30" i="77" s="1"/>
  <c r="T44" i="69"/>
  <c r="K45" i="78"/>
  <c r="L45" i="78" s="1"/>
  <c r="K52" i="81"/>
  <c r="L52" i="81" s="1"/>
  <c r="L21" i="48"/>
  <c r="G48" i="80"/>
  <c r="H48" i="80" s="1"/>
  <c r="T32" i="69"/>
  <c r="T38" i="73"/>
  <c r="G67" i="75"/>
  <c r="H67" i="75" s="1"/>
  <c r="L38" i="71"/>
  <c r="T59" i="68"/>
  <c r="L70" i="69"/>
  <c r="T35" i="48"/>
  <c r="G23" i="36"/>
  <c r="H23" i="36" s="1"/>
  <c r="K49" i="76"/>
  <c r="L49" i="76" s="1"/>
  <c r="L59" i="69"/>
  <c r="L62" i="70"/>
  <c r="K73" i="75"/>
  <c r="L73" i="75" s="1"/>
  <c r="K49" i="81"/>
  <c r="L49" i="81" s="1"/>
  <c r="K32" i="77"/>
  <c r="L32" i="77" s="1"/>
  <c r="K35" i="78"/>
  <c r="L35" i="78" s="1"/>
  <c r="K34" i="37"/>
  <c r="L34" i="37" s="1"/>
  <c r="T33" i="49"/>
  <c r="K64" i="74"/>
  <c r="L64" i="74" s="1"/>
  <c r="T63" i="65"/>
  <c r="L16" i="67"/>
  <c r="G17" i="76"/>
  <c r="H17" i="76" s="1"/>
  <c r="G56" i="77"/>
  <c r="H56" i="77" s="1"/>
  <c r="L55" i="68"/>
  <c r="T61" i="67"/>
  <c r="K62" i="76"/>
  <c r="L62" i="76" s="1"/>
  <c r="T24" i="73"/>
  <c r="K25" i="82"/>
  <c r="L25" i="82" s="1"/>
  <c r="T35" i="72"/>
  <c r="K36" i="81"/>
  <c r="L36" i="81" s="1"/>
  <c r="L40" i="73"/>
  <c r="G41" i="82"/>
  <c r="H41" i="82" s="1"/>
  <c r="L58" i="48"/>
  <c r="G59" i="36"/>
  <c r="H59" i="36" s="1"/>
  <c r="T49" i="48"/>
  <c r="K50" i="36"/>
  <c r="L50" i="36" s="1"/>
  <c r="L61" i="71"/>
  <c r="G62" i="80"/>
  <c r="H62" i="80" s="1"/>
  <c r="L62" i="67"/>
  <c r="G63" i="76"/>
  <c r="H63" i="76" s="1"/>
  <c r="T66" i="70"/>
  <c r="K67" i="79"/>
  <c r="L67" i="79" s="1"/>
  <c r="L40" i="68"/>
  <c r="G41" i="77"/>
  <c r="H41" i="77" s="1"/>
  <c r="K47" i="35"/>
  <c r="L47" i="35" s="1"/>
  <c r="T46" i="47"/>
  <c r="L30" i="73"/>
  <c r="G31" i="82"/>
  <c r="H31" i="82" s="1"/>
  <c r="K37" i="35"/>
  <c r="L37" i="35" s="1"/>
  <c r="T36" i="47"/>
  <c r="G34" i="82"/>
  <c r="H34" i="82" s="1"/>
  <c r="L33" i="73"/>
  <c r="L72" i="72"/>
  <c r="G73" i="81"/>
  <c r="H73" i="81" s="1"/>
  <c r="L17" i="49"/>
  <c r="G18" i="37"/>
  <c r="H18" i="37" s="1"/>
  <c r="L30" i="65"/>
  <c r="G31" i="74"/>
  <c r="H31" i="74" s="1"/>
  <c r="T47" i="71"/>
  <c r="K48" i="80"/>
  <c r="L48" i="80" s="1"/>
  <c r="K63" i="79"/>
  <c r="L63" i="79" s="1"/>
  <c r="T62" i="70"/>
  <c r="G48" i="36"/>
  <c r="H48" i="36" s="1"/>
  <c r="L47" i="48"/>
  <c r="T27" i="65"/>
  <c r="K28" i="74"/>
  <c r="L28" i="74" s="1"/>
  <c r="K48" i="75"/>
  <c r="L48" i="75" s="1"/>
  <c r="T47" i="66"/>
  <c r="G61" i="77"/>
  <c r="H61" i="77" s="1"/>
  <c r="L60" i="68"/>
  <c r="G27" i="80"/>
  <c r="H27" i="80" s="1"/>
  <c r="L26" i="71"/>
  <c r="L27" i="72"/>
  <c r="G28" i="81"/>
  <c r="H28" i="81" s="1"/>
  <c r="L29" i="71"/>
  <c r="G71" i="37"/>
  <c r="H71" i="37" s="1"/>
  <c r="T58" i="70"/>
  <c r="K59" i="79"/>
  <c r="L59" i="79" s="1"/>
  <c r="G34" i="37"/>
  <c r="H34" i="37" s="1"/>
  <c r="L33" i="49"/>
  <c r="L70" i="68"/>
  <c r="G71" i="77"/>
  <c r="H71" i="77" s="1"/>
  <c r="K64" i="35"/>
  <c r="L64" i="35" s="1"/>
  <c r="T63" i="47"/>
  <c r="L39" i="46"/>
  <c r="G40" i="34"/>
  <c r="H40" i="34" s="1"/>
  <c r="K38" i="82"/>
  <c r="L38" i="82" s="1"/>
  <c r="T37" i="73"/>
  <c r="G21" i="79"/>
  <c r="H21" i="79" s="1"/>
  <c r="L20" i="70"/>
  <c r="G22" i="79"/>
  <c r="H22" i="79" s="1"/>
  <c r="K55" i="77"/>
  <c r="L55" i="77" s="1"/>
  <c r="G25" i="74"/>
  <c r="H25" i="74" s="1"/>
  <c r="G38" i="81"/>
  <c r="H38" i="81" s="1"/>
  <c r="K60" i="78"/>
  <c r="L60" i="78" s="1"/>
  <c r="K36" i="35"/>
  <c r="L36" i="35" s="1"/>
  <c r="G24" i="78"/>
  <c r="H24" i="78" s="1"/>
  <c r="G18" i="76"/>
  <c r="H18" i="76" s="1"/>
  <c r="L22" i="66"/>
  <c r="T24" i="72"/>
  <c r="G36" i="35"/>
  <c r="H36" i="35" s="1"/>
  <c r="L61" i="48"/>
  <c r="G22" i="77"/>
  <c r="H22" i="77" s="1"/>
  <c r="K32" i="81"/>
  <c r="L32" i="81" s="1"/>
  <c r="L54" i="47"/>
  <c r="G54" i="81"/>
  <c r="H54" i="81" s="1"/>
  <c r="T48" i="68"/>
  <c r="K49" i="77"/>
  <c r="L49" i="77" s="1"/>
  <c r="G39" i="34"/>
  <c r="H39" i="34" s="1"/>
  <c r="L38" i="46"/>
  <c r="T44" i="48"/>
  <c r="K45" i="36"/>
  <c r="L45" i="36" s="1"/>
  <c r="T69" i="65"/>
  <c r="K70" i="74"/>
  <c r="L70" i="74" s="1"/>
  <c r="K46" i="76"/>
  <c r="L46" i="76" s="1"/>
  <c r="T45" i="67"/>
  <c r="T64" i="65"/>
  <c r="K65" i="74"/>
  <c r="L65" i="74" s="1"/>
  <c r="K29" i="36"/>
  <c r="L29" i="36" s="1"/>
  <c r="T28" i="48"/>
  <c r="L33" i="66"/>
  <c r="G34" i="75"/>
  <c r="H34" i="75" s="1"/>
  <c r="L46" i="72"/>
  <c r="G47" i="81"/>
  <c r="H47" i="81" s="1"/>
  <c r="G17" i="78"/>
  <c r="H17" i="78" s="1"/>
  <c r="L16" i="69"/>
  <c r="L33" i="65"/>
  <c r="G34" i="74"/>
  <c r="H34" i="74" s="1"/>
  <c r="T64" i="68"/>
  <c r="K65" i="77"/>
  <c r="L65" i="77" s="1"/>
  <c r="L67" i="73"/>
  <c r="G68" i="82"/>
  <c r="H68" i="82" s="1"/>
  <c r="K42" i="34"/>
  <c r="L42" i="34" s="1"/>
  <c r="T41" i="46"/>
  <c r="L34" i="65"/>
  <c r="G35" i="74"/>
  <c r="H35" i="74" s="1"/>
  <c r="G18" i="79"/>
  <c r="H18" i="79" s="1"/>
  <c r="L17" i="70"/>
  <c r="L50" i="66"/>
  <c r="G51" i="75"/>
  <c r="H51" i="75" s="1"/>
  <c r="G56" i="37"/>
  <c r="H56" i="37" s="1"/>
  <c r="L55" i="49"/>
  <c r="K60" i="82"/>
  <c r="L60" i="82" s="1"/>
  <c r="T59" i="73"/>
  <c r="G38" i="37"/>
  <c r="H38" i="37" s="1"/>
  <c r="L37" i="49"/>
  <c r="K70" i="35"/>
  <c r="L70" i="35" s="1"/>
  <c r="T69" i="47"/>
  <c r="L42" i="49"/>
  <c r="G43" i="37"/>
  <c r="H43" i="37" s="1"/>
  <c r="L35" i="68"/>
  <c r="G36" i="77"/>
  <c r="H36" i="77" s="1"/>
  <c r="T56" i="73"/>
  <c r="K57" i="82"/>
  <c r="L57" i="82" s="1"/>
  <c r="K35" i="76"/>
  <c r="L35" i="76" s="1"/>
  <c r="T34" i="67"/>
  <c r="T53" i="67"/>
  <c r="K54" i="76"/>
  <c r="L54" i="76" s="1"/>
  <c r="L39" i="71"/>
  <c r="G40" i="80"/>
  <c r="H40" i="80" s="1"/>
  <c r="G29" i="75"/>
  <c r="H29" i="75" s="1"/>
  <c r="L28" i="66"/>
  <c r="G67" i="35"/>
  <c r="H67" i="35" s="1"/>
  <c r="L66" i="47"/>
  <c r="L69" i="71"/>
  <c r="G70" i="80"/>
  <c r="H70" i="80" s="1"/>
  <c r="T36" i="70"/>
  <c r="K37" i="79"/>
  <c r="L37" i="79" s="1"/>
  <c r="K71" i="82"/>
  <c r="L71" i="82" s="1"/>
  <c r="T70" i="73"/>
  <c r="G61" i="79"/>
  <c r="H61" i="79" s="1"/>
  <c r="L60" i="70"/>
  <c r="K35" i="35"/>
  <c r="L35" i="35" s="1"/>
  <c r="T34" i="47"/>
  <c r="G67" i="34"/>
  <c r="H67" i="34" s="1"/>
  <c r="L66" i="46"/>
  <c r="K16" i="78"/>
  <c r="L16" i="78" s="1"/>
  <c r="T15" i="69"/>
  <c r="G35" i="80"/>
  <c r="H35" i="80" s="1"/>
  <c r="L34" i="71"/>
  <c r="L40" i="71"/>
  <c r="G41" i="80"/>
  <c r="H41" i="80" s="1"/>
  <c r="G18" i="82"/>
  <c r="H18" i="82" s="1"/>
  <c r="L17" i="73"/>
  <c r="K70" i="82"/>
  <c r="L70" i="82" s="1"/>
  <c r="T69" i="73"/>
  <c r="K71" i="34"/>
  <c r="L71" i="34" s="1"/>
  <c r="L36" i="48"/>
  <c r="G68" i="75"/>
  <c r="H68" i="75" s="1"/>
  <c r="K47" i="74"/>
  <c r="L47" i="74" s="1"/>
  <c r="G55" i="81"/>
  <c r="H55" i="81" s="1"/>
  <c r="G33" i="36"/>
  <c r="H33" i="36" s="1"/>
  <c r="T24" i="71"/>
  <c r="L62" i="68"/>
  <c r="L53" i="66"/>
  <c r="T27" i="69"/>
  <c r="G32" i="35"/>
  <c r="H32" i="35" s="1"/>
  <c r="G19" i="36"/>
  <c r="H19" i="36" s="1"/>
  <c r="L28" i="49"/>
  <c r="K59" i="75"/>
  <c r="L59" i="75" s="1"/>
  <c r="L45" i="68"/>
  <c r="G51" i="34"/>
  <c r="H51" i="34" s="1"/>
  <c r="L50" i="46"/>
  <c r="L44" i="72"/>
  <c r="G45" i="81"/>
  <c r="H45" i="81" s="1"/>
  <c r="K26" i="76"/>
  <c r="L26" i="76" s="1"/>
  <c r="T25" i="67"/>
  <c r="L54" i="70"/>
  <c r="G55" i="79"/>
  <c r="H55" i="79" s="1"/>
  <c r="G39" i="79"/>
  <c r="H39" i="79" s="1"/>
  <c r="L38" i="70"/>
  <c r="L19" i="72"/>
  <c r="G20" i="81"/>
  <c r="H20" i="81" s="1"/>
  <c r="L66" i="68"/>
  <c r="G47" i="75"/>
  <c r="H47" i="75" s="1"/>
  <c r="L46" i="66"/>
  <c r="G37" i="81"/>
  <c r="H37" i="81" s="1"/>
  <c r="K64" i="79"/>
  <c r="L64" i="79" s="1"/>
  <c r="T39" i="65"/>
  <c r="L38" i="66"/>
  <c r="K18" i="74"/>
  <c r="L18" i="74" s="1"/>
  <c r="L29" i="72"/>
  <c r="L30" i="66"/>
  <c r="K22" i="78"/>
  <c r="L22" i="78" s="1"/>
  <c r="L58" i="71"/>
  <c r="L64" i="47"/>
  <c r="G28" i="80"/>
  <c r="H28" i="80" s="1"/>
  <c r="G43" i="36"/>
  <c r="H43" i="36" s="1"/>
  <c r="L42" i="48"/>
  <c r="L19" i="67"/>
  <c r="G20" i="76"/>
  <c r="H20" i="76" s="1"/>
  <c r="L47" i="70"/>
  <c r="G48" i="79"/>
  <c r="H48" i="79" s="1"/>
  <c r="L54" i="48"/>
  <c r="G70" i="77"/>
  <c r="H70" i="77" s="1"/>
  <c r="K72" i="79"/>
  <c r="L72" i="79" s="1"/>
  <c r="T51" i="66"/>
  <c r="L58" i="67"/>
  <c r="K24" i="75"/>
  <c r="L24" i="75" s="1"/>
  <c r="K59" i="37"/>
  <c r="L59" i="37" s="1"/>
  <c r="G43" i="75"/>
  <c r="H43" i="75" s="1"/>
  <c r="T72" i="47"/>
  <c r="L41" i="49"/>
  <c r="L25" i="66"/>
  <c r="K41" i="77"/>
  <c r="L41" i="77" s="1"/>
  <c r="T66" i="69"/>
  <c r="K57" i="35"/>
  <c r="L57" i="35" s="1"/>
  <c r="K71" i="37"/>
  <c r="L71" i="37" s="1"/>
  <c r="G18" i="74"/>
  <c r="H18" i="74" s="1"/>
  <c r="G66" i="77"/>
  <c r="H66" i="77" s="1"/>
  <c r="K26" i="77"/>
  <c r="L26" i="77" s="1"/>
  <c r="K63" i="80"/>
  <c r="L63" i="80" s="1"/>
  <c r="G43" i="74"/>
  <c r="H43" i="74" s="1"/>
  <c r="G73" i="76"/>
  <c r="H73" i="76" s="1"/>
  <c r="G24" i="76"/>
  <c r="H24" i="76" s="1"/>
  <c r="L18" i="46"/>
  <c r="T52" i="46"/>
  <c r="K46" i="77"/>
  <c r="L46" i="77" s="1"/>
  <c r="G32" i="82"/>
  <c r="H32" i="82" s="1"/>
  <c r="G52" i="75"/>
  <c r="H52" i="75" s="1"/>
  <c r="T43" i="46"/>
  <c r="G38" i="35"/>
  <c r="H38" i="35" s="1"/>
  <c r="G33" i="82"/>
  <c r="H33" i="82" s="1"/>
  <c r="K27" i="80"/>
  <c r="L27" i="80" s="1"/>
  <c r="K48" i="37"/>
  <c r="L48" i="37" s="1"/>
  <c r="G48" i="76"/>
  <c r="H48" i="76" s="1"/>
  <c r="K53" i="74"/>
  <c r="L53" i="74" s="1"/>
  <c r="L17" i="68"/>
  <c r="L26" i="67"/>
  <c r="K23" i="34"/>
  <c r="L23" i="34" s="1"/>
  <c r="R73" i="72"/>
  <c r="T71" i="49"/>
  <c r="L52" i="49"/>
  <c r="T66" i="49"/>
  <c r="T37" i="49"/>
  <c r="L44" i="49"/>
  <c r="K45" i="37"/>
  <c r="L45" i="37" s="1"/>
  <c r="K50" i="37"/>
  <c r="L50" i="37" s="1"/>
  <c r="G39" i="37"/>
  <c r="H39" i="37" s="1"/>
  <c r="L16" i="49"/>
  <c r="G19" i="37"/>
  <c r="H19" i="37" s="1"/>
  <c r="K52" i="37"/>
  <c r="L52" i="37" s="1"/>
  <c r="L64" i="49"/>
  <c r="L69" i="49"/>
  <c r="K17" i="37"/>
  <c r="L17" i="37" s="1"/>
  <c r="T60" i="49"/>
  <c r="T28" i="49"/>
  <c r="T32" i="48"/>
  <c r="T42" i="48"/>
  <c r="G61" i="36"/>
  <c r="H61" i="36" s="1"/>
  <c r="T30" i="48"/>
  <c r="K63" i="36"/>
  <c r="L63" i="36" s="1"/>
  <c r="T16" i="48"/>
  <c r="J73" i="48"/>
  <c r="K56" i="36"/>
  <c r="L56" i="36" s="1"/>
  <c r="T41" i="48"/>
  <c r="T33" i="48"/>
  <c r="T68" i="48"/>
  <c r="L56" i="48"/>
  <c r="K21" i="36"/>
  <c r="L21" i="36" s="1"/>
  <c r="L51" i="47"/>
  <c r="G31" i="35"/>
  <c r="H31" i="35" s="1"/>
  <c r="K72" i="35"/>
  <c r="L72" i="35" s="1"/>
  <c r="G59" i="35"/>
  <c r="H59" i="35" s="1"/>
  <c r="L56" i="47"/>
  <c r="G50" i="35"/>
  <c r="H50" i="35" s="1"/>
  <c r="G45" i="35"/>
  <c r="H45" i="35" s="1"/>
  <c r="L36" i="47"/>
  <c r="T25" i="47"/>
  <c r="G47" i="34"/>
  <c r="H47" i="34" s="1"/>
  <c r="G54" i="34"/>
  <c r="H54" i="34" s="1"/>
  <c r="K35" i="34"/>
  <c r="L35" i="34" s="1"/>
  <c r="J73" i="46"/>
  <c r="L37" i="46"/>
  <c r="K21" i="34"/>
  <c r="L21" i="34" s="1"/>
  <c r="L40" i="46"/>
  <c r="T51" i="46"/>
  <c r="K31" i="34"/>
  <c r="L31" i="34" s="1"/>
  <c r="K27" i="34"/>
  <c r="L27" i="34" s="1"/>
  <c r="G55" i="34"/>
  <c r="H55" i="34" s="1"/>
  <c r="L17" i="46"/>
  <c r="T24" i="46"/>
  <c r="T36" i="46"/>
  <c r="K70" i="34"/>
  <c r="L70" i="34" s="1"/>
  <c r="G35" i="34"/>
  <c r="H35" i="34" s="1"/>
  <c r="T49" i="46"/>
  <c r="T72" i="46"/>
  <c r="L47" i="46"/>
  <c r="K60" i="34"/>
  <c r="L60" i="34" s="1"/>
  <c r="K45" i="34"/>
  <c r="L45" i="34" s="1"/>
  <c r="G51" i="80"/>
  <c r="H51" i="80" s="1"/>
  <c r="L50" i="71"/>
  <c r="K62" i="79"/>
  <c r="L62" i="79" s="1"/>
  <c r="T61" i="70"/>
  <c r="T40" i="66"/>
  <c r="K41" i="75"/>
  <c r="L41" i="75" s="1"/>
  <c r="L42" i="69"/>
  <c r="K17" i="81"/>
  <c r="L17" i="81" s="1"/>
  <c r="K52" i="82"/>
  <c r="L52" i="82" s="1"/>
  <c r="R73" i="48"/>
  <c r="T16" i="72"/>
  <c r="G68" i="79"/>
  <c r="H68" i="79" s="1"/>
  <c r="K63" i="34"/>
  <c r="L63" i="34" s="1"/>
  <c r="G23" i="82"/>
  <c r="H23" i="82" s="1"/>
  <c r="L15" i="68"/>
  <c r="K36" i="82"/>
  <c r="L36" i="82" s="1"/>
  <c r="K16" i="76"/>
  <c r="L16" i="76" s="1"/>
  <c r="L32" i="68"/>
  <c r="K71" i="74"/>
  <c r="L71" i="74" s="1"/>
  <c r="G20" i="36"/>
  <c r="H20" i="36" s="1"/>
  <c r="L70" i="70"/>
  <c r="K61" i="78"/>
  <c r="L61" i="78" s="1"/>
  <c r="L46" i="69"/>
  <c r="L51" i="67"/>
  <c r="K71" i="35"/>
  <c r="L71" i="35" s="1"/>
  <c r="G16" i="34"/>
  <c r="H16" i="34" s="1"/>
  <c r="L15" i="47"/>
  <c r="K38" i="77"/>
  <c r="L38" i="77" s="1"/>
  <c r="T68" i="66"/>
  <c r="G36" i="81"/>
  <c r="H36" i="81" s="1"/>
  <c r="R73" i="68"/>
  <c r="K27" i="74"/>
  <c r="L27" i="74" s="1"/>
  <c r="L45" i="66"/>
  <c r="G46" i="75"/>
  <c r="H46" i="75" s="1"/>
  <c r="K27" i="37"/>
  <c r="L27" i="37" s="1"/>
  <c r="T26" i="49"/>
  <c r="T62" i="73"/>
  <c r="K63" i="82"/>
  <c r="L63" i="82" s="1"/>
  <c r="K27" i="75"/>
  <c r="L27" i="75" s="1"/>
  <c r="T26" i="66"/>
  <c r="L36" i="65"/>
  <c r="G37" i="74"/>
  <c r="H37" i="74" s="1"/>
  <c r="K43" i="74"/>
  <c r="L43" i="74" s="1"/>
  <c r="T42" i="65"/>
  <c r="G34" i="78"/>
  <c r="H34" i="78" s="1"/>
  <c r="L33" i="69"/>
  <c r="K68" i="34"/>
  <c r="L68" i="34" s="1"/>
  <c r="T67" i="46"/>
  <c r="T69" i="48"/>
  <c r="K70" i="36"/>
  <c r="L70" i="36" s="1"/>
  <c r="K55" i="35"/>
  <c r="L55" i="35" s="1"/>
  <c r="T54" i="47"/>
  <c r="T20" i="70"/>
  <c r="K21" i="79"/>
  <c r="L21" i="79" s="1"/>
  <c r="G52" i="34"/>
  <c r="H52" i="34" s="1"/>
  <c r="L51" i="46"/>
  <c r="T62" i="72"/>
  <c r="K63" i="81"/>
  <c r="L63" i="81" s="1"/>
  <c r="K54" i="82"/>
  <c r="L54" i="82" s="1"/>
  <c r="T53" i="73"/>
  <c r="T25" i="46"/>
  <c r="K26" i="34"/>
  <c r="L26" i="34" s="1"/>
  <c r="K38" i="81"/>
  <c r="L38" i="81" s="1"/>
  <c r="T37" i="72"/>
  <c r="K29" i="75"/>
  <c r="L29" i="75" s="1"/>
  <c r="T28" i="66"/>
  <c r="K61" i="75"/>
  <c r="L61" i="75" s="1"/>
  <c r="T60" i="66"/>
  <c r="L16" i="71"/>
  <c r="G17" i="80"/>
  <c r="H17" i="80" s="1"/>
  <c r="L46" i="68"/>
  <c r="G47" i="77"/>
  <c r="H47" i="77" s="1"/>
  <c r="K32" i="75"/>
  <c r="L32" i="75" s="1"/>
  <c r="T31" i="66"/>
  <c r="K31" i="80"/>
  <c r="L31" i="80" s="1"/>
  <c r="T30" i="71"/>
  <c r="L53" i="48"/>
  <c r="G54" i="36"/>
  <c r="H54" i="36" s="1"/>
  <c r="G16" i="75"/>
  <c r="L15" i="66"/>
  <c r="K41" i="76"/>
  <c r="L41" i="76" s="1"/>
  <c r="T40" i="67"/>
  <c r="T15" i="47"/>
  <c r="K16" i="35"/>
  <c r="L16" i="35" s="1"/>
  <c r="L68" i="49"/>
  <c r="G69" i="37"/>
  <c r="H69" i="37" s="1"/>
  <c r="K33" i="82"/>
  <c r="L33" i="82" s="1"/>
  <c r="T32" i="73"/>
  <c r="K51" i="77"/>
  <c r="L51" i="77" s="1"/>
  <c r="T50" i="68"/>
  <c r="K30" i="35"/>
  <c r="L30" i="35" s="1"/>
  <c r="T29" i="47"/>
  <c r="L33" i="48"/>
  <c r="G34" i="36"/>
  <c r="H34" i="36" s="1"/>
  <c r="L63" i="73"/>
  <c r="G64" i="82"/>
  <c r="H64" i="82" s="1"/>
  <c r="L21" i="46"/>
  <c r="G22" i="34"/>
  <c r="H22" i="34" s="1"/>
  <c r="K19" i="35"/>
  <c r="L19" i="35" s="1"/>
  <c r="T18" i="47"/>
  <c r="L53" i="47"/>
  <c r="G54" i="35"/>
  <c r="H54" i="35" s="1"/>
  <c r="T61" i="69"/>
  <c r="K62" i="78"/>
  <c r="L62" i="78" s="1"/>
  <c r="T43" i="66"/>
  <c r="K44" i="75"/>
  <c r="L44" i="75" s="1"/>
  <c r="G71" i="74"/>
  <c r="H71" i="74" s="1"/>
  <c r="K39" i="37"/>
  <c r="L39" i="37" s="1"/>
  <c r="L45" i="46"/>
  <c r="K19" i="36"/>
  <c r="L19" i="36" s="1"/>
  <c r="L51" i="48"/>
  <c r="K66" i="36"/>
  <c r="L66" i="36" s="1"/>
  <c r="K54" i="37"/>
  <c r="L54" i="37" s="1"/>
  <c r="T53" i="49"/>
  <c r="T44" i="72"/>
  <c r="K45" i="81"/>
  <c r="L45" i="81" s="1"/>
  <c r="G43" i="35"/>
  <c r="H43" i="35" s="1"/>
  <c r="L42" i="47"/>
  <c r="T64" i="49"/>
  <c r="K65" i="37"/>
  <c r="L65" i="37" s="1"/>
  <c r="L35" i="71"/>
  <c r="G36" i="80"/>
  <c r="H36" i="80" s="1"/>
  <c r="L64" i="69"/>
  <c r="T24" i="69"/>
  <c r="K32" i="37"/>
  <c r="L32" i="37" s="1"/>
  <c r="K52" i="78"/>
  <c r="L52" i="78" s="1"/>
  <c r="L32" i="46"/>
  <c r="K56" i="34"/>
  <c r="L56" i="34" s="1"/>
  <c r="G53" i="34"/>
  <c r="H53" i="34" s="1"/>
  <c r="L19" i="73"/>
  <c r="T68" i="71"/>
  <c r="G26" i="82"/>
  <c r="H26" i="82" s="1"/>
  <c r="L47" i="47"/>
  <c r="G65" i="81"/>
  <c r="H65" i="81" s="1"/>
  <c r="R73" i="66"/>
  <c r="L20" i="47"/>
  <c r="K47" i="81"/>
  <c r="L47" i="81" s="1"/>
  <c r="L67" i="69"/>
  <c r="L22" i="65"/>
  <c r="T48" i="71"/>
  <c r="L62" i="72"/>
  <c r="G59" i="78"/>
  <c r="H59" i="78" s="1"/>
  <c r="K63" i="76"/>
  <c r="L63" i="76" s="1"/>
  <c r="G55" i="80"/>
  <c r="H55" i="80" s="1"/>
  <c r="T41" i="49"/>
  <c r="L67" i="47"/>
  <c r="G45" i="77"/>
  <c r="H45" i="77" s="1"/>
  <c r="K65" i="82"/>
  <c r="L65" i="82" s="1"/>
  <c r="L45" i="47"/>
  <c r="L61" i="67"/>
  <c r="K37" i="81"/>
  <c r="L37" i="81" s="1"/>
  <c r="K43" i="81"/>
  <c r="L43" i="81" s="1"/>
  <c r="G72" i="76"/>
  <c r="H72" i="76" s="1"/>
  <c r="L71" i="67"/>
  <c r="K65" i="76"/>
  <c r="L65" i="76" s="1"/>
  <c r="T64" i="67"/>
  <c r="G68" i="34"/>
  <c r="H68" i="34" s="1"/>
  <c r="L67" i="46"/>
  <c r="G44" i="34"/>
  <c r="H44" i="34" s="1"/>
  <c r="L43" i="46"/>
  <c r="T39" i="68"/>
  <c r="K40" i="77"/>
  <c r="L40" i="77" s="1"/>
  <c r="G42" i="78"/>
  <c r="H42" i="78" s="1"/>
  <c r="L41" i="69"/>
  <c r="T22" i="47"/>
  <c r="K23" i="35"/>
  <c r="L23" i="35" s="1"/>
  <c r="T16" i="69"/>
  <c r="R73" i="69"/>
  <c r="K17" i="78"/>
  <c r="L17" i="78" s="1"/>
  <c r="T30" i="68"/>
  <c r="K31" i="77"/>
  <c r="L31" i="77" s="1"/>
  <c r="L29" i="73"/>
  <c r="G30" i="82"/>
  <c r="H30" i="82" s="1"/>
  <c r="G40" i="78"/>
  <c r="H40" i="78" s="1"/>
  <c r="T29" i="71"/>
  <c r="K30" i="80"/>
  <c r="L30" i="80" s="1"/>
  <c r="L41" i="65"/>
  <c r="G42" i="74"/>
  <c r="H42" i="74" s="1"/>
  <c r="G61" i="76"/>
  <c r="H61" i="76" s="1"/>
  <c r="L60" i="67"/>
  <c r="K62" i="77"/>
  <c r="L62" i="77" s="1"/>
  <c r="T61" i="68"/>
  <c r="G53" i="75"/>
  <c r="H53" i="75" s="1"/>
  <c r="L52" i="66"/>
  <c r="L21" i="66"/>
  <c r="L61" i="66"/>
  <c r="K60" i="74"/>
  <c r="L60" i="74" s="1"/>
  <c r="L41" i="47"/>
  <c r="K33" i="79"/>
  <c r="L33" i="79" s="1"/>
  <c r="G68" i="81"/>
  <c r="H68" i="81" s="1"/>
  <c r="L23" i="68"/>
  <c r="G65" i="77"/>
  <c r="H65" i="77" s="1"/>
  <c r="T16" i="68"/>
  <c r="T33" i="70"/>
  <c r="T46" i="71"/>
  <c r="L26" i="68"/>
  <c r="G21" i="75"/>
  <c r="H21" i="75" s="1"/>
  <c r="L27" i="73"/>
  <c r="K50" i="74"/>
  <c r="L50" i="74" s="1"/>
  <c r="T39" i="49"/>
  <c r="L26" i="49"/>
  <c r="G56" i="35"/>
  <c r="H56" i="35" s="1"/>
  <c r="G64" i="74"/>
  <c r="H64" i="74" s="1"/>
  <c r="G26" i="80"/>
  <c r="H26" i="80" s="1"/>
  <c r="L65" i="69"/>
  <c r="L38" i="65"/>
  <c r="T44" i="71"/>
  <c r="T52" i="66"/>
  <c r="K53" i="75"/>
  <c r="L53" i="75" s="1"/>
  <c r="T45" i="72"/>
  <c r="K46" i="81"/>
  <c r="L46" i="81" s="1"/>
  <c r="L32" i="72"/>
  <c r="G33" i="81"/>
  <c r="H33" i="81" s="1"/>
  <c r="K35" i="36"/>
  <c r="L35" i="36" s="1"/>
  <c r="T34" i="48"/>
  <c r="K64" i="80"/>
  <c r="L64" i="80" s="1"/>
  <c r="T63" i="71"/>
  <c r="L17" i="69"/>
  <c r="G18" i="78"/>
  <c r="H18" i="78" s="1"/>
  <c r="G32" i="36"/>
  <c r="H32" i="36" s="1"/>
  <c r="L31" i="48"/>
  <c r="T71" i="66"/>
  <c r="K72" i="75"/>
  <c r="L72" i="75" s="1"/>
  <c r="G72" i="82"/>
  <c r="H72" i="82" s="1"/>
  <c r="L71" i="73"/>
  <c r="T68" i="68"/>
  <c r="K69" i="77"/>
  <c r="L69" i="77" s="1"/>
  <c r="L35" i="66"/>
  <c r="G36" i="75"/>
  <c r="H36" i="75" s="1"/>
  <c r="G60" i="80"/>
  <c r="H60" i="80" s="1"/>
  <c r="L59" i="71"/>
  <c r="G52" i="74"/>
  <c r="H52" i="74" s="1"/>
  <c r="L51" i="65"/>
  <c r="L16" i="73"/>
  <c r="G17" i="82"/>
  <c r="H17" i="82" s="1"/>
  <c r="G22" i="35"/>
  <c r="H22" i="35" s="1"/>
  <c r="K37" i="37"/>
  <c r="L37" i="37" s="1"/>
  <c r="L43" i="72"/>
  <c r="G44" i="81"/>
  <c r="H44" i="81" s="1"/>
  <c r="L24" i="68"/>
  <c r="G25" i="77"/>
  <c r="H25" i="77" s="1"/>
  <c r="K31" i="75"/>
  <c r="L31" i="75" s="1"/>
  <c r="T30" i="66"/>
  <c r="L49" i="72"/>
  <c r="G50" i="81"/>
  <c r="H50" i="81" s="1"/>
  <c r="L19" i="47"/>
  <c r="G20" i="35"/>
  <c r="H20" i="35" s="1"/>
  <c r="G44" i="80"/>
  <c r="H44" i="80" s="1"/>
  <c r="L43" i="71"/>
  <c r="K53" i="77"/>
  <c r="L53" i="77" s="1"/>
  <c r="K59" i="76"/>
  <c r="L59" i="76" s="1"/>
  <c r="K63" i="74"/>
  <c r="L63" i="74" s="1"/>
  <c r="G37" i="77"/>
  <c r="H37" i="77" s="1"/>
  <c r="L57" i="48"/>
  <c r="G44" i="78"/>
  <c r="H44" i="78" s="1"/>
  <c r="K30" i="79"/>
  <c r="L30" i="79" s="1"/>
  <c r="G69" i="82"/>
  <c r="H69" i="82" s="1"/>
  <c r="G16" i="37"/>
  <c r="H16" i="37" s="1"/>
  <c r="L45" i="49"/>
  <c r="T41" i="47"/>
  <c r="G68" i="76"/>
  <c r="H68" i="76" s="1"/>
  <c r="K73" i="77"/>
  <c r="L73" i="77" s="1"/>
  <c r="K39" i="77"/>
  <c r="L39" i="77" s="1"/>
  <c r="G57" i="37"/>
  <c r="H57" i="37" s="1"/>
  <c r="K49" i="35"/>
  <c r="L49" i="35" s="1"/>
  <c r="T16" i="73"/>
  <c r="K19" i="79"/>
  <c r="L19" i="79" s="1"/>
  <c r="G51" i="74"/>
  <c r="H51" i="74" s="1"/>
  <c r="G54" i="80"/>
  <c r="H54" i="80" s="1"/>
  <c r="L50" i="49"/>
  <c r="G48" i="37"/>
  <c r="H48" i="37" s="1"/>
  <c r="G52" i="82"/>
  <c r="H52" i="82" s="1"/>
  <c r="L55" i="70"/>
  <c r="G33" i="76"/>
  <c r="H33" i="76" s="1"/>
  <c r="T29" i="67"/>
  <c r="T57" i="48"/>
  <c r="T66" i="46"/>
  <c r="L34" i="47"/>
  <c r="L20" i="73"/>
  <c r="T57" i="46"/>
  <c r="L53" i="49"/>
  <c r="G30" i="74"/>
  <c r="H30" i="74" s="1"/>
  <c r="L67" i="71"/>
  <c r="T39" i="73"/>
  <c r="L23" i="48"/>
  <c r="G57" i="76"/>
  <c r="H57" i="76" s="1"/>
  <c r="L43" i="67"/>
  <c r="G73" i="80"/>
  <c r="H73" i="80" s="1"/>
  <c r="L42" i="73"/>
  <c r="K41" i="81"/>
  <c r="L41" i="81" s="1"/>
  <c r="G41" i="74"/>
  <c r="H41" i="74" s="1"/>
  <c r="G27" i="81"/>
  <c r="H27" i="81" s="1"/>
  <c r="G49" i="36"/>
  <c r="H49" i="36" s="1"/>
  <c r="T50" i="73"/>
  <c r="T49" i="68"/>
  <c r="G49" i="82"/>
  <c r="H49" i="82" s="1"/>
  <c r="T70" i="69"/>
  <c r="L56" i="70"/>
  <c r="L29" i="67"/>
  <c r="L39" i="68"/>
  <c r="L43" i="70"/>
  <c r="K68" i="76"/>
  <c r="L68" i="76" s="1"/>
  <c r="K71" i="77"/>
  <c r="L71" i="77" s="1"/>
  <c r="L57" i="71"/>
  <c r="L58" i="73"/>
  <c r="T17" i="67"/>
  <c r="G17" i="75"/>
  <c r="H17" i="75" s="1"/>
  <c r="T47" i="70"/>
  <c r="G61" i="35"/>
  <c r="H61" i="35" s="1"/>
  <c r="L26" i="47"/>
  <c r="G73" i="34"/>
  <c r="H73" i="34" s="1"/>
  <c r="K53" i="76"/>
  <c r="L53" i="76" s="1"/>
  <c r="G65" i="79"/>
  <c r="H65" i="79" s="1"/>
  <c r="L40" i="47"/>
  <c r="K29" i="81"/>
  <c r="L29" i="81" s="1"/>
  <c r="K68" i="82"/>
  <c r="L68" i="82" s="1"/>
  <c r="T31" i="47"/>
  <c r="L34" i="68"/>
  <c r="L54" i="69"/>
  <c r="T35" i="68"/>
  <c r="L46" i="67"/>
  <c r="T51" i="65"/>
  <c r="K41" i="79"/>
  <c r="L41" i="79" s="1"/>
  <c r="T38" i="65"/>
  <c r="K39" i="74"/>
  <c r="L39" i="74" s="1"/>
  <c r="T46" i="48"/>
  <c r="K47" i="36"/>
  <c r="L47" i="36" s="1"/>
  <c r="K25" i="36"/>
  <c r="L25" i="36" s="1"/>
  <c r="T24" i="48"/>
  <c r="T34" i="72"/>
  <c r="K35" i="81"/>
  <c r="L35" i="81" s="1"/>
  <c r="K46" i="36"/>
  <c r="L46" i="36" s="1"/>
  <c r="T45" i="48"/>
  <c r="K53" i="37"/>
  <c r="L53" i="37" s="1"/>
  <c r="T52" i="49"/>
  <c r="L50" i="69"/>
  <c r="G51" i="78"/>
  <c r="H51" i="78" s="1"/>
  <c r="K54" i="74"/>
  <c r="L54" i="74" s="1"/>
  <c r="T53" i="65"/>
  <c r="T39" i="69"/>
  <c r="K40" i="78"/>
  <c r="L40" i="78" s="1"/>
  <c r="K39" i="35"/>
  <c r="L39" i="35" s="1"/>
  <c r="T38" i="47"/>
  <c r="L16" i="48"/>
  <c r="G17" i="36"/>
  <c r="H17" i="36" s="1"/>
  <c r="T53" i="48"/>
  <c r="K54" i="36"/>
  <c r="L54" i="36" s="1"/>
  <c r="L26" i="46"/>
  <c r="G27" i="34"/>
  <c r="H27" i="34" s="1"/>
  <c r="R73" i="46"/>
  <c r="K16" i="34"/>
  <c r="L16" i="34" s="1"/>
  <c r="T15" i="46"/>
  <c r="L32" i="70"/>
  <c r="G33" i="79"/>
  <c r="H33" i="79" s="1"/>
  <c r="L35" i="46"/>
  <c r="G36" i="34"/>
  <c r="H36" i="34" s="1"/>
  <c r="L67" i="49"/>
  <c r="G68" i="37"/>
  <c r="H68" i="37" s="1"/>
  <c r="L27" i="48"/>
  <c r="G28" i="36"/>
  <c r="H28" i="36" s="1"/>
  <c r="L23" i="47"/>
  <c r="G24" i="35"/>
  <c r="H24" i="35" s="1"/>
  <c r="L20" i="48"/>
  <c r="G21" i="36"/>
  <c r="H21" i="36" s="1"/>
  <c r="T32" i="71"/>
  <c r="K33" i="80"/>
  <c r="L33" i="80" s="1"/>
  <c r="T69" i="72"/>
  <c r="K70" i="81"/>
  <c r="L70" i="81" s="1"/>
  <c r="T19" i="67"/>
  <c r="K20" i="76"/>
  <c r="L20" i="76" s="1"/>
  <c r="G17" i="74"/>
  <c r="H17" i="74" s="1"/>
  <c r="L16" i="65"/>
  <c r="T15" i="71"/>
  <c r="K16" i="80"/>
  <c r="L16" i="80" s="1"/>
  <c r="R73" i="71"/>
  <c r="T51" i="67"/>
  <c r="K52" i="76"/>
  <c r="L52" i="76" s="1"/>
  <c r="G50" i="37"/>
  <c r="H50" i="37" s="1"/>
  <c r="L49" i="49"/>
  <c r="K66" i="80"/>
  <c r="L66" i="80" s="1"/>
  <c r="T65" i="71"/>
  <c r="L33" i="70"/>
  <c r="G34" i="79"/>
  <c r="H34" i="79" s="1"/>
  <c r="G56" i="76"/>
  <c r="H56" i="76" s="1"/>
  <c r="L55" i="67"/>
  <c r="L21" i="73"/>
  <c r="G22" i="82"/>
  <c r="H22" i="82" s="1"/>
  <c r="G17" i="35"/>
  <c r="H17" i="35" s="1"/>
  <c r="L16" i="47"/>
  <c r="T28" i="71"/>
  <c r="K29" i="80"/>
  <c r="L29" i="80" s="1"/>
  <c r="L35" i="49"/>
  <c r="G36" i="37"/>
  <c r="H36" i="37" s="1"/>
  <c r="G31" i="77"/>
  <c r="H31" i="77" s="1"/>
  <c r="L30" i="68"/>
  <c r="K47" i="76"/>
  <c r="L47" i="76" s="1"/>
  <c r="T46" i="67"/>
  <c r="K58" i="78"/>
  <c r="L58" i="78" s="1"/>
  <c r="T57" i="69"/>
  <c r="G37" i="34"/>
  <c r="H37" i="34" s="1"/>
  <c r="L36" i="46"/>
  <c r="K23" i="79"/>
  <c r="L23" i="79" s="1"/>
  <c r="T22" i="70"/>
  <c r="T15" i="49"/>
  <c r="K16" i="37"/>
  <c r="L16" i="37" s="1"/>
  <c r="R73" i="49"/>
  <c r="G17" i="79"/>
  <c r="H17" i="79" s="1"/>
  <c r="L16" i="70"/>
  <c r="L53" i="69"/>
  <c r="G54" i="78"/>
  <c r="H54" i="78" s="1"/>
  <c r="R73" i="70"/>
  <c r="R73" i="73"/>
  <c r="K41" i="34"/>
  <c r="L41" i="34" s="1"/>
  <c r="T40" i="46"/>
  <c r="G45" i="75"/>
  <c r="H45" i="75" s="1"/>
  <c r="L44" i="66"/>
  <c r="R73" i="67"/>
  <c r="L62" i="47"/>
  <c r="K61" i="76"/>
  <c r="L61" i="76" s="1"/>
  <c r="K41" i="78"/>
  <c r="L41" i="78" s="1"/>
  <c r="T68" i="65"/>
  <c r="L56" i="72"/>
  <c r="L15" i="46"/>
  <c r="J73" i="47"/>
  <c r="G33" i="78"/>
  <c r="H33" i="78" s="1"/>
  <c r="L32" i="69"/>
  <c r="K60" i="37"/>
  <c r="L60" i="37" s="1"/>
  <c r="T59" i="49"/>
  <c r="T38" i="46"/>
  <c r="K39" i="34"/>
  <c r="L39" i="34" s="1"/>
  <c r="G21" i="76"/>
  <c r="H21" i="76" s="1"/>
  <c r="L20" i="67"/>
  <c r="T63" i="68"/>
  <c r="K64" i="77"/>
  <c r="L64" i="77" s="1"/>
  <c r="T50" i="65"/>
  <c r="K51" i="74"/>
  <c r="L51" i="74" s="1"/>
  <c r="K43" i="78"/>
  <c r="L43" i="78" s="1"/>
  <c r="T42" i="69"/>
  <c r="K27" i="81"/>
  <c r="L27" i="81" s="1"/>
  <c r="T26" i="72"/>
  <c r="K57" i="34"/>
  <c r="L57" i="34" s="1"/>
  <c r="T56" i="46"/>
  <c r="G59" i="37"/>
  <c r="H59" i="37" s="1"/>
  <c r="L58" i="49"/>
  <c r="K29" i="79"/>
  <c r="L29" i="79" s="1"/>
  <c r="T28" i="70"/>
  <c r="G68" i="36"/>
  <c r="H68" i="36" s="1"/>
  <c r="L67" i="48"/>
  <c r="T35" i="67"/>
  <c r="K36" i="76"/>
  <c r="L36" i="76" s="1"/>
  <c r="L62" i="65"/>
  <c r="G63" i="74"/>
  <c r="H63" i="74" s="1"/>
  <c r="K18" i="78"/>
  <c r="L18" i="78" s="1"/>
  <c r="T17" i="69"/>
  <c r="L32" i="47"/>
  <c r="G33" i="35"/>
  <c r="H33" i="35" s="1"/>
  <c r="K70" i="37"/>
  <c r="L70" i="37" s="1"/>
  <c r="T69" i="49"/>
  <c r="K51" i="80"/>
  <c r="L51" i="80" s="1"/>
  <c r="T50" i="71"/>
  <c r="G17" i="34"/>
  <c r="H17" i="34" s="1"/>
  <c r="L16" i="46"/>
  <c r="K20" i="34"/>
  <c r="L20" i="34" s="1"/>
  <c r="T19" i="46"/>
  <c r="T61" i="48"/>
  <c r="K62" i="36"/>
  <c r="L62" i="36" s="1"/>
  <c r="K19" i="77"/>
  <c r="L19" i="77" s="1"/>
  <c r="T18" i="68"/>
  <c r="K31" i="79"/>
  <c r="L31" i="79" s="1"/>
  <c r="T30" i="70"/>
  <c r="K35" i="74"/>
  <c r="L35" i="74" s="1"/>
  <c r="T34" i="65"/>
  <c r="K52" i="80"/>
  <c r="L52" i="80" s="1"/>
  <c r="T51" i="71"/>
  <c r="K19" i="74"/>
  <c r="L19" i="74" s="1"/>
  <c r="T18" i="65"/>
  <c r="R73" i="65"/>
  <c r="L59" i="66"/>
  <c r="G60" i="75"/>
  <c r="H60" i="75" s="1"/>
  <c r="L18" i="68"/>
  <c r="G19" i="77"/>
  <c r="H19" i="77" s="1"/>
  <c r="T65" i="49"/>
  <c r="K66" i="37"/>
  <c r="L66" i="37" s="1"/>
  <c r="L64" i="65"/>
  <c r="G65" i="74"/>
  <c r="H65" i="74" s="1"/>
  <c r="K38" i="79"/>
  <c r="L38" i="79" s="1"/>
  <c r="T37" i="70"/>
  <c r="K47" i="34"/>
  <c r="L47" i="34" s="1"/>
  <c r="T46" i="46"/>
  <c r="L57" i="69"/>
  <c r="G58" i="78"/>
  <c r="H58" i="78" s="1"/>
  <c r="G49" i="79"/>
  <c r="H49" i="79" s="1"/>
  <c r="L48" i="70"/>
  <c r="G34" i="81"/>
  <c r="H34" i="81" s="1"/>
  <c r="T43" i="49"/>
  <c r="T24" i="65"/>
  <c r="T21" i="48"/>
  <c r="G30" i="75"/>
  <c r="H30" i="75" s="1"/>
  <c r="T60" i="47"/>
  <c r="G62" i="74"/>
  <c r="H62" i="74" s="1"/>
  <c r="T28" i="73"/>
  <c r="K17" i="79"/>
  <c r="L17" i="79" s="1"/>
  <c r="G49" i="81"/>
  <c r="H49" i="81" s="1"/>
  <c r="G70" i="76"/>
  <c r="H70" i="76" s="1"/>
  <c r="K41" i="36"/>
  <c r="L41" i="36" s="1"/>
  <c r="G67" i="81"/>
  <c r="H67" i="81" s="1"/>
  <c r="G67" i="82"/>
  <c r="H67" i="82" s="1"/>
  <c r="T49" i="47"/>
  <c r="K73" i="74"/>
  <c r="L73" i="74" s="1"/>
  <c r="T59" i="67"/>
  <c r="K27" i="36"/>
  <c r="L27" i="36" s="1"/>
  <c r="G22" i="74"/>
  <c r="H22" i="74" s="1"/>
  <c r="L60" i="65"/>
  <c r="L36" i="67"/>
  <c r="K51" i="36"/>
  <c r="L51" i="36" s="1"/>
  <c r="G27" i="82"/>
  <c r="H27" i="82" s="1"/>
  <c r="L21" i="71"/>
  <c r="H16" i="79"/>
  <c r="H16" i="77"/>
  <c r="L16" i="82"/>
  <c r="L16" i="36"/>
  <c r="H16" i="81"/>
  <c r="H16" i="35"/>
  <c r="L16" i="75"/>
  <c r="L16" i="81"/>
  <c r="H16" i="82"/>
  <c r="L16" i="79"/>
  <c r="T73" i="73" l="1"/>
  <c r="T73" i="65"/>
  <c r="K74" i="75"/>
  <c r="H21" i="33" s="1"/>
  <c r="G74" i="75"/>
  <c r="F21" i="33" s="1"/>
  <c r="L73" i="72"/>
  <c r="T73" i="69"/>
  <c r="T73" i="71"/>
  <c r="T73" i="72"/>
  <c r="T73" i="66"/>
  <c r="L73" i="46"/>
  <c r="L73" i="49"/>
  <c r="L74" i="75"/>
  <c r="L73" i="66"/>
  <c r="L73" i="73"/>
  <c r="T73" i="70"/>
  <c r="H16" i="75"/>
  <c r="H74" i="75" s="1"/>
  <c r="L73" i="71"/>
  <c r="L73" i="68"/>
  <c r="K74" i="77"/>
  <c r="H23" i="33" s="1"/>
  <c r="T73" i="67"/>
  <c r="L73" i="69"/>
  <c r="L73" i="47"/>
  <c r="T73" i="68"/>
  <c r="L73" i="67"/>
  <c r="L73" i="70"/>
  <c r="L73" i="65"/>
  <c r="H75" i="65" s="1"/>
  <c r="T73" i="49"/>
  <c r="L73" i="48"/>
  <c r="T73" i="48"/>
  <c r="L74" i="35"/>
  <c r="T73" i="47"/>
  <c r="L74" i="34"/>
  <c r="T73" i="46"/>
  <c r="G74" i="37"/>
  <c r="F18" i="33" s="1"/>
  <c r="H74" i="37"/>
  <c r="K74" i="74"/>
  <c r="H20" i="33" s="1"/>
  <c r="L74" i="74"/>
  <c r="G74" i="78"/>
  <c r="F24" i="33" s="1"/>
  <c r="G74" i="74"/>
  <c r="F20" i="33" s="1"/>
  <c r="L74" i="78"/>
  <c r="L74" i="77"/>
  <c r="H74" i="82"/>
  <c r="H74" i="78"/>
  <c r="H74" i="74"/>
  <c r="H74" i="76"/>
  <c r="K74" i="82"/>
  <c r="H28" i="33" s="1"/>
  <c r="K74" i="78"/>
  <c r="H24" i="33" s="1"/>
  <c r="K74" i="79"/>
  <c r="H25" i="33" s="1"/>
  <c r="L74" i="76"/>
  <c r="L74" i="82"/>
  <c r="H74" i="36"/>
  <c r="G74" i="81"/>
  <c r="F27" i="33" s="1"/>
  <c r="H74" i="77"/>
  <c r="K74" i="80"/>
  <c r="H26" i="33" s="1"/>
  <c r="G74" i="80"/>
  <c r="F26" i="33" s="1"/>
  <c r="G74" i="77"/>
  <c r="F23" i="33" s="1"/>
  <c r="L74" i="79"/>
  <c r="H74" i="80"/>
  <c r="K74" i="76"/>
  <c r="H22" i="33" s="1"/>
  <c r="K74" i="35"/>
  <c r="H16" i="33" s="1"/>
  <c r="G74" i="36"/>
  <c r="F17" i="33" s="1"/>
  <c r="H74" i="81"/>
  <c r="L74" i="80"/>
  <c r="L74" i="81"/>
  <c r="G74" i="34"/>
  <c r="F15" i="33" s="1"/>
  <c r="L74" i="36"/>
  <c r="G74" i="79"/>
  <c r="F25" i="33" s="1"/>
  <c r="K74" i="37"/>
  <c r="H18" i="33" s="1"/>
  <c r="K74" i="34"/>
  <c r="H15" i="33" s="1"/>
  <c r="K74" i="36"/>
  <c r="H17" i="33" s="1"/>
  <c r="L74" i="37"/>
  <c r="G74" i="35"/>
  <c r="F16" i="33" s="1"/>
  <c r="G74" i="82"/>
  <c r="F28" i="33" s="1"/>
  <c r="G74" i="76"/>
  <c r="F22" i="33" s="1"/>
  <c r="K74" i="81"/>
  <c r="H27" i="33" s="1"/>
  <c r="H74" i="34"/>
  <c r="H74" i="79"/>
  <c r="H74" i="35"/>
  <c r="I21" i="33" l="1"/>
  <c r="I20" i="33"/>
  <c r="F76" i="80"/>
  <c r="D25" i="52" s="1"/>
  <c r="F25" i="52" s="1"/>
  <c r="F76" i="75"/>
  <c r="D20" i="52" s="1"/>
  <c r="F20" i="52" s="1"/>
  <c r="F76" i="78"/>
  <c r="D23" i="52" s="1"/>
  <c r="F23" i="52" s="1"/>
  <c r="H75" i="49"/>
  <c r="I23" i="33"/>
  <c r="F76" i="35"/>
  <c r="D16" i="52" s="1"/>
  <c r="F16" i="52" s="1"/>
  <c r="H75" i="73"/>
  <c r="I26" i="33"/>
  <c r="F76" i="37"/>
  <c r="D18" i="52" s="1"/>
  <c r="F18" i="52" s="1"/>
  <c r="F76" i="82"/>
  <c r="D27" i="52" s="1"/>
  <c r="F27" i="52" s="1"/>
  <c r="F76" i="81"/>
  <c r="D26" i="52" s="1"/>
  <c r="F26" i="52" s="1"/>
  <c r="H75" i="72"/>
  <c r="F76" i="79"/>
  <c r="D24" i="52" s="1"/>
  <c r="F24" i="52" s="1"/>
  <c r="I16" i="33"/>
  <c r="I27" i="33"/>
  <c r="H75" i="67"/>
  <c r="H75" i="69"/>
  <c r="F76" i="77"/>
  <c r="D22" i="52" s="1"/>
  <c r="F22" i="52" s="1"/>
  <c r="H75" i="66"/>
  <c r="F76" i="74"/>
  <c r="D19" i="52" s="1"/>
  <c r="F19" i="52" s="1"/>
  <c r="H75" i="47"/>
  <c r="H75" i="46"/>
  <c r="H75" i="68"/>
  <c r="H75" i="48"/>
  <c r="H75" i="71"/>
  <c r="F76" i="76"/>
  <c r="D21" i="52" s="1"/>
  <c r="F21" i="52" s="1"/>
  <c r="H75" i="70"/>
  <c r="F76" i="36"/>
  <c r="D17" i="52" s="1"/>
  <c r="F17" i="52" s="1"/>
  <c r="F76" i="34"/>
  <c r="D15" i="52" s="1"/>
  <c r="F15" i="52" s="1"/>
  <c r="I22" i="33"/>
  <c r="I24" i="33"/>
  <c r="I28" i="33"/>
  <c r="I18" i="33"/>
  <c r="I17" i="33"/>
  <c r="F29" i="33"/>
  <c r="H29" i="33"/>
  <c r="I25" i="33"/>
  <c r="I15" i="33"/>
  <c r="I35" i="33" l="1"/>
</calcChain>
</file>

<file path=xl/sharedStrings.xml><?xml version="1.0" encoding="utf-8"?>
<sst xmlns="http://schemas.openxmlformats.org/spreadsheetml/2006/main" count="3827" uniqueCount="1024">
  <si>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</si>
  <si>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</si>
  <si>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</si>
  <si>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</si>
  <si>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</si>
  <si>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</si>
  <si>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</si>
  <si>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</si>
  <si>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</si>
  <si>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</si>
  <si>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</si>
  <si>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</si>
  <si>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</si>
  <si>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</si>
  <si>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</si>
  <si>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</si>
  <si>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</si>
  <si>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</si>
  <si>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</si>
  <si>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</si>
  <si>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</si>
  <si>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</si>
  <si>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</si>
  <si>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</si>
  <si>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</si>
  <si>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</si>
  <si>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</si>
  <si>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</si>
  <si>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</si>
  <si>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</si>
  <si>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</si>
  <si>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</si>
  <si>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</si>
  <si>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</si>
  <si>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</si>
  <si>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</si>
  <si>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</si>
  <si>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</si>
  <si>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</si>
  <si>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</si>
  <si>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</si>
  <si>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</si>
  <si>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</si>
  <si>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</si>
  <si>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</si>
  <si>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</si>
  <si>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</si>
  <si>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</si>
  <si>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</si>
  <si>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</si>
  <si>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</si>
  <si>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</si>
  <si>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</si>
  <si>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</si>
  <si>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</si>
  <si>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</si>
  <si>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</si>
  <si>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</si>
  <si>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</si>
  <si>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</si>
  <si>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</si>
  <si>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</si>
  <si>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</si>
  <si>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</si>
  <si>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</si>
  <si>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</si>
  <si>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</si>
  <si>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</si>
  <si>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</si>
  <si>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</si>
  <si>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</si>
  <si>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</si>
  <si>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</si>
  <si>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</si>
  <si>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</si>
  <si>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</si>
  <si>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</si>
  <si>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</si>
  <si>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</si>
  <si>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</si>
  <si>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</si>
  <si>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</si>
  <si>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</si>
  <si>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</si>
  <si>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</si>
  <si>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</si>
  <si>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</si>
  <si>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</si>
  <si>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</si>
  <si>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</si>
  <si>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</si>
  <si>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</si>
  <si>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</si>
  <si>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</si>
  <si>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</si>
  <si>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</si>
  <si>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</si>
  <si>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</si>
  <si>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</si>
  <si>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</si>
  <si>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</si>
  <si>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</si>
  <si>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</si>
  <si>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</si>
  <si>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</si>
  <si>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</si>
  <si>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</si>
  <si>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</si>
  <si>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</si>
  <si>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</si>
  <si>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</si>
  <si>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</si>
  <si>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</si>
  <si>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</si>
  <si>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</si>
  <si>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</si>
  <si>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</si>
  <si>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</si>
  <si>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</si>
  <si>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</si>
  <si>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</si>
  <si>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</si>
  <si>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</si>
  <si>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</si>
  <si>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</si>
  <si>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</si>
  <si>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</si>
  <si>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</si>
  <si>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</si>
  <si>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</si>
  <si>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</si>
  <si>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</si>
  <si>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</si>
  <si>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</si>
  <si>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</si>
  <si>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</si>
  <si>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</si>
  <si>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</si>
  <si>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</si>
  <si>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</si>
  <si>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</si>
  <si>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</si>
  <si>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</si>
  <si>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</si>
  <si>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</si>
  <si>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</si>
  <si>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</si>
  <si>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</si>
  <si>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</si>
  <si>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</si>
  <si>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</si>
  <si>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</si>
  <si>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</si>
  <si>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</si>
  <si>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</si>
  <si>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</si>
  <si>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</si>
  <si>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</si>
  <si>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</si>
  <si>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</si>
  <si>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</si>
  <si>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</si>
  <si>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</si>
  <si>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</si>
  <si>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</si>
  <si>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</si>
  <si>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</si>
  <si>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</si>
  <si>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</si>
  <si>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</si>
  <si>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</si>
  <si>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</si>
  <si>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</si>
  <si>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</si>
  <si>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</si>
  <si>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</si>
  <si>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</si>
  <si>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</si>
  <si>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</si>
  <si>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</si>
  <si>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</si>
  <si>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</si>
  <si>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</si>
  <si>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</si>
  <si>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</si>
  <si>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</si>
  <si>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</si>
  <si>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</si>
  <si>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</si>
  <si>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</si>
  <si>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</si>
  <si>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</si>
  <si>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</si>
  <si>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</si>
  <si>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</si>
  <si>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</si>
  <si>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</si>
  <si>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</si>
  <si>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</si>
  <si>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</si>
  <si>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</si>
  <si>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</si>
  <si>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</si>
  <si>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</si>
  <si>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</si>
  <si>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</si>
  <si>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</si>
  <si>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</si>
  <si>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</si>
  <si>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</si>
  <si>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</si>
  <si>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</si>
  <si>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</si>
  <si>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</si>
  <si>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</si>
  <si>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</si>
  <si>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</si>
  <si>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</si>
  <si>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</si>
  <si>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</si>
  <si>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</si>
  <si>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</si>
  <si>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</si>
  <si>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</si>
  <si>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</si>
  <si>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</si>
  <si>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</si>
  <si>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</si>
  <si>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</si>
  <si>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</si>
  <si>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</si>
  <si>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</si>
  <si>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</si>
  <si>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</si>
  <si>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</si>
  <si>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</si>
  <si>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</si>
  <si>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</si>
  <si>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</si>
  <si>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</si>
  <si>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</si>
  <si>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</si>
  <si>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</si>
  <si>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</si>
  <si>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</si>
  <si>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</si>
  <si>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</si>
  <si>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</si>
  <si>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</si>
  <si>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</si>
  <si>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</si>
  <si>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</si>
  <si>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</si>
  <si>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</si>
  <si>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</si>
  <si>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</si>
  <si>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</si>
  <si>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</si>
  <si>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</si>
  <si>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</si>
  <si>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</si>
  <si>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</si>
  <si>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</si>
  <si>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</si>
  <si>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</si>
  <si>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</si>
  <si>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</si>
  <si>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</si>
  <si>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</si>
  <si>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</si>
  <si>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</si>
  <si>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</si>
  <si>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</si>
  <si>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</si>
  <si>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</si>
  <si>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</si>
  <si>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</si>
  <si>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</si>
  <si>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</si>
  <si>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</si>
  <si>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</si>
  <si>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</si>
  <si>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</si>
  <si>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</si>
  <si>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</si>
  <si>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</si>
  <si>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</si>
  <si>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</si>
  <si>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</si>
  <si>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</si>
  <si>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</si>
  <si>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</si>
  <si>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</si>
  <si>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</si>
  <si>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</si>
  <si>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</si>
  <si>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</si>
  <si>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</si>
  <si>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</si>
  <si>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</si>
  <si>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</si>
  <si>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</si>
  <si>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</si>
  <si>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</si>
  <si>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</si>
  <si>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</si>
  <si>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</si>
  <si>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</si>
  <si>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</si>
  <si>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</si>
  <si>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</si>
  <si>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</si>
  <si>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</si>
  <si>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</si>
  <si>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</si>
  <si>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</si>
  <si>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</si>
  <si>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</si>
  <si>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</si>
  <si>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</si>
  <si>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</si>
  <si>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</si>
  <si>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</si>
  <si>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</si>
  <si>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</si>
  <si>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</si>
  <si>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</si>
  <si>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</si>
  <si>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</si>
  <si>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</si>
  <si>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</si>
  <si>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</si>
  <si>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</si>
  <si>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</si>
  <si>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</si>
  <si>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</si>
  <si>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</si>
  <si>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</si>
  <si>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</si>
  <si>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</si>
  <si>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</si>
  <si>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</si>
  <si>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</si>
  <si>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</si>
  <si>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</si>
  <si>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</si>
  <si>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</si>
  <si>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</si>
  <si>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</si>
  <si>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</si>
  <si>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</si>
  <si>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</si>
  <si>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</si>
  <si>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</si>
  <si>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</si>
  <si>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</si>
  <si>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</si>
  <si>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</si>
  <si>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</si>
  <si>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</si>
  <si>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</si>
  <si>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</si>
  <si>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</si>
  <si>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</si>
  <si>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</si>
  <si>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</si>
  <si>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</si>
  <si>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</si>
  <si>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</si>
  <si>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</si>
  <si>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</si>
  <si>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</si>
  <si>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</si>
  <si>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</si>
  <si>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</si>
  <si>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</si>
  <si>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</si>
  <si>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</si>
  <si>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</si>
  <si>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</si>
  <si>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</si>
  <si>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</si>
  <si>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</si>
  <si>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</si>
  <si>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</si>
  <si>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</si>
  <si>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</si>
  <si>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</si>
  <si>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</si>
  <si>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</si>
  <si>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</si>
  <si>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</si>
  <si>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</si>
  <si>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</si>
  <si>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</si>
  <si>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</si>
  <si>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</si>
  <si>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</si>
  <si>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</si>
  <si>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</si>
  <si>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</si>
  <si>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</si>
  <si>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</si>
  <si>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</si>
  <si>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</si>
  <si>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</si>
  <si>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</si>
  <si>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</si>
  <si>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</si>
  <si>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</si>
  <si>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</si>
  <si>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</si>
  <si>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</si>
  <si>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</si>
  <si>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</si>
  <si>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</si>
  <si>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</si>
  <si>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</si>
  <si>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</si>
  <si>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</si>
  <si>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</si>
  <si>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</si>
  <si>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</si>
  <si>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</si>
  <si>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</si>
  <si>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</si>
  <si>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</si>
  <si>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</si>
  <si>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</si>
  <si>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</si>
  <si>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</si>
  <si>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</si>
  <si>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</si>
  <si>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</si>
  <si>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</si>
  <si>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</si>
  <si>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</si>
  <si>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</si>
  <si>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</si>
  <si>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</si>
  <si>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</si>
  <si>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</si>
  <si>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</si>
  <si>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</si>
  <si>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</si>
  <si>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</si>
  <si>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</si>
  <si>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</si>
  <si>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</si>
  <si>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</si>
  <si>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</si>
  <si>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</si>
  <si>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</si>
  <si>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</si>
  <si>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</si>
  <si>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</si>
  <si>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</si>
  <si>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</si>
  <si>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</si>
  <si>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</si>
  <si>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</si>
  <si>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</si>
  <si>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</si>
  <si>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</si>
  <si>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</si>
  <si>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</si>
  <si>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</si>
  <si>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</si>
  <si>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</si>
  <si>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</si>
  <si>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</si>
  <si>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</si>
  <si>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</si>
  <si>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</si>
  <si>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</si>
  <si>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</si>
  <si>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</si>
  <si>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</si>
  <si>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</si>
  <si>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</si>
  <si>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</si>
  <si>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</si>
  <si>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</si>
  <si>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</si>
  <si>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</si>
  <si>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</si>
  <si>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</si>
  <si>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</si>
  <si>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</si>
  <si>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</si>
  <si>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</si>
  <si>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</si>
  <si>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</si>
  <si>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</si>
  <si>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</si>
  <si>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</si>
  <si>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</si>
  <si>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</si>
  <si>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</si>
  <si>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</si>
  <si>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</si>
  <si>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</si>
  <si>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</si>
  <si>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</si>
  <si>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</si>
  <si>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</si>
  <si>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</si>
  <si>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</si>
  <si>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</si>
  <si>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</si>
  <si>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</si>
  <si>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</si>
  <si>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</si>
  <si>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</si>
  <si>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</si>
  <si>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</si>
  <si>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</si>
  <si>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</si>
  <si>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</si>
  <si>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</si>
  <si>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</si>
  <si>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</si>
  <si>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</si>
  <si>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</si>
  <si>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</si>
  <si>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</si>
  <si>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</si>
  <si>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</si>
  <si>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</si>
  <si>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</si>
  <si>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</si>
  <si>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</si>
  <si>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</si>
  <si>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</si>
  <si>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</si>
  <si>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</si>
  <si>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</si>
  <si>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</si>
  <si>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</si>
  <si>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</si>
  <si>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</si>
  <si>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</si>
  <si>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</si>
  <si>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</si>
  <si>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</si>
  <si>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</si>
  <si>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</si>
  <si>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</si>
  <si>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</si>
  <si>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</si>
  <si>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</si>
  <si>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</si>
  <si>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</si>
  <si>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</si>
  <si>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</si>
  <si>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</si>
  <si>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</si>
  <si>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</si>
  <si>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</si>
  <si>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</si>
  <si>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</si>
  <si>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</si>
  <si>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</si>
  <si>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</si>
  <si>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</si>
  <si>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</si>
  <si>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</si>
  <si>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</si>
  <si>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</si>
  <si>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</si>
  <si>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</si>
  <si>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</si>
  <si>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</si>
  <si>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</si>
  <si>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</si>
  <si>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</si>
  <si>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</si>
  <si>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</si>
  <si>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</si>
  <si>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</si>
  <si>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</si>
  <si>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</si>
  <si>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</si>
  <si>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</si>
  <si>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</si>
  <si>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</si>
  <si>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</si>
  <si>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</si>
  <si>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</si>
  <si>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</si>
  <si>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</si>
  <si>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</si>
  <si>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</si>
  <si>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</si>
  <si>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</si>
  <si>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</si>
  <si>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</si>
  <si>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</si>
  <si>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</si>
  <si>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</si>
  <si>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</si>
  <si>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</si>
  <si>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</si>
  <si>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</si>
  <si>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</si>
  <si>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</si>
  <si>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</si>
  <si>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</si>
  <si>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</si>
  <si>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</si>
  <si>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</si>
  <si>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</si>
  <si>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</si>
  <si>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</si>
  <si>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</si>
  <si>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</si>
  <si>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</si>
  <si>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</si>
  <si>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</si>
  <si>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</si>
  <si>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</si>
  <si>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</si>
  <si>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</si>
  <si>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</si>
  <si>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</si>
  <si>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</si>
  <si>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</si>
  <si>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</si>
  <si>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</si>
  <si>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</si>
  <si>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</si>
  <si>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</si>
  <si>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</si>
  <si>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</si>
  <si>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</si>
  <si>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</si>
  <si>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</si>
  <si>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</si>
  <si>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</si>
  <si>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</si>
  <si>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</si>
  <si>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</si>
  <si>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</si>
  <si>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</si>
  <si>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</si>
  <si>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</si>
  <si>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</si>
  <si>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</si>
  <si>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</si>
  <si>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</si>
  <si>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</si>
  <si>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</si>
  <si>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</si>
  <si>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</si>
  <si>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</si>
  <si>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</si>
  <si>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</si>
  <si>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</si>
  <si>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</si>
  <si>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</si>
  <si>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</si>
  <si>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</si>
  <si>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</si>
  <si>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</si>
  <si>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</si>
  <si>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</si>
  <si>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</si>
  <si>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</si>
  <si>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</si>
  <si>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</si>
  <si>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</si>
  <si>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</si>
  <si>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</si>
  <si>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</si>
  <si>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</si>
  <si>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</si>
  <si>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</si>
  <si>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</si>
  <si>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</si>
  <si>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</si>
  <si>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</si>
  <si>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</si>
  <si>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</si>
  <si>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</si>
  <si>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</si>
  <si>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</si>
  <si>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</si>
  <si>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</si>
  <si>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</si>
  <si>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</si>
  <si>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</si>
  <si>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</si>
  <si>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</si>
  <si>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</si>
  <si>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</si>
  <si>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</si>
  <si>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</si>
  <si>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</si>
  <si>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</si>
  <si>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</si>
  <si>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</si>
  <si>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</si>
  <si>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</si>
  <si>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</si>
  <si>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</si>
  <si>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</si>
  <si>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</si>
  <si>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</si>
  <si>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</si>
  <si>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</si>
  <si>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</si>
  <si>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</si>
  <si>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</si>
  <si>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</si>
  <si>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</si>
  <si>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</si>
  <si>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</si>
  <si>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</si>
  <si>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</si>
  <si>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</si>
  <si>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</si>
  <si>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</si>
  <si>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</si>
  <si>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</si>
  <si>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</si>
  <si>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</si>
  <si>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</si>
  <si>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</si>
  <si>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</si>
  <si>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</si>
  <si>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</si>
  <si>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</si>
  <si>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</si>
  <si>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</si>
  <si>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</si>
  <si>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</si>
  <si>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</si>
  <si>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</si>
  <si>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</si>
  <si>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</si>
  <si>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</si>
  <si>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</si>
  <si>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</si>
  <si>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</si>
  <si>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</si>
  <si>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</si>
  <si>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</si>
  <si>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</si>
  <si>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</si>
  <si>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</si>
  <si>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</si>
  <si>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</si>
  <si>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</si>
  <si>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</si>
  <si>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</si>
  <si>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</si>
  <si>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</si>
  <si>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</si>
  <si>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</si>
  <si>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</si>
  <si>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</si>
  <si>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</si>
  <si>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</si>
  <si>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</si>
  <si>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</si>
  <si>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</si>
  <si>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</si>
  <si>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</si>
  <si>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</si>
  <si>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</si>
  <si>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</si>
  <si>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</si>
  <si>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</si>
  <si>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</si>
  <si>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</si>
  <si>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</si>
  <si>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</si>
  <si>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</si>
  <si>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</si>
  <si>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</si>
  <si>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</si>
  <si>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</si>
  <si>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</si>
  <si>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</si>
  <si>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</si>
  <si>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</si>
  <si>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</si>
  <si>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</si>
  <si>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</si>
  <si>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</si>
  <si>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</si>
  <si>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</si>
  <si>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</si>
  <si>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</si>
  <si>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</si>
  <si>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</si>
  <si>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</si>
  <si>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</si>
  <si>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</si>
  <si>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</si>
  <si>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</si>
  <si>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</si>
  <si>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</si>
  <si>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</si>
  <si>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</si>
  <si>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</si>
  <si>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</si>
  <si>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</si>
  <si>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</si>
  <si>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</si>
  <si>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</si>
  <si>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</si>
  <si>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</si>
  <si>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</si>
  <si>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</si>
  <si>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</si>
  <si>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</si>
  <si>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</si>
  <si>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</si>
  <si>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</si>
  <si>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</si>
  <si>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</si>
  <si>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</si>
  <si>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</si>
  <si>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</si>
  <si>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</si>
  <si>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</si>
  <si>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</si>
  <si>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</si>
  <si>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</si>
  <si>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</si>
  <si>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</si>
  <si>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</si>
  <si>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</si>
  <si>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</si>
  <si>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</si>
  <si>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</si>
  <si>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</si>
  <si>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</si>
  <si>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</si>
  <si>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</si>
  <si>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</si>
  <si>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</si>
  <si>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</si>
  <si>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</si>
  <si>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</si>
  <si>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</si>
  <si>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</si>
  <si>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</si>
  <si>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</si>
  <si>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</si>
  <si>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</si>
  <si>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</si>
  <si>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</si>
  <si>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</si>
  <si>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</si>
  <si>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</si>
  <si>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</si>
  <si>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</si>
  <si>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</si>
  <si>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</si>
  <si>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</si>
  <si>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</si>
  <si>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</si>
  <si>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</si>
  <si>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</si>
  <si>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</si>
  <si>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</si>
  <si>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</si>
  <si>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</si>
  <si>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</si>
  <si>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</si>
  <si>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</si>
  <si>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</si>
  <si>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</si>
  <si>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</si>
  <si>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</si>
  <si>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</si>
  <si>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</si>
  <si>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</si>
  <si>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</si>
  <si>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</si>
  <si>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</si>
  <si>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</si>
  <si>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</si>
  <si>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</si>
  <si>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</si>
  <si>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</si>
  <si>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</si>
  <si>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</si>
  <si>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</si>
  <si>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</si>
  <si>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</si>
  <si>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</si>
  <si>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</si>
  <si>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</si>
  <si>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</si>
  <si>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</si>
  <si>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</si>
  <si>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</si>
  <si>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</si>
  <si>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</si>
  <si>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</si>
  <si>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</si>
  <si>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</si>
  <si>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</si>
  <si>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</si>
  <si>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</si>
  <si>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</si>
  <si>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</si>
  <si>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</si>
  <si>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</si>
  <si>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</si>
  <si>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</si>
  <si>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</si>
  <si>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</si>
  <si>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</si>
  <si>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</si>
  <si>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</si>
  <si>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</si>
  <si>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</si>
  <si>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</si>
  <si>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</si>
  <si>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</si>
  <si>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</si>
  <si>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</si>
  <si>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</si>
  <si>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</si>
  <si>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</si>
  <si>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</si>
  <si>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</si>
  <si>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</si>
  <si>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</si>
  <si>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Eagle Valley Behavioral Health</t>
  </si>
  <si>
    <t>Reclassify Unallowable Expenses to Indirect</t>
  </si>
  <si>
    <t>200.1a</t>
  </si>
  <si>
    <t>Properly Report Unallowable Expenses</t>
  </si>
  <si>
    <t>200.2a.1</t>
  </si>
  <si>
    <t>Properly Report Related Party Transaction Expenses</t>
  </si>
  <si>
    <t>1C</t>
  </si>
  <si>
    <t>Properly Report Indirect Costs on Schedule 1</t>
  </si>
  <si>
    <t>Properly Report Total Encounters</t>
  </si>
  <si>
    <t>Sr Director Community Behavioral Health</t>
  </si>
  <si>
    <t>Chief Population Officier/EVBH Executive Director</t>
  </si>
  <si>
    <t>Director Outpatient Services</t>
  </si>
  <si>
    <t>Director Finance EVBH</t>
  </si>
  <si>
    <t>YHC Executive Director</t>
  </si>
  <si>
    <t>allocate indirects for non-enc partners based on % of staff time employed to manage (schedule to right) and included balance of non-partner, non encounter (col 5) in last step</t>
  </si>
  <si>
    <t>Excluded System Services Allocations from Unallowable expense base for final allocation - approved last year - no add'l allocations on VH allocations</t>
  </si>
  <si>
    <t>any miscodes</t>
  </si>
  <si>
    <t xml:space="preserve">After the steps above, the cost was divided based on % of direct cost distribution like last year.  </t>
  </si>
  <si>
    <t>22 - 5024 - Billing Fees And Adj</t>
  </si>
  <si>
    <t>22 - 7180 - Revenue Integrity</t>
  </si>
  <si>
    <t>22 - 7181 - Health Information Management</t>
  </si>
  <si>
    <t>22 - 7250 - Patient Experience</t>
  </si>
  <si>
    <t>22 - 8010 - Medical Staff Office</t>
  </si>
  <si>
    <t>22 - 8031 - Quality Resource Management</t>
  </si>
  <si>
    <t>22 - 8040 - Employee Health</t>
  </si>
  <si>
    <t>22 - 8041 - Infection Control</t>
  </si>
  <si>
    <t>22 - 8042 - Population Health</t>
  </si>
  <si>
    <t>22 - 8071 - Facilities Department</t>
  </si>
  <si>
    <t>22 - 8072 - Transportation</t>
  </si>
  <si>
    <t>22 - 8075 - Facilities Support</t>
  </si>
  <si>
    <t>22 - 8076 - Hospital Security</t>
  </si>
  <si>
    <t>22 - 8085 - Construction</t>
  </si>
  <si>
    <t>22 - 8097 - Sustainability</t>
  </si>
  <si>
    <t>22 - 8200 - Decision Support</t>
  </si>
  <si>
    <t>22 - 8212 - Accounting</t>
  </si>
  <si>
    <t>22 - 8215 - Compliance</t>
  </si>
  <si>
    <t>22 - 8216 - Risk Management (includes BH Insurance)</t>
  </si>
  <si>
    <t>22 - 8217 - Human Research Protection Program</t>
  </si>
  <si>
    <t>22 - 8218 - ASC Mgmt Services</t>
  </si>
  <si>
    <t>22 - 8219 - Legal</t>
  </si>
  <si>
    <t>22 - 8221 - Patient Financial Services</t>
  </si>
  <si>
    <t>22 - 8231 - Information Services</t>
  </si>
  <si>
    <t>22 - 8232 - IT Applications</t>
  </si>
  <si>
    <t>22 - 8233 - Enterprise Project Management</t>
  </si>
  <si>
    <t>22 - 8241 - Admitting Department</t>
  </si>
  <si>
    <t>22 - 8242 - Insurance Verfication</t>
  </si>
  <si>
    <t>22 - 8311 - Administration</t>
  </si>
  <si>
    <t>22 - 8315 - Marketing Public Relations</t>
  </si>
  <si>
    <t>22 - 8316 - Development Department</t>
  </si>
  <si>
    <t>22 - 8331 - Materials Management</t>
  </si>
  <si>
    <t>22 - 8371 - Human Resources</t>
  </si>
  <si>
    <t>22 - 8372 - Property Management</t>
  </si>
  <si>
    <t>22 - 8379 - Property Management Dillon</t>
  </si>
  <si>
    <t>22 - 8380 - Benefits Department</t>
  </si>
  <si>
    <t>EVBH Executive Director Salary Reallocation to Direct Pay</t>
  </si>
  <si>
    <t xml:space="preserve">Admin's Unallowed Portion </t>
  </si>
  <si>
    <t>Net of Unallowed</t>
  </si>
  <si>
    <t>Vail Health SS Alloc</t>
  </si>
  <si>
    <t>YHC Mobile Crisis Co-Response Team (labor &amp; non-wage) - 24/7 crisis line, provide cirisis support need anwhere any time</t>
  </si>
  <si>
    <t>Victims First Care - Bright Future Foundation</t>
  </si>
  <si>
    <t>YHC Clinical Director: law enforcement trainings</t>
  </si>
  <si>
    <t xml:space="preserve">YHC Tragedy Response - Grief Support </t>
  </si>
  <si>
    <t xml:space="preserve">Youth mentorship and after school programming - 
</t>
  </si>
  <si>
    <t xml:space="preserve">Suicide Prevention Training and Community Outreach 
</t>
  </si>
  <si>
    <t xml:space="preserve">Behavioral Health Support and Consultation for Young Children and Families
</t>
  </si>
  <si>
    <t>Outdoor BH Community engagement program</t>
  </si>
  <si>
    <t>Behavioral Health Support for Eagle County Aging Adults &amp; Caregivers</t>
  </si>
  <si>
    <t>Educational and consultative programs for LGBTIQA</t>
  </si>
  <si>
    <t>Eat, Chat, Parent Series - English and Spanish</t>
  </si>
  <si>
    <t xml:space="preserve">Equine Assisted Learning Services </t>
  </si>
  <si>
    <t>Bright Future Foundation Community Outreach</t>
  </si>
  <si>
    <t>Reconnected Foundation</t>
  </si>
  <si>
    <t>Eagle County School District - SEL Curriculum</t>
  </si>
  <si>
    <t>Grant Expense for non EVBH/YHC subrecipients</t>
  </si>
  <si>
    <t>YHC School-Based Cllinicians - offices in 18 school providing theraputic services to students throughout the school day</t>
  </si>
  <si>
    <t>EVBH therapy, case management, &amp; Indirct CMHC mgt.</t>
  </si>
  <si>
    <t>EVBH Community Care Coordination</t>
  </si>
  <si>
    <t>Case mgt for older adults and their caregivers - Caregiver Connections</t>
  </si>
  <si>
    <t>Equine Assisted Learning Services - Trio Health Partners</t>
  </si>
  <si>
    <t>BFF Case Mgt. &amp; Direct Clinical</t>
  </si>
  <si>
    <t xml:space="preserve">Eagle County Schoold District </t>
  </si>
  <si>
    <t>YHC Community Stabilization  (CSP) - includes ACT</t>
  </si>
  <si>
    <t>Summit/Eagle County Detox Facility - Recovery Resources</t>
  </si>
  <si>
    <t>Precourt Healing Center (PHC)</t>
  </si>
  <si>
    <t>Yes</t>
  </si>
  <si>
    <t>Excluded Hope Ctr payments from EVBH to YHC (essentially an elimination entry) as their entire cost is being brought in before indirect allocation, thus allocating their fair share of CMHC indirects.  Excluding YHC payments consistent with last year.</t>
  </si>
  <si>
    <t>Innovation Center (IC) - a step allocation is needed to avoid duplicate indirect allocation to the IC because BH overhead staff who work on this unallowed cost center are being  coded directly through UKG payroll.</t>
  </si>
  <si>
    <t>The Innovation Center is a new cost center within EVBH State FY24, which is unallowed.</t>
  </si>
  <si>
    <t>Properly Report ASC Revenue</t>
  </si>
  <si>
    <t>Revise indirect cost allocation</t>
  </si>
  <si>
    <t xml:space="preserv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</si>
</sst>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0_);\(#,##0.0\)"/>
    <numFmt numFmtId="179" formatCode="_(* #,##0.0_);_(* \(#,##0.0\);_(* &quot;-&quot;??_);_(@_)"/>
  </numFmts>
  <fonts count="9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color theme="1"/>
      <name val="Calibri"/>
      <family val="2"/>
    </font>
    <font>
      <sz val="10"/>
      <color rgb="FF000000"/>
      <name val="Arial"/>
      <family val="2"/>
    </font>
    <font>
      <sz val="11"/>
      <color theme="4" tint="-0.249977111117893"/>
      <name val="Calibri"/>
      <family val="2"/>
      <scheme val="minor"/>
    </font>
    <font>
      <sz val="10"/>
      <name val="Calibri Light"/>
      <family val="2"/>
      <scheme val="major"/>
    </font>
    <font>
      <strike/>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5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alignment vertical="top"/>
    </xf>
    <xf numFmtId="44" fontId="81" fillId="0" borderId="0" applyFont="0" applyFill="0" applyBorder="0" applyAlignment="0" applyProtection="0"/>
    <xf numFmtId="0" fontId="81" fillId="0" borderId="0">
      <alignment vertical="top"/>
    </xf>
    <xf numFmtId="43"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9" fontId="8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1" fillId="0" borderId="0">
      <alignment vertical="top"/>
    </xf>
    <xf numFmtId="9" fontId="8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7" fillId="0" borderId="0"/>
    <xf numFmtId="43" fontId="8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1" fillId="0" borderId="0">
      <alignment vertical="top"/>
    </xf>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7" fillId="0" borderId="0"/>
    <xf numFmtId="43" fontId="87" fillId="0" borderId="0" applyFont="0" applyFill="0" applyBorder="0" applyAlignment="0" applyProtection="0"/>
    <xf numFmtId="0" fontId="88" fillId="0" borderId="0"/>
    <xf numFmtId="9" fontId="88" fillId="0" borderId="0" applyFont="0" applyFill="0" applyBorder="0" applyAlignment="0" applyProtection="0"/>
    <xf numFmtId="9" fontId="87" fillId="0" borderId="0" applyFont="0" applyFill="0" applyBorder="0" applyAlignment="0" applyProtection="0"/>
    <xf numFmtId="0" fontId="1" fillId="0" borderId="0"/>
    <xf numFmtId="0" fontId="88" fillId="0" borderId="0"/>
    <xf numFmtId="44" fontId="88" fillId="0" borderId="0" applyFont="0" applyFill="0" applyBorder="0" applyAlignment="0" applyProtection="0"/>
    <xf numFmtId="43" fontId="8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0" fontId="5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0" fontId="57" fillId="0" borderId="0" applyFont="0" applyFill="0" applyBorder="0" applyAlignment="0" applyProtection="0"/>
    <xf numFmtId="40" fontId="56" fillId="0" borderId="0" applyFont="0" applyFill="0" applyBorder="0" applyAlignment="0" applyProtection="0"/>
    <xf numFmtId="9" fontId="82"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56" fillId="0" borderId="0"/>
    <xf numFmtId="40" fontId="57" fillId="0" borderId="0" applyFont="0" applyFill="0" applyBorder="0" applyAlignment="0" applyProtection="0"/>
    <xf numFmtId="0" fontId="57" fillId="0" borderId="0"/>
    <xf numFmtId="43" fontId="5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617">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4" applyFont="1" applyAlignment="1">
      <alignment vertical="top"/>
    </xf>
    <xf numFmtId="169" fontId="36" fillId="0" borderId="0" xfId="4" applyNumberFormat="1" applyFont="1" applyAlignment="1">
      <alignment horizontal="center" vertical="top"/>
    </xf>
    <xf numFmtId="0" fontId="36" fillId="0" borderId="0" xfId="4" applyFont="1" applyAlignment="1">
      <alignment horizontal="center" vertical="top"/>
    </xf>
    <xf numFmtId="0" fontId="36" fillId="0" borderId="0" xfId="4" applyFont="1" applyAlignment="1">
      <alignment vertical="top" wrapText="1"/>
    </xf>
    <xf numFmtId="0" fontId="53" fillId="0" borderId="0" xfId="4" applyFont="1" applyAlignment="1">
      <alignment horizontal="center" vertical="top" wrapText="1"/>
    </xf>
    <xf numFmtId="166" fontId="26" fillId="9" borderId="1" xfId="2" applyNumberFormat="1" applyFont="1" applyFill="1" applyBorder="1" applyAlignment="1" applyProtection="1">
      <alignment vertical="center"/>
      <protection locked="0"/>
    </xf>
    <xf numFmtId="178" fontId="26" fillId="5" borderId="1" xfId="1" applyNumberFormat="1" applyFont="1" applyFill="1" applyBorder="1" applyAlignment="1" applyProtection="1">
      <alignment horizontal="center"/>
      <protection locked="0"/>
    </xf>
    <xf numFmtId="0" fontId="26" fillId="5" borderId="6" xfId="0" applyFont="1" applyFill="1" applyBorder="1" applyAlignment="1" applyProtection="1">
      <alignment horizontal="left"/>
      <protection locked="0"/>
    </xf>
    <xf numFmtId="0" fontId="26" fillId="5" borderId="6"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0" fontId="26" fillId="5" borderId="6" xfId="0" applyFont="1" applyFill="1" applyBorder="1" applyProtection="1">
      <protection locked="0"/>
    </xf>
    <xf numFmtId="0" fontId="26" fillId="5" borderId="5" xfId="0" applyFont="1" applyFill="1" applyBorder="1" applyProtection="1">
      <protection locked="0"/>
    </xf>
    <xf numFmtId="166" fontId="26" fillId="11" borderId="1" xfId="2" applyNumberFormat="1" applyFont="1" applyFill="1" applyBorder="1" applyProtection="1">
      <protection locked="0"/>
    </xf>
    <xf numFmtId="166" fontId="90" fillId="10" borderId="1" xfId="0" applyNumberFormat="1" applyFont="1" applyFill="1" applyBorder="1"/>
    <xf numFmtId="0" fontId="90" fillId="5" borderId="1" xfId="0" applyFont="1" applyFill="1" applyBorder="1" applyProtection="1">
      <protection locked="0"/>
    </xf>
    <xf numFmtId="0" fontId="0" fillId="5" borderId="1" xfId="0" applyFill="1" applyBorder="1" applyAlignment="1" applyProtection="1">
      <alignment horizontal="left"/>
      <protection locked="0"/>
    </xf>
    <xf numFmtId="166" fontId="0" fillId="9" borderId="1" xfId="2" applyNumberFormat="1" applyFont="1" applyFill="1" applyBorder="1" applyProtection="1">
      <protection locked="0"/>
    </xf>
    <xf numFmtId="165" fontId="0" fillId="5" borderId="1" xfId="1" applyNumberFormat="1" applyFont="1" applyFill="1" applyBorder="1" applyAlignment="1" applyProtection="1">
      <protection locked="0"/>
    </xf>
    <xf numFmtId="179" fontId="0" fillId="5" borderId="1" xfId="1" applyNumberFormat="1" applyFont="1" applyFill="1" applyBorder="1" applyProtection="1">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36" fillId="0" borderId="0" xfId="4" applyFont="1" applyAlignment="1" applyProtection="1">
      <alignment horizontal="center" vertical="top"/>
      <protection locked="0"/>
    </xf>
    <xf numFmtId="0" fontId="36" fillId="0" borderId="0" xfId="5" applyFont="1" applyAlignment="1">
      <alignment vertical="top"/>
    </xf>
    <xf numFmtId="0" fontId="55" fillId="0" borderId="0" xfId="4" applyFont="1" applyAlignment="1" applyProtection="1">
      <alignment horizontal="left" vertical="top"/>
      <protection locked="0"/>
    </xf>
    <xf numFmtId="0" fontId="55" fillId="0" borderId="0" xfId="4" applyFont="1" applyAlignment="1" applyProtection="1">
      <alignment vertical="top"/>
      <protection locked="0"/>
    </xf>
    <xf numFmtId="169" fontId="55" fillId="0" borderId="0" xfId="4" applyNumberFormat="1" applyFont="1" applyAlignment="1">
      <alignment horizontal="center" vertical="top"/>
    </xf>
    <xf numFmtId="0" fontId="36" fillId="0" borderId="0" xfId="4" applyFont="1" applyAlignment="1" applyProtection="1">
      <alignment horizontal="left" vertical="top"/>
      <protection locked="0"/>
    </xf>
    <xf numFmtId="49" fontId="36" fillId="0" borderId="0" xfId="4" applyNumberFormat="1" applyFont="1" applyAlignment="1">
      <alignment horizontal="left" vertical="top" wrapText="1"/>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49" fontId="53" fillId="0" borderId="0" xfId="4" applyNumberFormat="1" applyFont="1" applyAlignment="1">
      <alignment horizontal="center" vertical="top" wrapText="1"/>
    </xf>
    <xf numFmtId="0" fontId="53" fillId="0" borderId="0" xfId="4" applyFont="1" applyAlignment="1">
      <alignment horizontal="center" vertical="top"/>
    </xf>
    <xf numFmtId="37" fontId="53" fillId="0" borderId="0" xfId="4" applyNumberFormat="1" applyFont="1" applyAlignment="1">
      <alignment horizontal="center" vertical="top"/>
    </xf>
    <xf numFmtId="49" fontId="39" fillId="0" borderId="0" xfId="4" applyNumberFormat="1" applyFont="1" applyAlignment="1">
      <alignment horizontal="left" vertical="top" wrapText="1"/>
    </xf>
    <xf numFmtId="166" fontId="51" fillId="5" borderId="1" xfId="2" applyNumberFormat="1" applyFont="1" applyFill="1" applyBorder="1" applyAlignment="1" applyProtection="1">
      <alignment vertical="center"/>
      <protection locked="0"/>
    </xf>
    <xf numFmtId="49" fontId="39" fillId="0" borderId="0" xfId="120" applyNumberFormat="1" applyFont="1" applyFill="1" applyBorder="1" applyAlignment="1">
      <alignment horizontal="left" vertical="top" wrapText="1"/>
    </xf>
    <xf numFmtId="0" fontId="36" fillId="0" borderId="0" xfId="208" applyFont="1" applyAlignment="1">
      <alignment vertical="top" wrapText="1"/>
    </xf>
    <xf numFmtId="0" fontId="36" fillId="0" borderId="0" xfId="208" applyFont="1" applyAlignment="1">
      <alignment vertical="top"/>
    </xf>
    <xf numFmtId="37" fontId="53" fillId="0" borderId="0" xfId="208" applyNumberFormat="1" applyFont="1" applyAlignment="1">
      <alignment horizontal="center" vertical="top" wrapText="1"/>
    </xf>
    <xf numFmtId="0" fontId="53" fillId="0" borderId="0" xfId="208" applyFont="1" applyAlignment="1">
      <alignment horizontal="center" vertical="top" wrapText="1"/>
    </xf>
    <xf numFmtId="0" fontId="58" fillId="0" borderId="0" xfId="4" applyFont="1" applyAlignment="1" applyProtection="1">
      <alignment vertical="top"/>
      <protection locked="0"/>
    </xf>
    <xf numFmtId="0" fontId="36" fillId="0" borderId="0" xfId="4" applyFont="1" applyAlignment="1">
      <alignment horizontal="left" vertical="top"/>
    </xf>
    <xf numFmtId="37" fontId="53" fillId="0" borderId="0" xfId="5" applyNumberFormat="1" applyFont="1" applyAlignment="1">
      <alignment horizontal="center" vertical="top"/>
    </xf>
    <xf numFmtId="37" fontId="53" fillId="0" borderId="0" xfId="140" applyNumberFormat="1" applyFont="1" applyBorder="1" applyAlignment="1">
      <alignment horizontal="center" vertical="top"/>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39"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left" vertical="top" wrapText="1"/>
      <protection locked="0"/>
    </xf>
    <xf numFmtId="0" fontId="26" fillId="5" borderId="6" xfId="0" applyFont="1" applyFill="1" applyBorder="1" applyAlignment="1" applyProtection="1">
      <alignment horizontal="left"/>
      <protection locked="0"/>
    </xf>
    <xf numFmtId="0" fontId="26" fillId="5" borderId="5" xfId="0" applyFont="1" applyFill="1" applyBorder="1" applyAlignment="1" applyProtection="1">
      <alignment horizontal="left"/>
      <protection locked="0"/>
    </xf>
    <xf numFmtId="0" fontId="26" fillId="11" borderId="6" xfId="0" applyFont="1" applyFill="1" applyBorder="1" applyAlignment="1" applyProtection="1">
      <alignment horizontal="left"/>
      <protection locked="0"/>
    </xf>
    <xf numFmtId="0" fontId="26" fillId="11" borderId="5" xfId="0" applyFont="1" applyFill="1" applyBorder="1" applyAlignment="1" applyProtection="1">
      <alignment horizontal="left"/>
      <protection locked="0"/>
    </xf>
    <xf numFmtId="0" fontId="89" fillId="5" borderId="1" xfId="0" applyFont="1" applyFill="1" applyBorder="1" applyAlignment="1" applyProtection="1">
      <alignment vertical="top" wrapText="1"/>
      <protection locked="0"/>
    </xf>
    <xf numFmtId="0" fontId="89" fillId="5" borderId="1" xfId="0" applyFont="1" applyFill="1" applyBorder="1" applyAlignment="1" applyProtection="1">
      <alignment horizontal="left" wrapText="1"/>
      <protection locked="0"/>
    </xf>
    <xf numFmtId="0" fontId="89" fillId="5" borderId="1" xfId="0" applyFont="1" applyFill="1" applyBorder="1" applyAlignment="1" applyProtection="1">
      <alignment horizontal="left"/>
      <protection locked="0"/>
    </xf>
    <xf numFmtId="0" fontId="0" fillId="5" borderId="1" xfId="0"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89" fillId="5" borderId="6" xfId="0" applyFont="1" applyFill="1" applyBorder="1" applyAlignment="1" applyProtection="1">
      <alignment horizontal="left" wrapText="1"/>
      <protection locked="0"/>
    </xf>
    <xf numFmtId="0" fontId="89" fillId="5" borderId="7" xfId="0" applyFont="1" applyFill="1" applyBorder="1" applyAlignment="1" applyProtection="1">
      <alignment horizontal="left" wrapText="1"/>
      <protection locked="0"/>
    </xf>
    <xf numFmtId="0" fontId="89" fillId="5" borderId="5" xfId="0" applyFont="1" applyFill="1" applyBorder="1" applyAlignment="1" applyProtection="1">
      <alignment horizontal="left" wrapText="1"/>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91" fillId="5" borderId="1" xfId="0" applyFont="1" applyFill="1" applyBorder="1" applyAlignment="1" applyProtection="1">
      <alignment horizontal="left"/>
      <protection locked="0"/>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359">
    <cellStyle name="Comma" xfId="1" builtinId="3"/>
    <cellStyle name="Comma 2" xfId="10" xr:uid="{00000000-0005-0000-0000-000001000000}"/>
    <cellStyle name="Comma 2 2" xfId="23" xr:uid="{00000000-0005-0000-0000-000002000000}"/>
    <cellStyle name="Comma 2 2 2" xfId="36" xr:uid="{00000000-0005-0000-0000-000003000000}"/>
    <cellStyle name="Comma 2 2 2 2" xfId="120" xr:uid="{00000000-0005-0000-0000-000004000000}"/>
    <cellStyle name="Comma 2 2 2 2 2" xfId="188" xr:uid="{00000000-0005-0000-0000-000005000000}"/>
    <cellStyle name="Comma 2 2 2 2 2 2" xfId="339" xr:uid="{00000000-0005-0000-0000-000006000000}"/>
    <cellStyle name="Comma 2 2 2 2 3" xfId="266" xr:uid="{00000000-0005-0000-0000-000007000000}"/>
    <cellStyle name="Comma 2 2 2 3" xfId="69" xr:uid="{00000000-0005-0000-0000-000008000000}"/>
    <cellStyle name="Comma 2 2 2 3 2" xfId="302" xr:uid="{00000000-0005-0000-0000-000009000000}"/>
    <cellStyle name="Comma 2 2 2 4" xfId="229" xr:uid="{00000000-0005-0000-0000-00000A000000}"/>
    <cellStyle name="Comma 2 2 3" xfId="32" xr:uid="{00000000-0005-0000-0000-00000B000000}"/>
    <cellStyle name="Comma 2 2 3 2" xfId="136" xr:uid="{00000000-0005-0000-0000-00000C000000}"/>
    <cellStyle name="Comma 2 2 3 2 2" xfId="204" xr:uid="{00000000-0005-0000-0000-00000D000000}"/>
    <cellStyle name="Comma 2 2 3 2 2 2" xfId="355" xr:uid="{00000000-0005-0000-0000-00000E000000}"/>
    <cellStyle name="Comma 2 2 3 2 3" xfId="282" xr:uid="{00000000-0005-0000-0000-00000F000000}"/>
    <cellStyle name="Comma 2 2 3 3" xfId="91" xr:uid="{00000000-0005-0000-0000-000010000000}"/>
    <cellStyle name="Comma 2 2 3 3 2" xfId="318" xr:uid="{00000000-0005-0000-0000-000011000000}"/>
    <cellStyle name="Comma 2 2 3 4" xfId="245" xr:uid="{00000000-0005-0000-0000-000012000000}"/>
    <cellStyle name="Comma 2 2 4" xfId="108" xr:uid="{00000000-0005-0000-0000-000013000000}"/>
    <cellStyle name="Comma 2 2 4 2" xfId="176" xr:uid="{00000000-0005-0000-0000-000014000000}"/>
    <cellStyle name="Comma 2 2 4 2 2" xfId="327" xr:uid="{00000000-0005-0000-0000-000015000000}"/>
    <cellStyle name="Comma 2 2 4 3" xfId="254" xr:uid="{00000000-0005-0000-0000-000016000000}"/>
    <cellStyle name="Comma 2 2 5" xfId="140" xr:uid="{00000000-0005-0000-0000-000017000000}"/>
    <cellStyle name="Comma 2 2 6" xfId="46" xr:uid="{00000000-0005-0000-0000-000018000000}"/>
    <cellStyle name="Comma 2 2 6 2" xfId="290" xr:uid="{00000000-0005-0000-0000-000019000000}"/>
    <cellStyle name="Comma 2 2 7" xfId="212" xr:uid="{00000000-0005-0000-0000-00001A000000}"/>
    <cellStyle name="Comma 2 3" xfId="21" xr:uid="{00000000-0005-0000-0000-00001B000000}"/>
    <cellStyle name="Comma 2 3 2" xfId="83" xr:uid="{00000000-0005-0000-0000-00001C000000}"/>
    <cellStyle name="Comma 2 3 2 2" xfId="128" xr:uid="{00000000-0005-0000-0000-00001D000000}"/>
    <cellStyle name="Comma 2 3 2 2 2" xfId="196" xr:uid="{00000000-0005-0000-0000-00001E000000}"/>
    <cellStyle name="Comma 2 3 2 2 2 2" xfId="347" xr:uid="{00000000-0005-0000-0000-00001F000000}"/>
    <cellStyle name="Comma 2 3 2 2 3" xfId="274" xr:uid="{00000000-0005-0000-0000-000020000000}"/>
    <cellStyle name="Comma 2 3 2 3" xfId="163" xr:uid="{00000000-0005-0000-0000-000021000000}"/>
    <cellStyle name="Comma 2 3 2 3 2" xfId="310" xr:uid="{00000000-0005-0000-0000-000022000000}"/>
    <cellStyle name="Comma 2 3 2 4" xfId="237" xr:uid="{00000000-0005-0000-0000-000023000000}"/>
    <cellStyle name="Comma 2 3 3" xfId="112" xr:uid="{00000000-0005-0000-0000-000024000000}"/>
    <cellStyle name="Comma 2 3 3 2" xfId="180" xr:uid="{00000000-0005-0000-0000-000025000000}"/>
    <cellStyle name="Comma 2 3 3 2 2" xfId="331" xr:uid="{00000000-0005-0000-0000-000026000000}"/>
    <cellStyle name="Comma 2 3 3 3" xfId="258" xr:uid="{00000000-0005-0000-0000-000027000000}"/>
    <cellStyle name="Comma 2 3 4" xfId="60" xr:uid="{00000000-0005-0000-0000-000028000000}"/>
    <cellStyle name="Comma 2 3 4 2" xfId="294" xr:uid="{00000000-0005-0000-0000-000029000000}"/>
    <cellStyle name="Comma 2 3 5" xfId="221" xr:uid="{00000000-0005-0000-0000-00002A000000}"/>
    <cellStyle name="Comma 2 4" xfId="42" xr:uid="{00000000-0005-0000-0000-00002B000000}"/>
    <cellStyle name="Comma 2 4 2" xfId="124" xr:uid="{00000000-0005-0000-0000-00002C000000}"/>
    <cellStyle name="Comma 2 4 2 2" xfId="192" xr:uid="{00000000-0005-0000-0000-00002D000000}"/>
    <cellStyle name="Comma 2 4 2 2 2" xfId="343" xr:uid="{00000000-0005-0000-0000-00002E000000}"/>
    <cellStyle name="Comma 2 4 2 3" xfId="270" xr:uid="{00000000-0005-0000-0000-00002F000000}"/>
    <cellStyle name="Comma 2 4 3" xfId="75" xr:uid="{00000000-0005-0000-0000-000030000000}"/>
    <cellStyle name="Comma 2 4 3 2" xfId="306" xr:uid="{00000000-0005-0000-0000-000031000000}"/>
    <cellStyle name="Comma 2 4 4" xfId="233" xr:uid="{00000000-0005-0000-0000-000032000000}"/>
    <cellStyle name="Comma 2 5" xfId="104" xr:uid="{00000000-0005-0000-0000-000033000000}"/>
    <cellStyle name="Comma 2 5 2" xfId="173" xr:uid="{00000000-0005-0000-0000-000034000000}"/>
    <cellStyle name="Comma 2 5 2 2" xfId="323" xr:uid="{00000000-0005-0000-0000-000035000000}"/>
    <cellStyle name="Comma 2 5 3" xfId="250" xr:uid="{00000000-0005-0000-0000-000036000000}"/>
    <cellStyle name="Comma 2 6" xfId="146" xr:uid="{00000000-0005-0000-0000-000037000000}"/>
    <cellStyle name="Comma 2 7" xfId="148" xr:uid="{00000000-0005-0000-0000-000038000000}"/>
    <cellStyle name="Comma 2 7 2" xfId="286" xr:uid="{00000000-0005-0000-0000-000039000000}"/>
    <cellStyle name="Comma 3" xfId="18" xr:uid="{00000000-0005-0000-0000-00003A000000}"/>
    <cellStyle name="Comma 3 2" xfId="24" xr:uid="{00000000-0005-0000-0000-00003B000000}"/>
    <cellStyle name="Comma 3 3" xfId="35" xr:uid="{00000000-0005-0000-0000-00003C000000}"/>
    <cellStyle name="Comma 3 4" xfId="33" xr:uid="{00000000-0005-0000-0000-00003D000000}"/>
    <cellStyle name="Comma 3 4 2" xfId="209" xr:uid="{00000000-0005-0000-0000-00003E000000}"/>
    <cellStyle name="Comma 3 5" xfId="44" xr:uid="{00000000-0005-0000-0000-00003F000000}"/>
    <cellStyle name="Comma 3 5 2" xfId="216" xr:uid="{00000000-0005-0000-0000-000040000000}"/>
    <cellStyle name="Comma 3 6" xfId="54" xr:uid="{00000000-0005-0000-0000-000041000000}"/>
    <cellStyle name="Comma 4" xfId="22" xr:uid="{00000000-0005-0000-0000-000042000000}"/>
    <cellStyle name="Comma 4 2" xfId="143" xr:uid="{00000000-0005-0000-0000-000043000000}"/>
    <cellStyle name="Comma 4 3" xfId="52" xr:uid="{00000000-0005-0000-0000-000044000000}"/>
    <cellStyle name="Comma 4 3 2" xfId="211" xr:uid="{00000000-0005-0000-0000-000045000000}"/>
    <cellStyle name="Comma 4 4" xfId="215" xr:uid="{00000000-0005-0000-0000-000046000000}"/>
    <cellStyle name="Comma 5" xfId="27" xr:uid="{00000000-0005-0000-0000-000047000000}"/>
    <cellStyle name="Comma 5 2" xfId="87" xr:uid="{00000000-0005-0000-0000-000048000000}"/>
    <cellStyle name="Comma 5 2 2" xfId="132" xr:uid="{00000000-0005-0000-0000-000049000000}"/>
    <cellStyle name="Comma 5 2 2 2" xfId="200" xr:uid="{00000000-0005-0000-0000-00004A000000}"/>
    <cellStyle name="Comma 5 2 2 2 2" xfId="351" xr:uid="{00000000-0005-0000-0000-00004B000000}"/>
    <cellStyle name="Comma 5 2 2 3" xfId="278" xr:uid="{00000000-0005-0000-0000-00004C000000}"/>
    <cellStyle name="Comma 5 2 3" xfId="167" xr:uid="{00000000-0005-0000-0000-00004D000000}"/>
    <cellStyle name="Comma 5 2 3 2" xfId="314" xr:uid="{00000000-0005-0000-0000-00004E000000}"/>
    <cellStyle name="Comma 5 2 4" xfId="241" xr:uid="{00000000-0005-0000-0000-00004F000000}"/>
    <cellStyle name="Comma 5 3" xfId="116" xr:uid="{00000000-0005-0000-0000-000050000000}"/>
    <cellStyle name="Comma 5 3 2" xfId="184" xr:uid="{00000000-0005-0000-0000-000051000000}"/>
    <cellStyle name="Comma 5 3 2 2" xfId="335" xr:uid="{00000000-0005-0000-0000-000052000000}"/>
    <cellStyle name="Comma 5 3 3" xfId="262" xr:uid="{00000000-0005-0000-0000-000053000000}"/>
    <cellStyle name="Comma 5 4" xfId="144" xr:uid="{00000000-0005-0000-0000-000054000000}"/>
    <cellStyle name="Comma 5 5" xfId="64" xr:uid="{00000000-0005-0000-0000-000055000000}"/>
    <cellStyle name="Comma 5 5 2" xfId="298" xr:uid="{00000000-0005-0000-0000-000056000000}"/>
    <cellStyle name="Comma 5 6" xfId="225" xr:uid="{00000000-0005-0000-0000-000057000000}"/>
    <cellStyle name="Comma 6" xfId="29" xr:uid="{00000000-0005-0000-0000-000058000000}"/>
    <cellStyle name="Comma 6 2" xfId="79" xr:uid="{00000000-0005-0000-0000-000059000000}"/>
    <cellStyle name="Comma 6 3" xfId="73" xr:uid="{00000000-0005-0000-0000-00005A000000}"/>
    <cellStyle name="Comma 7" xfId="28" xr:uid="{00000000-0005-0000-0000-00005B000000}"/>
    <cellStyle name="Comma 7 2" xfId="102" xr:uid="{00000000-0005-0000-0000-00005C000000}"/>
    <cellStyle name="Comma 7 3" xfId="95" xr:uid="{00000000-0005-0000-0000-00005D000000}"/>
    <cellStyle name="Comma 8" xfId="38" xr:uid="{00000000-0005-0000-0000-00005E000000}"/>
    <cellStyle name="Currency" xfId="2" builtinId="4"/>
    <cellStyle name="Currency 2" xfId="11" xr:uid="{00000000-0005-0000-0000-000060000000}"/>
    <cellStyle name="Currency 2 2" xfId="57" xr:uid="{00000000-0005-0000-0000-000061000000}"/>
    <cellStyle name="Currency 2 2 2" xfId="70" xr:uid="{00000000-0005-0000-0000-000062000000}"/>
    <cellStyle name="Currency 2 2 2 2" xfId="121" xr:uid="{00000000-0005-0000-0000-000063000000}"/>
    <cellStyle name="Currency 2 2 2 2 2" xfId="189" xr:uid="{00000000-0005-0000-0000-000064000000}"/>
    <cellStyle name="Currency 2 2 2 2 2 2" xfId="340" xr:uid="{00000000-0005-0000-0000-000065000000}"/>
    <cellStyle name="Currency 2 2 2 2 3" xfId="267" xr:uid="{00000000-0005-0000-0000-000066000000}"/>
    <cellStyle name="Currency 2 2 2 3" xfId="157" xr:uid="{00000000-0005-0000-0000-000067000000}"/>
    <cellStyle name="Currency 2 2 2 3 2" xfId="303" xr:uid="{00000000-0005-0000-0000-000068000000}"/>
    <cellStyle name="Currency 2 2 2 4" xfId="230" xr:uid="{00000000-0005-0000-0000-000069000000}"/>
    <cellStyle name="Currency 2 2 3" xfId="92" xr:uid="{00000000-0005-0000-0000-00006A000000}"/>
    <cellStyle name="Currency 2 2 3 2" xfId="137" xr:uid="{00000000-0005-0000-0000-00006B000000}"/>
    <cellStyle name="Currency 2 2 3 2 2" xfId="205" xr:uid="{00000000-0005-0000-0000-00006C000000}"/>
    <cellStyle name="Currency 2 2 3 2 2 2" xfId="356" xr:uid="{00000000-0005-0000-0000-00006D000000}"/>
    <cellStyle name="Currency 2 2 3 2 3" xfId="283" xr:uid="{00000000-0005-0000-0000-00006E000000}"/>
    <cellStyle name="Currency 2 2 3 3" xfId="171" xr:uid="{00000000-0005-0000-0000-00006F000000}"/>
    <cellStyle name="Currency 2 2 3 3 2" xfId="319" xr:uid="{00000000-0005-0000-0000-000070000000}"/>
    <cellStyle name="Currency 2 2 3 4" xfId="246" xr:uid="{00000000-0005-0000-0000-000071000000}"/>
    <cellStyle name="Currency 2 2 4" xfId="109" xr:uid="{00000000-0005-0000-0000-000072000000}"/>
    <cellStyle name="Currency 2 2 4 2" xfId="177" xr:uid="{00000000-0005-0000-0000-000073000000}"/>
    <cellStyle name="Currency 2 2 4 2 2" xfId="328" xr:uid="{00000000-0005-0000-0000-000074000000}"/>
    <cellStyle name="Currency 2 2 4 3" xfId="255" xr:uid="{00000000-0005-0000-0000-000075000000}"/>
    <cellStyle name="Currency 2 2 5" xfId="149" xr:uid="{00000000-0005-0000-0000-000076000000}"/>
    <cellStyle name="Currency 2 2 5 2" xfId="291" xr:uid="{00000000-0005-0000-0000-000077000000}"/>
    <cellStyle name="Currency 2 2 6" xfId="218" xr:uid="{00000000-0005-0000-0000-000078000000}"/>
    <cellStyle name="Currency 2 3" xfId="61" xr:uid="{00000000-0005-0000-0000-000079000000}"/>
    <cellStyle name="Currency 2 3 2" xfId="84" xr:uid="{00000000-0005-0000-0000-00007A000000}"/>
    <cellStyle name="Currency 2 3 2 2" xfId="129" xr:uid="{00000000-0005-0000-0000-00007B000000}"/>
    <cellStyle name="Currency 2 3 2 2 2" xfId="197" xr:uid="{00000000-0005-0000-0000-00007C000000}"/>
    <cellStyle name="Currency 2 3 2 2 2 2" xfId="348" xr:uid="{00000000-0005-0000-0000-00007D000000}"/>
    <cellStyle name="Currency 2 3 2 2 3" xfId="275" xr:uid="{00000000-0005-0000-0000-00007E000000}"/>
    <cellStyle name="Currency 2 3 2 3" xfId="164" xr:uid="{00000000-0005-0000-0000-00007F000000}"/>
    <cellStyle name="Currency 2 3 2 3 2" xfId="311" xr:uid="{00000000-0005-0000-0000-000080000000}"/>
    <cellStyle name="Currency 2 3 2 4" xfId="238" xr:uid="{00000000-0005-0000-0000-000081000000}"/>
    <cellStyle name="Currency 2 3 3" xfId="113" xr:uid="{00000000-0005-0000-0000-000082000000}"/>
    <cellStyle name="Currency 2 3 3 2" xfId="181" xr:uid="{00000000-0005-0000-0000-000083000000}"/>
    <cellStyle name="Currency 2 3 3 2 2" xfId="332" xr:uid="{00000000-0005-0000-0000-000084000000}"/>
    <cellStyle name="Currency 2 3 3 3" xfId="259" xr:uid="{00000000-0005-0000-0000-000085000000}"/>
    <cellStyle name="Currency 2 3 4" xfId="151" xr:uid="{00000000-0005-0000-0000-000086000000}"/>
    <cellStyle name="Currency 2 3 4 2" xfId="295" xr:uid="{00000000-0005-0000-0000-000087000000}"/>
    <cellStyle name="Currency 2 3 5" xfId="222" xr:uid="{00000000-0005-0000-0000-000088000000}"/>
    <cellStyle name="Currency 2 4" xfId="76" xr:uid="{00000000-0005-0000-0000-000089000000}"/>
    <cellStyle name="Currency 2 4 2" xfId="125" xr:uid="{00000000-0005-0000-0000-00008A000000}"/>
    <cellStyle name="Currency 2 4 2 2" xfId="193" xr:uid="{00000000-0005-0000-0000-00008B000000}"/>
    <cellStyle name="Currency 2 4 2 2 2" xfId="344" xr:uid="{00000000-0005-0000-0000-00008C000000}"/>
    <cellStyle name="Currency 2 4 2 3" xfId="271" xr:uid="{00000000-0005-0000-0000-00008D000000}"/>
    <cellStyle name="Currency 2 4 3" xfId="160" xr:uid="{00000000-0005-0000-0000-00008E000000}"/>
    <cellStyle name="Currency 2 4 3 2" xfId="307" xr:uid="{00000000-0005-0000-0000-00008F000000}"/>
    <cellStyle name="Currency 2 4 4" xfId="234" xr:uid="{00000000-0005-0000-0000-000090000000}"/>
    <cellStyle name="Currency 2 5" xfId="105" xr:uid="{00000000-0005-0000-0000-000091000000}"/>
    <cellStyle name="Currency 2 5 2" xfId="174" xr:uid="{00000000-0005-0000-0000-000092000000}"/>
    <cellStyle name="Currency 2 5 2 2" xfId="324" xr:uid="{00000000-0005-0000-0000-000093000000}"/>
    <cellStyle name="Currency 2 5 3" xfId="251" xr:uid="{00000000-0005-0000-0000-000094000000}"/>
    <cellStyle name="Currency 2 6" xfId="47" xr:uid="{00000000-0005-0000-0000-000095000000}"/>
    <cellStyle name="Currency 2 6 2" xfId="287" xr:uid="{00000000-0005-0000-0000-000096000000}"/>
    <cellStyle name="Currency 2 7" xfId="213" xr:uid="{00000000-0005-0000-0000-000097000000}"/>
    <cellStyle name="Currency 3" xfId="14" xr:uid="{00000000-0005-0000-0000-000098000000}"/>
    <cellStyle name="Currency 3 2" xfId="50" xr:uid="{00000000-0005-0000-0000-000099000000}"/>
    <cellStyle name="Currency 4" xfId="31" xr:uid="{00000000-0005-0000-0000-00009A000000}"/>
    <cellStyle name="Currency 4 2" xfId="88" xr:uid="{00000000-0005-0000-0000-00009B000000}"/>
    <cellStyle name="Currency 4 2 2" xfId="133" xr:uid="{00000000-0005-0000-0000-00009C000000}"/>
    <cellStyle name="Currency 4 2 2 2" xfId="201" xr:uid="{00000000-0005-0000-0000-00009D000000}"/>
    <cellStyle name="Currency 4 2 2 2 2" xfId="352" xr:uid="{00000000-0005-0000-0000-00009E000000}"/>
    <cellStyle name="Currency 4 2 2 3" xfId="279" xr:uid="{00000000-0005-0000-0000-00009F000000}"/>
    <cellStyle name="Currency 4 2 3" xfId="168" xr:uid="{00000000-0005-0000-0000-0000A0000000}"/>
    <cellStyle name="Currency 4 2 3 2" xfId="315" xr:uid="{00000000-0005-0000-0000-0000A1000000}"/>
    <cellStyle name="Currency 4 2 4" xfId="242" xr:uid="{00000000-0005-0000-0000-0000A2000000}"/>
    <cellStyle name="Currency 4 3" xfId="117" xr:uid="{00000000-0005-0000-0000-0000A3000000}"/>
    <cellStyle name="Currency 4 3 2" xfId="185" xr:uid="{00000000-0005-0000-0000-0000A4000000}"/>
    <cellStyle name="Currency 4 3 2 2" xfId="336" xr:uid="{00000000-0005-0000-0000-0000A5000000}"/>
    <cellStyle name="Currency 4 3 3" xfId="263" xr:uid="{00000000-0005-0000-0000-0000A6000000}"/>
    <cellStyle name="Currency 4 4" xfId="154" xr:uid="{00000000-0005-0000-0000-0000A7000000}"/>
    <cellStyle name="Currency 4 4 2" xfId="299" xr:uid="{00000000-0005-0000-0000-0000A8000000}"/>
    <cellStyle name="Currency 4 5" xfId="226" xr:uid="{00000000-0005-0000-0000-0000A9000000}"/>
    <cellStyle name="Currency 5" xfId="39" xr:uid="{00000000-0005-0000-0000-0000AA000000}"/>
    <cellStyle name="Currency 5 2" xfId="80" xr:uid="{00000000-0005-0000-0000-0000AB000000}"/>
    <cellStyle name="Currency 6" xfId="101" xr:uid="{00000000-0005-0000-0000-0000AC000000}"/>
    <cellStyle name="Normal" xfId="0" builtinId="0"/>
    <cellStyle name="Normal 18" xfId="210" xr:uid="{00000000-0005-0000-0000-0000AE000000}"/>
    <cellStyle name="Normal 2" xfId="5" xr:uid="{00000000-0005-0000-0000-0000AF000000}"/>
    <cellStyle name="Normal 2 2" xfId="13" xr:uid="{00000000-0005-0000-0000-0000B0000000}"/>
    <cellStyle name="Normal 2 2 2" xfId="68" xr:uid="{00000000-0005-0000-0000-0000B1000000}"/>
    <cellStyle name="Normal 2 2 2 2" xfId="90" xr:uid="{00000000-0005-0000-0000-0000B2000000}"/>
    <cellStyle name="Normal 2 2 2 2 2" xfId="135" xr:uid="{00000000-0005-0000-0000-0000B3000000}"/>
    <cellStyle name="Normal 2 2 2 2 2 2" xfId="203" xr:uid="{00000000-0005-0000-0000-0000B4000000}"/>
    <cellStyle name="Normal 2 2 2 2 2 2 2" xfId="354" xr:uid="{00000000-0005-0000-0000-0000B5000000}"/>
    <cellStyle name="Normal 2 2 2 2 2 3" xfId="281" xr:uid="{00000000-0005-0000-0000-0000B6000000}"/>
    <cellStyle name="Normal 2 2 2 2 3" xfId="170" xr:uid="{00000000-0005-0000-0000-0000B7000000}"/>
    <cellStyle name="Normal 2 2 2 2 3 2" xfId="317" xr:uid="{00000000-0005-0000-0000-0000B8000000}"/>
    <cellStyle name="Normal 2 2 2 2 4" xfId="244" xr:uid="{00000000-0005-0000-0000-0000B9000000}"/>
    <cellStyle name="Normal 2 2 2 3" xfId="119" xr:uid="{00000000-0005-0000-0000-0000BA000000}"/>
    <cellStyle name="Normal 2 2 2 3 2" xfId="187" xr:uid="{00000000-0005-0000-0000-0000BB000000}"/>
    <cellStyle name="Normal 2 2 2 3 2 2" xfId="338" xr:uid="{00000000-0005-0000-0000-0000BC000000}"/>
    <cellStyle name="Normal 2 2 2 3 3" xfId="265" xr:uid="{00000000-0005-0000-0000-0000BD000000}"/>
    <cellStyle name="Normal 2 2 2 4" xfId="156" xr:uid="{00000000-0005-0000-0000-0000BE000000}"/>
    <cellStyle name="Normal 2 2 2 4 2" xfId="301" xr:uid="{00000000-0005-0000-0000-0000BF000000}"/>
    <cellStyle name="Normal 2 2 2 5" xfId="228" xr:uid="{00000000-0005-0000-0000-0000C0000000}"/>
    <cellStyle name="Normal 2 2 3" xfId="74" xr:uid="{00000000-0005-0000-0000-0000C1000000}"/>
    <cellStyle name="Normal 2 2 3 2" xfId="123" xr:uid="{00000000-0005-0000-0000-0000C2000000}"/>
    <cellStyle name="Normal 2 2 3 2 2" xfId="191" xr:uid="{00000000-0005-0000-0000-0000C3000000}"/>
    <cellStyle name="Normal 2 2 3 2 2 2" xfId="342" xr:uid="{00000000-0005-0000-0000-0000C4000000}"/>
    <cellStyle name="Normal 2 2 3 2 3" xfId="269" xr:uid="{00000000-0005-0000-0000-0000C5000000}"/>
    <cellStyle name="Normal 2 2 3 3" xfId="159" xr:uid="{00000000-0005-0000-0000-0000C6000000}"/>
    <cellStyle name="Normal 2 2 3 3 2" xfId="305" xr:uid="{00000000-0005-0000-0000-0000C7000000}"/>
    <cellStyle name="Normal 2 2 3 4" xfId="232" xr:uid="{00000000-0005-0000-0000-0000C8000000}"/>
    <cellStyle name="Normal 2 2 4" xfId="107" xr:uid="{00000000-0005-0000-0000-0000C9000000}"/>
    <cellStyle name="Normal 2 2 4 2" xfId="175" xr:uid="{00000000-0005-0000-0000-0000CA000000}"/>
    <cellStyle name="Normal 2 2 4 2 2" xfId="326" xr:uid="{00000000-0005-0000-0000-0000CB000000}"/>
    <cellStyle name="Normal 2 2 4 3" xfId="253" xr:uid="{00000000-0005-0000-0000-0000CC000000}"/>
    <cellStyle name="Normal 2 2 5" xfId="56" xr:uid="{00000000-0005-0000-0000-0000CD000000}"/>
    <cellStyle name="Normal 2 2 5 2" xfId="289" xr:uid="{00000000-0005-0000-0000-0000CE000000}"/>
    <cellStyle name="Normal 2 2 6" xfId="217" xr:uid="{00000000-0005-0000-0000-0000CF000000}"/>
    <cellStyle name="Normal 2 3" xfId="51" xr:uid="{00000000-0005-0000-0000-0000D0000000}"/>
    <cellStyle name="Normal 2 4" xfId="59" xr:uid="{00000000-0005-0000-0000-0000D1000000}"/>
    <cellStyle name="Normal 2 4 2" xfId="82" xr:uid="{00000000-0005-0000-0000-0000D2000000}"/>
    <cellStyle name="Normal 2 4 2 2" xfId="127" xr:uid="{00000000-0005-0000-0000-0000D3000000}"/>
    <cellStyle name="Normal 2 4 2 2 2" xfId="195" xr:uid="{00000000-0005-0000-0000-0000D4000000}"/>
    <cellStyle name="Normal 2 4 2 2 2 2" xfId="346" xr:uid="{00000000-0005-0000-0000-0000D5000000}"/>
    <cellStyle name="Normal 2 4 2 2 3" xfId="273" xr:uid="{00000000-0005-0000-0000-0000D6000000}"/>
    <cellStyle name="Normal 2 4 2 3" xfId="162" xr:uid="{00000000-0005-0000-0000-0000D7000000}"/>
    <cellStyle name="Normal 2 4 2 3 2" xfId="309" xr:uid="{00000000-0005-0000-0000-0000D8000000}"/>
    <cellStyle name="Normal 2 4 2 4" xfId="236" xr:uid="{00000000-0005-0000-0000-0000D9000000}"/>
    <cellStyle name="Normal 2 4 3" xfId="96" xr:uid="{00000000-0005-0000-0000-0000DA000000}"/>
    <cellStyle name="Normal 2 4 4" xfId="111" xr:uid="{00000000-0005-0000-0000-0000DB000000}"/>
    <cellStyle name="Normal 2 4 4 2" xfId="179" xr:uid="{00000000-0005-0000-0000-0000DC000000}"/>
    <cellStyle name="Normal 2 4 4 2 2" xfId="330" xr:uid="{00000000-0005-0000-0000-0000DD000000}"/>
    <cellStyle name="Normal 2 4 4 3" xfId="257" xr:uid="{00000000-0005-0000-0000-0000DE000000}"/>
    <cellStyle name="Normal 2 4 5" xfId="150" xr:uid="{00000000-0005-0000-0000-0000DF000000}"/>
    <cellStyle name="Normal 2 4 5 2" xfId="293" xr:uid="{00000000-0005-0000-0000-0000E0000000}"/>
    <cellStyle name="Normal 2 4 6" xfId="220" xr:uid="{00000000-0005-0000-0000-0000E1000000}"/>
    <cellStyle name="Normal 3" xfId="4" xr:uid="{00000000-0005-0000-0000-0000E2000000}"/>
    <cellStyle name="Normal 3 2" xfId="9" xr:uid="{00000000-0005-0000-0000-0000E3000000}"/>
    <cellStyle name="Normal 3 2 2" xfId="34" xr:uid="{00000000-0005-0000-0000-0000E4000000}"/>
    <cellStyle name="Normal 3 2 2 2" xfId="139" xr:uid="{00000000-0005-0000-0000-0000E5000000}"/>
    <cellStyle name="Normal 3 2 2 2 2" xfId="207" xr:uid="{00000000-0005-0000-0000-0000E6000000}"/>
    <cellStyle name="Normal 3 2 2 2 2 2" xfId="358" xr:uid="{00000000-0005-0000-0000-0000E7000000}"/>
    <cellStyle name="Normal 3 2 2 2 3" xfId="285" xr:uid="{00000000-0005-0000-0000-0000E8000000}"/>
    <cellStyle name="Normal 3 2 2 3" xfId="99" xr:uid="{00000000-0005-0000-0000-0000E9000000}"/>
    <cellStyle name="Normal 3 2 2 3 2" xfId="321" xr:uid="{00000000-0005-0000-0000-0000EA000000}"/>
    <cellStyle name="Normal 3 2 2 4" xfId="248" xr:uid="{00000000-0005-0000-0000-0000EB000000}"/>
    <cellStyle name="Normal 3 2 3" xfId="66" xr:uid="{00000000-0005-0000-0000-0000EC000000}"/>
    <cellStyle name="Normal 3 3" xfId="16" xr:uid="{00000000-0005-0000-0000-0000ED000000}"/>
    <cellStyle name="Normal 3 3 2" xfId="103" xr:uid="{00000000-0005-0000-0000-0000EE000000}"/>
    <cellStyle name="Normal 3 3 2 2" xfId="322" xr:uid="{00000000-0005-0000-0000-0000EF000000}"/>
    <cellStyle name="Normal 3 3 3" xfId="249" xr:uid="{00000000-0005-0000-0000-0000F0000000}"/>
    <cellStyle name="Normal 3 4" xfId="7" xr:uid="{00000000-0005-0000-0000-0000F1000000}"/>
    <cellStyle name="Normal 3 5" xfId="41" xr:uid="{00000000-0005-0000-0000-0000F2000000}"/>
    <cellStyle name="Normal 3 5 2" xfId="147" xr:uid="{00000000-0005-0000-0000-0000F3000000}"/>
    <cellStyle name="Normal 3 6" xfId="45" xr:uid="{00000000-0005-0000-0000-0000F4000000}"/>
    <cellStyle name="Normal 4" xfId="26" xr:uid="{00000000-0005-0000-0000-0000F5000000}"/>
    <cellStyle name="Normal 4 2" xfId="63" xr:uid="{00000000-0005-0000-0000-0000F6000000}"/>
    <cellStyle name="Normal 4 2 2" xfId="115" xr:uid="{00000000-0005-0000-0000-0000F7000000}"/>
    <cellStyle name="Normal 4 2 2 2" xfId="183" xr:uid="{00000000-0005-0000-0000-0000F8000000}"/>
    <cellStyle name="Normal 4 2 2 2 2" xfId="334" xr:uid="{00000000-0005-0000-0000-0000F9000000}"/>
    <cellStyle name="Normal 4 2 2 3" xfId="261" xr:uid="{00000000-0005-0000-0000-0000FA000000}"/>
    <cellStyle name="Normal 4 2 3" xfId="153" xr:uid="{00000000-0005-0000-0000-0000FB000000}"/>
    <cellStyle name="Normal 4 2 3 2" xfId="297" xr:uid="{00000000-0005-0000-0000-0000FC000000}"/>
    <cellStyle name="Normal 4 2 4" xfId="224" xr:uid="{00000000-0005-0000-0000-0000FD000000}"/>
    <cellStyle name="Normal 4 3" xfId="86" xr:uid="{00000000-0005-0000-0000-0000FE000000}"/>
    <cellStyle name="Normal 4 3 2" xfId="131" xr:uid="{00000000-0005-0000-0000-0000FF000000}"/>
    <cellStyle name="Normal 4 3 2 2" xfId="199" xr:uid="{00000000-0005-0000-0000-000000010000}"/>
    <cellStyle name="Normal 4 3 2 2 2" xfId="350" xr:uid="{00000000-0005-0000-0000-000001010000}"/>
    <cellStyle name="Normal 4 3 2 3" xfId="277" xr:uid="{00000000-0005-0000-0000-000002010000}"/>
    <cellStyle name="Normal 4 3 3" xfId="166" xr:uid="{00000000-0005-0000-0000-000003010000}"/>
    <cellStyle name="Normal 4 3 3 2" xfId="313" xr:uid="{00000000-0005-0000-0000-000004010000}"/>
    <cellStyle name="Normal 4 3 4" xfId="240" xr:uid="{00000000-0005-0000-0000-000005010000}"/>
    <cellStyle name="Normal 5" xfId="30" xr:uid="{00000000-0005-0000-0000-000006010000}"/>
    <cellStyle name="Normal 5 2" xfId="78" xr:uid="{00000000-0005-0000-0000-000007010000}"/>
    <cellStyle name="Normal 5 3" xfId="72" xr:uid="{00000000-0005-0000-0000-000008010000}"/>
    <cellStyle name="Normal 5 3 2" xfId="208" xr:uid="{00000000-0005-0000-0000-000009010000}"/>
    <cellStyle name="Normal 6" xfId="37" xr:uid="{00000000-0005-0000-0000-00000A010000}"/>
    <cellStyle name="Normal 6 2" xfId="100" xr:uid="{00000000-0005-0000-0000-00000B010000}"/>
    <cellStyle name="Normal 6 3" xfId="94" xr:uid="{00000000-0005-0000-0000-00000C010000}"/>
    <cellStyle name="Percent" xfId="3" builtinId="5"/>
    <cellStyle name="Percent 2" xfId="6" xr:uid="{00000000-0005-0000-0000-00000E010000}"/>
    <cellStyle name="Percent 2 2" xfId="17" xr:uid="{00000000-0005-0000-0000-00000F010000}"/>
    <cellStyle name="Percent 2 2 2" xfId="71" xr:uid="{00000000-0005-0000-0000-000010010000}"/>
    <cellStyle name="Percent 2 2 2 2" xfId="93" xr:uid="{00000000-0005-0000-0000-000011010000}"/>
    <cellStyle name="Percent 2 2 2 2 2" xfId="138" xr:uid="{00000000-0005-0000-0000-000012010000}"/>
    <cellStyle name="Percent 2 2 2 2 2 2" xfId="206" xr:uid="{00000000-0005-0000-0000-000013010000}"/>
    <cellStyle name="Percent 2 2 2 2 2 2 2" xfId="357" xr:uid="{00000000-0005-0000-0000-000014010000}"/>
    <cellStyle name="Percent 2 2 2 2 2 3" xfId="284" xr:uid="{00000000-0005-0000-0000-000015010000}"/>
    <cellStyle name="Percent 2 2 2 2 3" xfId="172" xr:uid="{00000000-0005-0000-0000-000016010000}"/>
    <cellStyle name="Percent 2 2 2 2 3 2" xfId="320" xr:uid="{00000000-0005-0000-0000-000017010000}"/>
    <cellStyle name="Percent 2 2 2 2 4" xfId="247" xr:uid="{00000000-0005-0000-0000-000018010000}"/>
    <cellStyle name="Percent 2 2 2 3" xfId="122" xr:uid="{00000000-0005-0000-0000-000019010000}"/>
    <cellStyle name="Percent 2 2 2 3 2" xfId="190" xr:uid="{00000000-0005-0000-0000-00001A010000}"/>
    <cellStyle name="Percent 2 2 2 3 2 2" xfId="341" xr:uid="{00000000-0005-0000-0000-00001B010000}"/>
    <cellStyle name="Percent 2 2 2 3 3" xfId="268" xr:uid="{00000000-0005-0000-0000-00001C010000}"/>
    <cellStyle name="Percent 2 2 2 4" xfId="158" xr:uid="{00000000-0005-0000-0000-00001D010000}"/>
    <cellStyle name="Percent 2 2 2 4 2" xfId="304" xr:uid="{00000000-0005-0000-0000-00001E010000}"/>
    <cellStyle name="Percent 2 2 2 5" xfId="231" xr:uid="{00000000-0005-0000-0000-00001F010000}"/>
    <cellStyle name="Percent 2 2 3" xfId="77" xr:uid="{00000000-0005-0000-0000-000020010000}"/>
    <cellStyle name="Percent 2 2 3 2" xfId="126" xr:uid="{00000000-0005-0000-0000-000021010000}"/>
    <cellStyle name="Percent 2 2 3 2 2" xfId="194" xr:uid="{00000000-0005-0000-0000-000022010000}"/>
    <cellStyle name="Percent 2 2 3 2 2 2" xfId="345" xr:uid="{00000000-0005-0000-0000-000023010000}"/>
    <cellStyle name="Percent 2 2 3 2 3" xfId="272" xr:uid="{00000000-0005-0000-0000-000024010000}"/>
    <cellStyle name="Percent 2 2 3 3" xfId="161" xr:uid="{00000000-0005-0000-0000-000025010000}"/>
    <cellStyle name="Percent 2 2 3 3 2" xfId="308" xr:uid="{00000000-0005-0000-0000-000026010000}"/>
    <cellStyle name="Percent 2 2 3 4" xfId="235" xr:uid="{00000000-0005-0000-0000-000027010000}"/>
    <cellStyle name="Percent 2 2 4" xfId="110" xr:uid="{00000000-0005-0000-0000-000028010000}"/>
    <cellStyle name="Percent 2 2 4 2" xfId="178" xr:uid="{00000000-0005-0000-0000-000029010000}"/>
    <cellStyle name="Percent 2 2 4 2 2" xfId="329" xr:uid="{00000000-0005-0000-0000-00002A010000}"/>
    <cellStyle name="Percent 2 2 4 3" xfId="256" xr:uid="{00000000-0005-0000-0000-00002B010000}"/>
    <cellStyle name="Percent 2 2 5" xfId="141" xr:uid="{00000000-0005-0000-0000-00002C010000}"/>
    <cellStyle name="Percent 2 2 6" xfId="58" xr:uid="{00000000-0005-0000-0000-00002D010000}"/>
    <cellStyle name="Percent 2 2 6 2" xfId="292" xr:uid="{00000000-0005-0000-0000-00002E010000}"/>
    <cellStyle name="Percent 2 2 7" xfId="219" xr:uid="{00000000-0005-0000-0000-00002F010000}"/>
    <cellStyle name="Percent 2 3" xfId="62" xr:uid="{00000000-0005-0000-0000-000030010000}"/>
    <cellStyle name="Percent 2 3 2" xfId="85" xr:uid="{00000000-0005-0000-0000-000031010000}"/>
    <cellStyle name="Percent 2 3 2 2" xfId="130" xr:uid="{00000000-0005-0000-0000-000032010000}"/>
    <cellStyle name="Percent 2 3 2 2 2" xfId="198" xr:uid="{00000000-0005-0000-0000-000033010000}"/>
    <cellStyle name="Percent 2 3 2 2 2 2" xfId="349" xr:uid="{00000000-0005-0000-0000-000034010000}"/>
    <cellStyle name="Percent 2 3 2 2 3" xfId="276" xr:uid="{00000000-0005-0000-0000-000035010000}"/>
    <cellStyle name="Percent 2 3 2 3" xfId="165" xr:uid="{00000000-0005-0000-0000-000036010000}"/>
    <cellStyle name="Percent 2 3 2 3 2" xfId="312" xr:uid="{00000000-0005-0000-0000-000037010000}"/>
    <cellStyle name="Percent 2 3 2 4" xfId="239" xr:uid="{00000000-0005-0000-0000-000038010000}"/>
    <cellStyle name="Percent 2 3 3" xfId="98" xr:uid="{00000000-0005-0000-0000-000039010000}"/>
    <cellStyle name="Percent 2 3 4" xfId="114" xr:uid="{00000000-0005-0000-0000-00003A010000}"/>
    <cellStyle name="Percent 2 3 4 2" xfId="182" xr:uid="{00000000-0005-0000-0000-00003B010000}"/>
    <cellStyle name="Percent 2 3 4 2 2" xfId="333" xr:uid="{00000000-0005-0000-0000-00003C010000}"/>
    <cellStyle name="Percent 2 3 4 3" xfId="260" xr:uid="{00000000-0005-0000-0000-00003D010000}"/>
    <cellStyle name="Percent 2 3 5" xfId="152" xr:uid="{00000000-0005-0000-0000-00003E010000}"/>
    <cellStyle name="Percent 2 3 5 2" xfId="296" xr:uid="{00000000-0005-0000-0000-00003F010000}"/>
    <cellStyle name="Percent 2 3 6" xfId="223" xr:uid="{00000000-0005-0000-0000-000040010000}"/>
    <cellStyle name="Percent 3" xfId="12" xr:uid="{00000000-0005-0000-0000-000041010000}"/>
    <cellStyle name="Percent 3 2" xfId="25" xr:uid="{00000000-0005-0000-0000-000042010000}"/>
    <cellStyle name="Percent 3 2 2" xfId="145" xr:uid="{00000000-0005-0000-0000-000043010000}"/>
    <cellStyle name="Percent 3 2 3" xfId="55" xr:uid="{00000000-0005-0000-0000-000044010000}"/>
    <cellStyle name="Percent 3 3" xfId="15" xr:uid="{00000000-0005-0000-0000-000045010000}"/>
    <cellStyle name="Percent 3 3 2" xfId="106" xr:uid="{00000000-0005-0000-0000-000046010000}"/>
    <cellStyle name="Percent 3 3 2 2" xfId="325" xr:uid="{00000000-0005-0000-0000-000047010000}"/>
    <cellStyle name="Percent 3 3 3" xfId="252" xr:uid="{00000000-0005-0000-0000-000048010000}"/>
    <cellStyle name="Percent 3 4" xfId="43" xr:uid="{00000000-0005-0000-0000-000049010000}"/>
    <cellStyle name="Percent 3 4 2" xfId="142" xr:uid="{00000000-0005-0000-0000-00004A010000}"/>
    <cellStyle name="Percent 3 5" xfId="48" xr:uid="{00000000-0005-0000-0000-00004B010000}"/>
    <cellStyle name="Percent 3 5 2" xfId="288" xr:uid="{00000000-0005-0000-0000-00004C010000}"/>
    <cellStyle name="Percent 3 6" xfId="214" xr:uid="{00000000-0005-0000-0000-00004D010000}"/>
    <cellStyle name="Percent 4" xfId="19" xr:uid="{00000000-0005-0000-0000-00004E010000}"/>
    <cellStyle name="Percent 4 2" xfId="67" xr:uid="{00000000-0005-0000-0000-00004F010000}"/>
    <cellStyle name="Percent 4 3" xfId="49" xr:uid="{00000000-0005-0000-0000-000050010000}"/>
    <cellStyle name="Percent 5" xfId="20" xr:uid="{00000000-0005-0000-0000-000051010000}"/>
    <cellStyle name="Percent 5 2" xfId="65" xr:uid="{00000000-0005-0000-0000-000052010000}"/>
    <cellStyle name="Percent 5 2 2" xfId="118" xr:uid="{00000000-0005-0000-0000-000053010000}"/>
    <cellStyle name="Percent 5 2 2 2" xfId="186" xr:uid="{00000000-0005-0000-0000-000054010000}"/>
    <cellStyle name="Percent 5 2 2 2 2" xfId="337" xr:uid="{00000000-0005-0000-0000-000055010000}"/>
    <cellStyle name="Percent 5 2 2 3" xfId="264" xr:uid="{00000000-0005-0000-0000-000056010000}"/>
    <cellStyle name="Percent 5 2 3" xfId="155" xr:uid="{00000000-0005-0000-0000-000057010000}"/>
    <cellStyle name="Percent 5 2 3 2" xfId="300" xr:uid="{00000000-0005-0000-0000-000058010000}"/>
    <cellStyle name="Percent 5 2 4" xfId="227" xr:uid="{00000000-0005-0000-0000-000059010000}"/>
    <cellStyle name="Percent 5 3" xfId="89" xr:uid="{00000000-0005-0000-0000-00005A010000}"/>
    <cellStyle name="Percent 5 3 2" xfId="134" xr:uid="{00000000-0005-0000-0000-00005B010000}"/>
    <cellStyle name="Percent 5 3 2 2" xfId="202" xr:uid="{00000000-0005-0000-0000-00005C010000}"/>
    <cellStyle name="Percent 5 3 2 2 2" xfId="353" xr:uid="{00000000-0005-0000-0000-00005D010000}"/>
    <cellStyle name="Percent 5 3 2 3" xfId="280" xr:uid="{00000000-0005-0000-0000-00005E010000}"/>
    <cellStyle name="Percent 5 3 3" xfId="169" xr:uid="{00000000-0005-0000-0000-00005F010000}"/>
    <cellStyle name="Percent 5 3 3 2" xfId="316" xr:uid="{00000000-0005-0000-0000-000060010000}"/>
    <cellStyle name="Percent 5 3 4" xfId="243" xr:uid="{00000000-0005-0000-0000-000061010000}"/>
    <cellStyle name="Percent 5 4" xfId="53" xr:uid="{00000000-0005-0000-0000-000062010000}"/>
    <cellStyle name="Percent 6" xfId="40" xr:uid="{00000000-0005-0000-0000-000063010000}"/>
    <cellStyle name="Percent 6 2" xfId="81" xr:uid="{00000000-0005-0000-0000-000064010000}"/>
    <cellStyle name="Percent 7" xfId="97" xr:uid="{00000000-0005-0000-0000-000065010000}"/>
    <cellStyle name="STYLE1" xfId="8" xr:uid="{00000000-0005-0000-0000-00006601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11</xdr:row>
      <xdr:rowOff>12700</xdr:rowOff>
    </xdr:from>
    <xdr:to>
      <xdr:col>6</xdr:col>
      <xdr:colOff>165100</xdr:colOff>
      <xdr:row>11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31</xdr:row>
      <xdr:rowOff>12700</xdr:rowOff>
    </xdr:from>
    <xdr:to>
      <xdr:col>6</xdr:col>
      <xdr:colOff>165100</xdr:colOff>
      <xdr:row>31</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31</xdr:row>
      <xdr:rowOff>12700</xdr:rowOff>
    </xdr:from>
    <xdr:to>
      <xdr:col>6</xdr:col>
      <xdr:colOff>165100</xdr:colOff>
      <xdr:row>31</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34</xdr:row>
      <xdr:rowOff>12700</xdr:rowOff>
    </xdr:from>
    <xdr:to>
      <xdr:col>6</xdr:col>
      <xdr:colOff>165100</xdr:colOff>
      <xdr:row>34</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01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38</xdr:row>
      <xdr:rowOff>12700</xdr:rowOff>
    </xdr:from>
    <xdr:to>
      <xdr:col>6</xdr:col>
      <xdr:colOff>165100</xdr:colOff>
      <xdr:row>38</xdr:row>
      <xdr:rowOff>165100</xdr:rowOff>
    </xdr:to>
    <xdr:pic>
      <xdr:nvPicPr>
        <xdr:cNvPr id="23" name="Picture 22">
          <a:extLst>
            <a:ext uri="{FF2B5EF4-FFF2-40B4-BE49-F238E27FC236}">
              <a16:creationId xmlns:a16="http://schemas.microsoft.com/office/drawing/2014/main" id="{00000000-0008-0000-0100-00001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7467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41</xdr:row>
      <xdr:rowOff>12700</xdr:rowOff>
    </xdr:from>
    <xdr:to>
      <xdr:col>6</xdr:col>
      <xdr:colOff>165100</xdr:colOff>
      <xdr:row>41</xdr:row>
      <xdr:rowOff>165100</xdr:rowOff>
    </xdr:to>
    <xdr:pic>
      <xdr:nvPicPr>
        <xdr:cNvPr id="24" name="Picture 23">
          <a:extLst>
            <a:ext uri="{FF2B5EF4-FFF2-40B4-BE49-F238E27FC236}">
              <a16:creationId xmlns:a16="http://schemas.microsoft.com/office/drawing/2014/main" id="{00000000-0008-0000-0100-00001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299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42</xdr:row>
      <xdr:rowOff>12700</xdr:rowOff>
    </xdr:from>
    <xdr:to>
      <xdr:col>6</xdr:col>
      <xdr:colOff>165100</xdr:colOff>
      <xdr:row>42</xdr:row>
      <xdr:rowOff>165100</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483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43</xdr:row>
      <xdr:rowOff>12700</xdr:rowOff>
    </xdr:from>
    <xdr:to>
      <xdr:col>6</xdr:col>
      <xdr:colOff>165100</xdr:colOff>
      <xdr:row>43</xdr:row>
      <xdr:rowOff>165100</xdr:rowOff>
    </xdr:to>
    <xdr:pic>
      <xdr:nvPicPr>
        <xdr:cNvPr id="26" name="Picture 25">
          <a:extLst>
            <a:ext uri="{FF2B5EF4-FFF2-40B4-BE49-F238E27FC236}">
              <a16:creationId xmlns:a16="http://schemas.microsoft.com/office/drawing/2014/main" id="{00000000-0008-0000-0100-00001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667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44</xdr:row>
      <xdr:rowOff>12700</xdr:rowOff>
    </xdr:from>
    <xdr:to>
      <xdr:col>6</xdr:col>
      <xdr:colOff>165100</xdr:colOff>
      <xdr:row>44</xdr:row>
      <xdr:rowOff>165100</xdr:rowOff>
    </xdr:to>
    <xdr:pic>
      <xdr:nvPicPr>
        <xdr:cNvPr id="27" name="Picture 26">
          <a:extLst>
            <a:ext uri="{FF2B5EF4-FFF2-40B4-BE49-F238E27FC236}">
              <a16:creationId xmlns:a16="http://schemas.microsoft.com/office/drawing/2014/main" id="{00000000-0008-0000-0100-00001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851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25</xdr:row>
      <xdr:rowOff>12700</xdr:rowOff>
    </xdr:from>
    <xdr:to>
      <xdr:col>1</xdr:col>
      <xdr:colOff>165100</xdr:colOff>
      <xdr:row>26</xdr:row>
      <xdr:rowOff>0</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4616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55</xdr:row>
      <xdr:rowOff>12700</xdr:rowOff>
    </xdr:from>
    <xdr:to>
      <xdr:col>1</xdr:col>
      <xdr:colOff>165100</xdr:colOff>
      <xdr:row>56</xdr:row>
      <xdr:rowOff>0</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9601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30</xdr:row>
      <xdr:rowOff>12700</xdr:rowOff>
    </xdr:from>
    <xdr:to>
      <xdr:col>1</xdr:col>
      <xdr:colOff>165100</xdr:colOff>
      <xdr:row>31</xdr:row>
      <xdr:rowOff>0</xdr:rowOff>
    </xdr:to>
    <xdr:pic>
      <xdr:nvPicPr>
        <xdr:cNvPr id="4" name="Picture 3">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5441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12</xdr:row>
      <xdr:rowOff>12700</xdr:rowOff>
    </xdr:from>
    <xdr:to>
      <xdr:col>1</xdr:col>
      <xdr:colOff>165100</xdr:colOff>
      <xdr:row>13</xdr:row>
      <xdr:rowOff>0</xdr:rowOff>
    </xdr:to>
    <xdr:pic>
      <xdr:nvPicPr>
        <xdr:cNvPr id="5" name="Picture 4">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247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15</xdr:row>
      <xdr:rowOff>12700</xdr:rowOff>
    </xdr:from>
    <xdr:to>
      <xdr:col>1</xdr:col>
      <xdr:colOff>165100</xdr:colOff>
      <xdr:row>16</xdr:row>
      <xdr:rowOff>0</xdr:rowOff>
    </xdr:to>
    <xdr:pic>
      <xdr:nvPicPr>
        <xdr:cNvPr id="6" name="Picture 5">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2965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18</xdr:row>
      <xdr:rowOff>12700</xdr:rowOff>
    </xdr:from>
    <xdr:to>
      <xdr:col>1</xdr:col>
      <xdr:colOff>165100</xdr:colOff>
      <xdr:row>19</xdr:row>
      <xdr:rowOff>0</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34607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20</xdr:row>
      <xdr:rowOff>12700</xdr:rowOff>
    </xdr:from>
    <xdr:to>
      <xdr:col>1</xdr:col>
      <xdr:colOff>165100</xdr:colOff>
      <xdr:row>21</xdr:row>
      <xdr:rowOff>0</xdr:rowOff>
    </xdr:to>
    <xdr:pic>
      <xdr:nvPicPr>
        <xdr:cNvPr id="8" name="Picture 7">
          <a:extLst>
            <a:ext uri="{FF2B5EF4-FFF2-40B4-BE49-F238E27FC236}">
              <a16:creationId xmlns:a16="http://schemas.microsoft.com/office/drawing/2014/main" id="{00000000-0008-0000-02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3790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1</xdr:col>
      <xdr:colOff>12700</xdr:colOff>
      <xdr:row>62</xdr:row>
      <xdr:rowOff>12700</xdr:rowOff>
    </xdr:from>
    <xdr:to>
      <xdr:col>1</xdr:col>
      <xdr:colOff>165100</xdr:colOff>
      <xdr:row>63</xdr:row>
      <xdr:rowOff>0</xdr:rowOff>
    </xdr:to>
    <xdr:pic>
      <xdr:nvPicPr>
        <xdr:cNvPr id="9" name="Picture 8">
          <a:extLst>
            <a:ext uri="{FF2B5EF4-FFF2-40B4-BE49-F238E27FC236}">
              <a16:creationId xmlns:a16="http://schemas.microsoft.com/office/drawing/2014/main" id="{00000000-0008-0000-02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190500" y="107569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election activeCell="E28" sqref="E28"/>
    </sheetView>
  </sheetViews>
  <sheetFormatPr defaultColWidth="9.1796875" defaultRowHeight="14.5" x14ac:dyDescent="0.35"/>
  <cols>
    <col min="1" max="1" width="3.7265625" style="78" customWidth="1"/>
    <col min="2" max="3" width="3.72656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505" t="s">
        <v>726</v>
      </c>
      <c r="C8" s="505"/>
      <c r="D8" s="505"/>
      <c r="E8" s="505"/>
      <c r="F8" s="505"/>
      <c r="G8" s="505"/>
      <c r="H8" s="505"/>
      <c r="I8" s="505"/>
      <c r="J8" s="505"/>
      <c r="K8" s="505"/>
      <c r="L8" s="505"/>
      <c r="M8" s="505"/>
      <c r="N8" s="505"/>
    </row>
    <row r="9" spans="1:14" x14ac:dyDescent="0.35">
      <c r="B9" s="505"/>
      <c r="C9" s="505"/>
      <c r="D9" s="505"/>
      <c r="E9" s="505"/>
      <c r="F9" s="505"/>
      <c r="G9" s="505"/>
      <c r="H9" s="505"/>
      <c r="I9" s="505"/>
      <c r="J9" s="505"/>
      <c r="K9" s="505"/>
      <c r="L9" s="505"/>
      <c r="M9" s="505"/>
      <c r="N9" s="505"/>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505" t="s">
        <v>732</v>
      </c>
      <c r="D16" s="505"/>
      <c r="E16" s="505"/>
      <c r="F16" s="505"/>
      <c r="G16" s="505"/>
      <c r="H16" s="505"/>
      <c r="I16" s="505"/>
      <c r="J16" s="505"/>
      <c r="K16" s="505"/>
      <c r="L16" s="505"/>
      <c r="M16" s="505"/>
      <c r="N16" s="505"/>
    </row>
    <row r="17" spans="1:14" x14ac:dyDescent="0.35">
      <c r="B17" s="78"/>
      <c r="C17" s="505"/>
      <c r="D17" s="505"/>
      <c r="E17" s="505"/>
      <c r="F17" s="505"/>
      <c r="G17" s="505"/>
      <c r="H17" s="505"/>
      <c r="I17" s="505"/>
      <c r="J17" s="505"/>
      <c r="K17" s="505"/>
      <c r="L17" s="505"/>
      <c r="M17" s="505"/>
      <c r="N17" s="505"/>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505" t="s">
        <v>932</v>
      </c>
      <c r="D21" s="505"/>
      <c r="E21" s="505"/>
      <c r="F21" s="505"/>
      <c r="G21" s="505"/>
      <c r="H21" s="505"/>
      <c r="I21" s="505"/>
      <c r="J21" s="505"/>
      <c r="K21" s="505"/>
      <c r="L21" s="505"/>
      <c r="M21" s="505"/>
      <c r="N21" s="505"/>
    </row>
    <row r="22" spans="1:14" ht="15" customHeight="1" x14ac:dyDescent="0.35">
      <c r="B22" s="78"/>
      <c r="C22" s="505"/>
      <c r="D22" s="505"/>
      <c r="E22" s="505"/>
      <c r="F22" s="505"/>
      <c r="G22" s="505"/>
      <c r="H22" s="505"/>
      <c r="I22" s="505"/>
      <c r="J22" s="505"/>
      <c r="K22" s="505"/>
      <c r="L22" s="505"/>
      <c r="M22" s="505"/>
      <c r="N22" s="505"/>
    </row>
    <row r="23" spans="1:14" x14ac:dyDescent="0.35">
      <c r="C23" s="505"/>
      <c r="D23" s="505"/>
      <c r="E23" s="505"/>
      <c r="F23" s="505"/>
      <c r="G23" s="505"/>
      <c r="H23" s="505"/>
      <c r="I23" s="505"/>
      <c r="J23" s="505"/>
      <c r="K23" s="505"/>
      <c r="L23" s="505"/>
      <c r="M23" s="505"/>
      <c r="N23" s="505"/>
    </row>
    <row r="24" spans="1:14" ht="15" customHeight="1" x14ac:dyDescent="0.35">
      <c r="B24" s="78" t="s">
        <v>448</v>
      </c>
      <c r="C24" s="505" t="s">
        <v>904</v>
      </c>
      <c r="D24" s="505"/>
      <c r="E24" s="505"/>
      <c r="F24" s="505"/>
      <c r="G24" s="505"/>
      <c r="H24" s="505"/>
      <c r="I24" s="505"/>
      <c r="J24" s="505"/>
      <c r="K24" s="505"/>
      <c r="L24" s="505"/>
      <c r="M24" s="505"/>
      <c r="N24" s="505"/>
    </row>
    <row r="25" spans="1:14" x14ac:dyDescent="0.35">
      <c r="C25" s="505"/>
      <c r="D25" s="505"/>
      <c r="E25" s="505"/>
      <c r="F25" s="505"/>
      <c r="G25" s="505"/>
      <c r="H25" s="505"/>
      <c r="I25" s="505"/>
      <c r="J25" s="505"/>
      <c r="K25" s="505"/>
      <c r="L25" s="505"/>
      <c r="M25" s="505"/>
      <c r="N25" s="505"/>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505" t="s">
        <v>736</v>
      </c>
      <c r="D30" s="505"/>
      <c r="E30" s="505"/>
      <c r="F30" s="505"/>
      <c r="G30" s="505"/>
      <c r="H30" s="505"/>
      <c r="I30" s="505"/>
      <c r="J30" s="505"/>
      <c r="K30" s="505"/>
      <c r="L30" s="505"/>
      <c r="M30" s="505"/>
      <c r="N30" s="505"/>
    </row>
    <row r="31" spans="1:14" x14ac:dyDescent="0.35">
      <c r="C31" s="505"/>
      <c r="D31" s="505"/>
      <c r="E31" s="505"/>
      <c r="F31" s="505"/>
      <c r="G31" s="505"/>
      <c r="H31" s="505"/>
      <c r="I31" s="505"/>
      <c r="J31" s="505"/>
      <c r="K31" s="505"/>
      <c r="L31" s="505"/>
      <c r="M31" s="505"/>
      <c r="N31" s="505"/>
    </row>
    <row r="32" spans="1:14" x14ac:dyDescent="0.35">
      <c r="C32" s="505"/>
      <c r="D32" s="505"/>
      <c r="E32" s="505"/>
      <c r="F32" s="505"/>
      <c r="G32" s="505"/>
      <c r="H32" s="505"/>
      <c r="I32" s="505"/>
      <c r="J32" s="505"/>
      <c r="K32" s="505"/>
      <c r="L32" s="505"/>
      <c r="M32" s="505"/>
      <c r="N32" s="505"/>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505" t="s">
        <v>738</v>
      </c>
      <c r="D36" s="505"/>
      <c r="E36" s="505"/>
      <c r="F36" s="505"/>
      <c r="G36" s="505"/>
      <c r="H36" s="505"/>
      <c r="I36" s="505"/>
      <c r="J36" s="505"/>
      <c r="K36" s="505"/>
      <c r="L36" s="505"/>
      <c r="M36" s="505"/>
      <c r="N36" s="505"/>
    </row>
    <row r="37" spans="1:14" x14ac:dyDescent="0.35">
      <c r="B37" s="78"/>
      <c r="C37" s="505"/>
      <c r="D37" s="505"/>
      <c r="E37" s="505"/>
      <c r="F37" s="505"/>
      <c r="G37" s="505"/>
      <c r="H37" s="505"/>
      <c r="I37" s="505"/>
      <c r="J37" s="505"/>
      <c r="K37" s="505"/>
      <c r="L37" s="505"/>
      <c r="M37" s="505"/>
      <c r="N37" s="505"/>
    </row>
    <row r="38" spans="1:14" x14ac:dyDescent="0.35">
      <c r="B38" s="78"/>
      <c r="C38" s="505"/>
      <c r="D38" s="505"/>
      <c r="E38" s="505"/>
      <c r="F38" s="505"/>
      <c r="G38" s="505"/>
      <c r="H38" s="505"/>
      <c r="I38" s="505"/>
      <c r="J38" s="505"/>
      <c r="K38" s="505"/>
      <c r="L38" s="505"/>
      <c r="M38" s="505"/>
      <c r="N38" s="505"/>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505" t="s">
        <v>914</v>
      </c>
      <c r="D46" s="505"/>
      <c r="E46" s="505"/>
      <c r="F46" s="505"/>
      <c r="G46" s="505"/>
      <c r="H46" s="505"/>
      <c r="I46" s="505"/>
      <c r="J46" s="505"/>
      <c r="K46" s="505"/>
      <c r="L46" s="505"/>
      <c r="M46" s="505"/>
      <c r="N46" s="505"/>
    </row>
    <row r="47" spans="1:14" x14ac:dyDescent="0.35">
      <c r="C47" s="505"/>
      <c r="D47" s="505"/>
      <c r="E47" s="505"/>
      <c r="F47" s="505"/>
      <c r="G47" s="505"/>
      <c r="H47" s="505"/>
      <c r="I47" s="505"/>
      <c r="J47" s="505"/>
      <c r="K47" s="505"/>
      <c r="L47" s="505"/>
      <c r="M47" s="505"/>
      <c r="N47" s="505"/>
    </row>
    <row r="48" spans="1:14" x14ac:dyDescent="0.35">
      <c r="C48" s="505"/>
      <c r="D48" s="505"/>
      <c r="E48" s="505"/>
      <c r="F48" s="505"/>
      <c r="G48" s="505"/>
      <c r="H48" s="505"/>
      <c r="I48" s="505"/>
      <c r="J48" s="505"/>
      <c r="K48" s="505"/>
      <c r="L48" s="505"/>
      <c r="M48" s="505"/>
      <c r="N48" s="505"/>
    </row>
    <row r="49" spans="1:14" x14ac:dyDescent="0.35">
      <c r="B49" s="78" t="s">
        <v>448</v>
      </c>
      <c r="C49" s="505" t="s">
        <v>915</v>
      </c>
      <c r="D49" s="505"/>
      <c r="E49" s="505"/>
      <c r="F49" s="505"/>
      <c r="G49" s="505"/>
      <c r="H49" s="505"/>
      <c r="I49" s="505"/>
      <c r="J49" s="505"/>
      <c r="K49" s="505"/>
      <c r="L49" s="505"/>
      <c r="M49" s="505"/>
      <c r="N49" s="505"/>
    </row>
    <row r="50" spans="1:14" x14ac:dyDescent="0.35">
      <c r="B50" s="78"/>
      <c r="C50" s="505"/>
      <c r="D50" s="505"/>
      <c r="E50" s="505"/>
      <c r="F50" s="505"/>
      <c r="G50" s="505"/>
      <c r="H50" s="505"/>
      <c r="I50" s="505"/>
      <c r="J50" s="505"/>
      <c r="K50" s="505"/>
      <c r="L50" s="505"/>
      <c r="M50" s="505"/>
      <c r="N50" s="505"/>
    </row>
    <row r="51" spans="1:14" x14ac:dyDescent="0.35">
      <c r="C51" s="505"/>
      <c r="D51" s="505"/>
      <c r="E51" s="505"/>
      <c r="F51" s="505"/>
      <c r="G51" s="505"/>
      <c r="H51" s="505"/>
      <c r="I51" s="505"/>
      <c r="J51" s="505"/>
      <c r="K51" s="505"/>
      <c r="L51" s="505"/>
      <c r="M51" s="505"/>
      <c r="N51" s="505"/>
    </row>
    <row r="52" spans="1:14" x14ac:dyDescent="0.35">
      <c r="B52" s="78" t="s">
        <v>449</v>
      </c>
      <c r="C52" s="505" t="s">
        <v>742</v>
      </c>
      <c r="D52" s="505"/>
      <c r="E52" s="505"/>
      <c r="F52" s="505"/>
      <c r="G52" s="505"/>
      <c r="H52" s="505"/>
      <c r="I52" s="505"/>
      <c r="J52" s="505"/>
      <c r="K52" s="505"/>
      <c r="L52" s="505"/>
      <c r="M52" s="505"/>
      <c r="N52" s="505"/>
    </row>
    <row r="53" spans="1:14" x14ac:dyDescent="0.35">
      <c r="C53" s="505"/>
      <c r="D53" s="505"/>
      <c r="E53" s="505"/>
      <c r="F53" s="505"/>
      <c r="G53" s="505"/>
      <c r="H53" s="505"/>
      <c r="I53" s="505"/>
      <c r="J53" s="505"/>
      <c r="K53" s="505"/>
      <c r="L53" s="505"/>
      <c r="M53" s="505"/>
      <c r="N53" s="505"/>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505" t="s">
        <v>749</v>
      </c>
      <c r="D57" s="505"/>
      <c r="E57" s="505"/>
      <c r="F57" s="505"/>
      <c r="G57" s="505"/>
      <c r="H57" s="505"/>
      <c r="I57" s="505"/>
      <c r="J57" s="505"/>
      <c r="K57" s="505"/>
      <c r="L57" s="505"/>
      <c r="M57" s="505"/>
      <c r="N57" s="505"/>
    </row>
    <row r="58" spans="1:14" x14ac:dyDescent="0.35">
      <c r="B58" s="78"/>
      <c r="C58" s="505"/>
      <c r="D58" s="505"/>
      <c r="E58" s="505"/>
      <c r="F58" s="505"/>
      <c r="G58" s="505"/>
      <c r="H58" s="505"/>
      <c r="I58" s="505"/>
      <c r="J58" s="505"/>
      <c r="K58" s="505"/>
      <c r="L58" s="505"/>
      <c r="M58" s="505"/>
      <c r="N58" s="505"/>
    </row>
    <row r="59" spans="1:14" x14ac:dyDescent="0.35">
      <c r="C59" s="505"/>
      <c r="D59" s="505"/>
      <c r="E59" s="505"/>
      <c r="F59" s="505"/>
      <c r="G59" s="505"/>
      <c r="H59" s="505"/>
      <c r="I59" s="505"/>
      <c r="J59" s="505"/>
      <c r="K59" s="505"/>
      <c r="L59" s="505"/>
      <c r="M59" s="505"/>
      <c r="N59" s="505"/>
    </row>
    <row r="60" spans="1:14" x14ac:dyDescent="0.35">
      <c r="B60" s="78" t="s">
        <v>448</v>
      </c>
      <c r="C60" s="505" t="s">
        <v>744</v>
      </c>
      <c r="D60" s="505"/>
      <c r="E60" s="505"/>
      <c r="F60" s="505"/>
      <c r="G60" s="505"/>
      <c r="H60" s="505"/>
      <c r="I60" s="505"/>
      <c r="J60" s="505"/>
      <c r="K60" s="505"/>
      <c r="L60" s="505"/>
      <c r="M60" s="505"/>
      <c r="N60" s="505"/>
    </row>
    <row r="61" spans="1:14" x14ac:dyDescent="0.35">
      <c r="B61" s="78"/>
      <c r="C61" s="505"/>
      <c r="D61" s="505"/>
      <c r="E61" s="505"/>
      <c r="F61" s="505"/>
      <c r="G61" s="505"/>
      <c r="H61" s="505"/>
      <c r="I61" s="505"/>
      <c r="J61" s="505"/>
      <c r="K61" s="505"/>
      <c r="L61" s="505"/>
      <c r="M61" s="505"/>
      <c r="N61" s="505"/>
    </row>
    <row r="62" spans="1:14" x14ac:dyDescent="0.35">
      <c r="B62" s="78"/>
      <c r="C62" s="505"/>
      <c r="D62" s="505"/>
      <c r="E62" s="505"/>
      <c r="F62" s="505"/>
      <c r="G62" s="505"/>
      <c r="H62" s="505"/>
      <c r="I62" s="505"/>
      <c r="J62" s="505"/>
      <c r="K62" s="505"/>
      <c r="L62" s="505"/>
      <c r="M62" s="505"/>
      <c r="N62" s="505"/>
    </row>
    <row r="63" spans="1:14" x14ac:dyDescent="0.35">
      <c r="C63" s="505"/>
      <c r="D63" s="505"/>
      <c r="E63" s="505"/>
      <c r="F63" s="505"/>
      <c r="G63" s="505"/>
      <c r="H63" s="505"/>
      <c r="I63" s="505"/>
      <c r="J63" s="505"/>
      <c r="K63" s="505"/>
      <c r="L63" s="505"/>
      <c r="M63" s="505"/>
      <c r="N63" s="505"/>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504" t="s">
        <v>746</v>
      </c>
      <c r="C67" s="504"/>
      <c r="D67" s="504"/>
      <c r="E67" s="504"/>
      <c r="F67" s="504"/>
      <c r="G67" s="504"/>
      <c r="H67" s="504"/>
      <c r="I67" s="504"/>
      <c r="J67" s="504"/>
      <c r="K67" s="504"/>
      <c r="L67" s="504"/>
      <c r="M67" s="504"/>
      <c r="N67" s="504"/>
    </row>
    <row r="68" spans="1:14" x14ac:dyDescent="0.35">
      <c r="B68" s="504"/>
      <c r="C68" s="504"/>
      <c r="D68" s="504"/>
      <c r="E68" s="504"/>
      <c r="F68" s="504"/>
      <c r="G68" s="504"/>
      <c r="H68" s="504"/>
      <c r="I68" s="504"/>
      <c r="J68" s="504"/>
      <c r="K68" s="504"/>
      <c r="L68" s="504"/>
      <c r="M68" s="504"/>
      <c r="N68" s="504"/>
    </row>
    <row r="69" spans="1:14" x14ac:dyDescent="0.35">
      <c r="B69" s="504"/>
      <c r="C69" s="504"/>
      <c r="D69" s="504"/>
      <c r="E69" s="504"/>
      <c r="F69" s="504"/>
      <c r="G69" s="504"/>
      <c r="H69" s="504"/>
      <c r="I69" s="504"/>
      <c r="J69" s="504"/>
      <c r="K69" s="504"/>
      <c r="L69" s="504"/>
      <c r="M69" s="504"/>
      <c r="N69" s="504"/>
    </row>
    <row r="70" spans="1:14" x14ac:dyDescent="0.35">
      <c r="B70" s="504"/>
      <c r="C70" s="504"/>
      <c r="D70" s="504"/>
      <c r="E70" s="504"/>
      <c r="F70" s="504"/>
      <c r="G70" s="504"/>
      <c r="H70" s="504"/>
      <c r="I70" s="504"/>
      <c r="J70" s="504"/>
      <c r="K70" s="504"/>
      <c r="L70" s="504"/>
      <c r="M70" s="504"/>
      <c r="N70" s="504"/>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505" t="s">
        <v>748</v>
      </c>
      <c r="C74" s="505"/>
      <c r="D74" s="505"/>
      <c r="E74" s="505"/>
      <c r="F74" s="505"/>
      <c r="G74" s="505"/>
      <c r="H74" s="505"/>
      <c r="I74" s="505"/>
      <c r="J74" s="505"/>
      <c r="K74" s="505"/>
      <c r="L74" s="505"/>
      <c r="M74" s="505"/>
      <c r="N74" s="505"/>
    </row>
    <row r="75" spans="1:14" x14ac:dyDescent="0.35">
      <c r="B75" s="505"/>
      <c r="C75" s="505"/>
      <c r="D75" s="505"/>
      <c r="E75" s="505"/>
      <c r="F75" s="505"/>
      <c r="G75" s="505"/>
      <c r="H75" s="505"/>
      <c r="I75" s="505"/>
      <c r="J75" s="505"/>
      <c r="K75" s="505"/>
      <c r="L75" s="505"/>
      <c r="M75" s="505"/>
      <c r="N75" s="505"/>
    </row>
    <row r="76" spans="1:14" x14ac:dyDescent="0.35">
      <c r="B76" s="505"/>
      <c r="C76" s="505"/>
      <c r="D76" s="505"/>
      <c r="E76" s="505"/>
      <c r="F76" s="505"/>
      <c r="G76" s="505"/>
      <c r="H76" s="505"/>
      <c r="I76" s="505"/>
      <c r="J76" s="505"/>
      <c r="K76" s="505"/>
      <c r="L76" s="505"/>
      <c r="M76" s="505"/>
      <c r="N76" s="505"/>
    </row>
    <row r="78" spans="1:14" x14ac:dyDescent="0.35">
      <c r="B78" s="78" t="s">
        <v>447</v>
      </c>
      <c r="D78" s="504" t="s">
        <v>916</v>
      </c>
      <c r="E78" s="504"/>
      <c r="F78" s="504"/>
      <c r="G78" s="504"/>
      <c r="H78" s="504"/>
      <c r="I78" s="504"/>
      <c r="J78" s="504"/>
      <c r="K78" s="504"/>
      <c r="L78" s="504"/>
      <c r="M78" s="504"/>
      <c r="N78" s="504"/>
    </row>
    <row r="79" spans="1:14" x14ac:dyDescent="0.35">
      <c r="D79" s="504"/>
      <c r="E79" s="504"/>
      <c r="F79" s="504"/>
      <c r="G79" s="504"/>
      <c r="H79" s="504"/>
      <c r="I79" s="504"/>
      <c r="J79" s="504"/>
      <c r="K79" s="504"/>
      <c r="L79" s="504"/>
      <c r="M79" s="504"/>
      <c r="N79" s="504"/>
    </row>
    <row r="81" spans="2:14" x14ac:dyDescent="0.35">
      <c r="B81" s="78" t="s">
        <v>448</v>
      </c>
      <c r="D81" s="504" t="s">
        <v>917</v>
      </c>
      <c r="E81" s="504"/>
      <c r="F81" s="504"/>
      <c r="G81" s="504"/>
      <c r="H81" s="504"/>
      <c r="I81" s="504"/>
      <c r="J81" s="504"/>
      <c r="K81" s="504"/>
      <c r="L81" s="504"/>
      <c r="M81" s="504"/>
      <c r="N81" s="504"/>
    </row>
    <row r="82" spans="2:14" x14ac:dyDescent="0.35">
      <c r="B82" s="78"/>
      <c r="D82" s="504"/>
      <c r="E82" s="504"/>
      <c r="F82" s="504"/>
      <c r="G82" s="504"/>
      <c r="H82" s="504"/>
      <c r="I82" s="504"/>
      <c r="J82" s="504"/>
      <c r="K82" s="504"/>
      <c r="L82" s="504"/>
      <c r="M82" s="504"/>
      <c r="N82" s="504"/>
    </row>
    <row r="83" spans="2:14" x14ac:dyDescent="0.35">
      <c r="D83" s="504"/>
      <c r="E83" s="504"/>
      <c r="F83" s="504"/>
      <c r="G83" s="504"/>
      <c r="H83" s="504"/>
      <c r="I83" s="504"/>
      <c r="J83" s="504"/>
      <c r="K83" s="504"/>
      <c r="L83" s="504"/>
      <c r="M83" s="504"/>
      <c r="N83" s="504"/>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state="hidden">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D78:N79"/>
    <mergeCell ref="D81:N83"/>
    <mergeCell ref="B74:N76"/>
    <mergeCell ref="C46:N48"/>
    <mergeCell ref="C49:N51"/>
    <mergeCell ref="C52:N53"/>
    <mergeCell ref="C57:N59"/>
    <mergeCell ref="C60:N63"/>
    <mergeCell ref="B67:N7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topLeftCell="A2" zoomScaleNormal="100" workbookViewId="0">
      <selection activeCell="A2" sqref="A2"/>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26894100.342011169</v>
      </c>
      <c r="E12" s="248">
        <f>'As-Filed Schedule 1'!J95</f>
        <v>26889077.342011169</v>
      </c>
      <c r="F12" s="248">
        <f t="shared" ref="F12:F32" si="0">D12-E12</f>
        <v>5023</v>
      </c>
    </row>
    <row r="13" spans="1:27" x14ac:dyDescent="0.35">
      <c r="A13" t="s">
        <v>504</v>
      </c>
      <c r="D13" s="248">
        <f>'Adjusted Schedule 1A'!H26</f>
        <v>0</v>
      </c>
      <c r="E13" s="248">
        <f>'As-Filed Schedule 1A'!H25</f>
        <v>0</v>
      </c>
      <c r="F13" s="248">
        <f t="shared" si="0"/>
        <v>0</v>
      </c>
    </row>
    <row r="14" spans="1:27" x14ac:dyDescent="0.35">
      <c r="A14" t="s">
        <v>505</v>
      </c>
      <c r="D14" s="248">
        <f>'Adjusted Schedule 1C'!F62</f>
        <v>0</v>
      </c>
      <c r="E14" s="248">
        <f>'As-Filed Schedule 1C'!F60</f>
        <v>0</v>
      </c>
      <c r="F14" s="248">
        <f t="shared" si="0"/>
        <v>0</v>
      </c>
    </row>
    <row r="15" spans="1:27" x14ac:dyDescent="0.35">
      <c r="A15" t="s">
        <v>506</v>
      </c>
      <c r="D15" s="248">
        <f>'Adjusted Schedule 2A'!F76</f>
        <v>1881378.8598080871</v>
      </c>
      <c r="E15" s="248">
        <f>'As-Filed Schedule 2A'!F75</f>
        <v>1989333</v>
      </c>
      <c r="F15" s="248">
        <f t="shared" si="0"/>
        <v>-107954.14019191288</v>
      </c>
    </row>
    <row r="16" spans="1:27" x14ac:dyDescent="0.35">
      <c r="A16" t="s">
        <v>507</v>
      </c>
      <c r="D16" s="248">
        <f>'Adjusted Schedule 2B'!F76</f>
        <v>3730295.2662498839</v>
      </c>
      <c r="E16" s="248">
        <f>'As-Filed Schedule 2B'!F75</f>
        <v>2508918.1100000003</v>
      </c>
      <c r="F16" s="248">
        <f t="shared" si="0"/>
        <v>1221377.1562498836</v>
      </c>
    </row>
    <row r="17" spans="1:6" x14ac:dyDescent="0.35">
      <c r="A17" t="s">
        <v>508</v>
      </c>
      <c r="D17" s="248">
        <f>'Adjusted Schedule 2C'!F76</f>
        <v>15592724.078381002</v>
      </c>
      <c r="E17" s="248">
        <f>'As-Filed Schedule 2C'!F75</f>
        <v>17183037.276116136</v>
      </c>
      <c r="F17" s="248">
        <f t="shared" si="0"/>
        <v>-1590313.1977351345</v>
      </c>
    </row>
    <row r="18" spans="1:6" x14ac:dyDescent="0.35">
      <c r="A18" t="s">
        <v>509</v>
      </c>
      <c r="D18" s="248">
        <f>'Adjusted Schedule 2D'!$F$76</f>
        <v>1026023.5715245615</v>
      </c>
      <c r="E18" s="248">
        <f>'As-Filed Schedule 2D'!$F$75</f>
        <v>1131016</v>
      </c>
      <c r="F18" s="248">
        <f>D18-E18</f>
        <v>-104992.4284754385</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506" t="s">
        <v>905</v>
      </c>
      <c r="B27" s="506"/>
      <c r="C27" s="506"/>
      <c r="D27" s="248">
        <f>'Adjusted Schedule 2M'!$F$76</f>
        <v>0</v>
      </c>
      <c r="E27" s="248">
        <f>'As-Filed Schedule 2M'!$F$75</f>
        <v>0</v>
      </c>
      <c r="F27" s="248">
        <f t="shared" si="1"/>
        <v>0</v>
      </c>
    </row>
    <row r="28" spans="1:6" x14ac:dyDescent="0.35">
      <c r="A28" s="100" t="s">
        <v>510</v>
      </c>
      <c r="D28" s="13">
        <f>'Adjusted Schedule 3'!K168</f>
        <v>0</v>
      </c>
      <c r="E28" s="13">
        <f>'As-Filed Schedule 3'!K167</f>
        <v>0</v>
      </c>
      <c r="F28" s="13">
        <f t="shared" si="0"/>
        <v>0</v>
      </c>
    </row>
    <row r="29" spans="1:6" x14ac:dyDescent="0.35">
      <c r="A29" s="100" t="s">
        <v>511</v>
      </c>
      <c r="D29" s="248">
        <f>'Adjusted Schedule 3'!M168</f>
        <v>298666.89258698194</v>
      </c>
      <c r="E29" s="248">
        <f>'As-Filed Schedule 3'!M167</f>
        <v>374224.83969920815</v>
      </c>
      <c r="F29" s="248">
        <f t="shared" si="0"/>
        <v>-75557.947112226218</v>
      </c>
    </row>
    <row r="30" spans="1:6" x14ac:dyDescent="0.35">
      <c r="A30" t="s">
        <v>512</v>
      </c>
      <c r="D30" s="13">
        <f>'Adjusted Schedule 4'!D198</f>
        <v>29414</v>
      </c>
      <c r="E30" s="13">
        <f>'As-Filed Schedule 4'!D197</f>
        <v>29414</v>
      </c>
      <c r="F30" s="13">
        <f t="shared" si="0"/>
        <v>0</v>
      </c>
    </row>
    <row r="31" spans="1:6" x14ac:dyDescent="0.35">
      <c r="A31" t="s">
        <v>513</v>
      </c>
      <c r="D31" s="13">
        <f>'Adjusted Schedule 4'!H198</f>
        <v>25944</v>
      </c>
      <c r="E31" s="13">
        <f>'As-Filed Schedule 4'!H197</f>
        <v>25944</v>
      </c>
      <c r="F31" s="13">
        <f t="shared" si="0"/>
        <v>0</v>
      </c>
    </row>
    <row r="32" spans="1:6" x14ac:dyDescent="0.35">
      <c r="A32" t="s">
        <v>927</v>
      </c>
      <c r="D32" s="457">
        <f>'Adjusted Schedule 4'!K9</f>
        <v>44955</v>
      </c>
      <c r="E32" s="457">
        <f>'As-Filed Schedule 4'!K8</f>
        <v>45863</v>
      </c>
      <c r="F32" s="13">
        <f t="shared" si="0"/>
        <v>-908</v>
      </c>
    </row>
    <row r="33" spans="1:6" x14ac:dyDescent="0.35">
      <c r="D33" s="249"/>
      <c r="E33" s="249"/>
      <c r="F33" s="249"/>
    </row>
    <row r="34" spans="1:6" x14ac:dyDescent="0.35">
      <c r="A34" s="247" t="s">
        <v>514</v>
      </c>
      <c r="D34" s="249"/>
      <c r="E34" s="249"/>
      <c r="F34" s="249"/>
    </row>
    <row r="35" spans="1:6" x14ac:dyDescent="0.35">
      <c r="A35" t="s">
        <v>515</v>
      </c>
      <c r="D35" s="248">
        <f>'Adjusted Schedule 1'!F96</f>
        <v>20278294.945672415</v>
      </c>
      <c r="E35" s="248">
        <f>'As-Filed Schedule 1'!F95</f>
        <v>19439768.300450038</v>
      </c>
      <c r="F35" s="248">
        <f>D35-E35</f>
        <v>838526.64522237703</v>
      </c>
    </row>
    <row r="36" spans="1:6" x14ac:dyDescent="0.35">
      <c r="A36" s="100" t="s">
        <v>516</v>
      </c>
      <c r="D36" s="248">
        <f>'Adjusted Schedule 4'!D10</f>
        <v>0</v>
      </c>
      <c r="E36" s="248">
        <f>'As-Filed Schedule 4'!D9</f>
        <v>0</v>
      </c>
      <c r="F36" s="248">
        <f>D36-E36</f>
        <v>0</v>
      </c>
    </row>
    <row r="37" spans="1:6" x14ac:dyDescent="0.35">
      <c r="A37" t="s">
        <v>517</v>
      </c>
      <c r="D37" s="13">
        <f>'Adjusted Schedule 4'!F198</f>
        <v>45778.080000000002</v>
      </c>
      <c r="E37" s="13">
        <f>'As-Filed Schedule 4'!F8</f>
        <v>45778.080000000002</v>
      </c>
      <c r="F37" s="13">
        <f>D37-E37</f>
        <v>0</v>
      </c>
    </row>
    <row r="38" spans="1:6" x14ac:dyDescent="0.35">
      <c r="A38" t="s">
        <v>518</v>
      </c>
      <c r="D38" s="250">
        <f>'Adjusted Schedule 4'!J198</f>
        <v>82929.980000000025</v>
      </c>
      <c r="E38" s="250">
        <f>'As-Filed Schedule 4'!F9</f>
        <v>82929.980000000025</v>
      </c>
      <c r="F38" s="250">
        <f>D38-E38</f>
        <v>0</v>
      </c>
    </row>
    <row r="39" spans="1:6" s="1" customFormat="1" x14ac:dyDescent="0.35">
      <c r="A39" s="1" t="s">
        <v>519</v>
      </c>
      <c r="D39" s="251">
        <f>'Adjusted Schedule 4'!F13</f>
        <v>157.5526423572262</v>
      </c>
      <c r="E39" s="251">
        <f>'As-Filed Schedule 4'!F12</f>
        <v>151.03769181549342</v>
      </c>
      <c r="F39" s="252">
        <f>D39-E39</f>
        <v>6.5149505417327873</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20278294.945672415</v>
      </c>
      <c r="E42" s="248">
        <f>'As-Filed Schedule 1'!F95</f>
        <v>19439768.300450038</v>
      </c>
      <c r="F42" s="248">
        <f>D42-E42</f>
        <v>838526.64522237703</v>
      </c>
    </row>
    <row r="43" spans="1:6" x14ac:dyDescent="0.35">
      <c r="A43" s="100" t="s">
        <v>919</v>
      </c>
      <c r="D43" s="248">
        <f>'Adjusted Schedule 4'!I10</f>
        <v>0</v>
      </c>
      <c r="E43" s="248">
        <f>'As-Filed Schedule 4'!I9</f>
        <v>0</v>
      </c>
      <c r="F43" s="248">
        <f>D43-E43</f>
        <v>0</v>
      </c>
    </row>
    <row r="44" spans="1:6" x14ac:dyDescent="0.35">
      <c r="A44" t="s">
        <v>920</v>
      </c>
      <c r="D44" s="250">
        <f>'Adjusted Schedule 4'!K9</f>
        <v>44955</v>
      </c>
      <c r="E44" s="250">
        <f>'As-Filed Schedule 4'!K8</f>
        <v>45863</v>
      </c>
      <c r="F44" s="250">
        <f>D44-E44</f>
        <v>-908</v>
      </c>
    </row>
    <row r="45" spans="1:6" s="1" customFormat="1" x14ac:dyDescent="0.35">
      <c r="A45" s="1" t="s">
        <v>921</v>
      </c>
      <c r="D45" s="251">
        <f>'Adjusted Schedule 4'!K13</f>
        <v>451.07985642692506</v>
      </c>
      <c r="E45" s="251">
        <f>'As-Filed Schedule 4'!K12</f>
        <v>423.86604235331396</v>
      </c>
      <c r="F45" s="252">
        <f>D45-E45</f>
        <v>27.213814073611104</v>
      </c>
    </row>
    <row r="46" spans="1:6" s="1" customFormat="1" x14ac:dyDescent="0.35">
      <c r="D46" s="251"/>
      <c r="E46" s="251"/>
      <c r="F46" s="252"/>
    </row>
    <row r="47" spans="1:6" x14ac:dyDescent="0.35">
      <c r="A47" s="247" t="s">
        <v>520</v>
      </c>
    </row>
    <row r="48" spans="1:6" x14ac:dyDescent="0.35">
      <c r="A48" s="247"/>
    </row>
    <row r="49" spans="1:6" x14ac:dyDescent="0.35">
      <c r="A49" s="254" t="s">
        <v>521</v>
      </c>
      <c r="B49" s="507" t="str">
        <f>'Adjusted Schedule 3'!B18:C18</f>
        <v>Precourt Healing Center (PHC)</v>
      </c>
      <c r="C49" s="507"/>
    </row>
    <row r="50" spans="1:6" x14ac:dyDescent="0.35">
      <c r="A50" s="254"/>
      <c r="B50" t="str">
        <f>IF($B$49="N/A","","Census Days")</f>
        <v>Census Days</v>
      </c>
      <c r="D50" s="13">
        <f>'Adjusted Schedule 3'!K18</f>
        <v>0</v>
      </c>
      <c r="E50" s="13">
        <f>'As-Filed Schedule 3'!K17</f>
        <v>0</v>
      </c>
      <c r="F50" s="13">
        <f>D50-E50</f>
        <v>0</v>
      </c>
    </row>
    <row r="51" spans="1:6" x14ac:dyDescent="0.35">
      <c r="A51" s="254"/>
      <c r="B51" t="str">
        <f>IF($B$49="N/A","","Total Expense")</f>
        <v>Total Expense</v>
      </c>
      <c r="D51" s="248">
        <f>'Adjusted Schedule 3'!M18</f>
        <v>298666.89258698194</v>
      </c>
      <c r="E51" s="248">
        <f>'As-Filed Schedule 3'!M17</f>
        <v>374224.83969920815</v>
      </c>
      <c r="F51" s="248">
        <f t="shared" ref="F51:F52" si="2">D51-E51</f>
        <v>-75557.947112226218</v>
      </c>
    </row>
    <row r="52" spans="1:6" x14ac:dyDescent="0.35">
      <c r="A52" s="254"/>
      <c r="B52" t="str">
        <f>IF($B$49="N/A","","Room and Board Expense")</f>
        <v>Room and Board Expense</v>
      </c>
      <c r="D52" s="248">
        <f>'Adjusted Schedule 3'!O18</f>
        <v>0</v>
      </c>
      <c r="E52" s="248">
        <f>'As-Filed Schedule 3'!O17</f>
        <v>0</v>
      </c>
      <c r="F52" s="248">
        <f t="shared" si="2"/>
        <v>0</v>
      </c>
    </row>
    <row r="53" spans="1:6" x14ac:dyDescent="0.35">
      <c r="A53" s="254"/>
      <c r="B53" t="str">
        <f>IF($B$49="N/A","","Services Expense")</f>
        <v>Services Expense</v>
      </c>
      <c r="D53" s="255">
        <f>'Adjusted Schedule 3'!Q18</f>
        <v>298666.89258698194</v>
      </c>
      <c r="E53" s="255">
        <f>'As-Filed Schedule 3'!Q17</f>
        <v>374224.83969920815</v>
      </c>
      <c r="F53" s="255">
        <f>IF(E53="","",D53-E53)</f>
        <v>-75557.947112226218</v>
      </c>
    </row>
    <row r="54" spans="1:6" s="1" customFormat="1" x14ac:dyDescent="0.35">
      <c r="A54" s="254"/>
      <c r="B54" s="1" t="str">
        <f>IF($B$49="N/A","","Facility Total Cost Per Day")</f>
        <v>Facility Total Cost Per Day</v>
      </c>
      <c r="D54" s="251" t="str">
        <f>'Adjusted Schedule 3'!N18</f>
        <v/>
      </c>
      <c r="E54" s="251" t="str">
        <f>'As-Filed Schedule 3'!N17</f>
        <v/>
      </c>
      <c r="F54" s="251" t="str">
        <f>IF(E54="","",D54-E54)</f>
        <v/>
      </c>
    </row>
    <row r="55" spans="1:6" x14ac:dyDescent="0.35">
      <c r="A55" s="254"/>
      <c r="B55" t="str">
        <f>IF($B$49="N/A","","Room and Board Cost Per Day")</f>
        <v>Room and Board Cost Per Day</v>
      </c>
      <c r="D55" s="253" t="str">
        <f>'Adjusted Schedule 3'!P18</f>
        <v/>
      </c>
      <c r="E55" s="253" t="str">
        <f>'As-Filed Schedule 3'!P17</f>
        <v/>
      </c>
      <c r="F55" s="253" t="str">
        <f>IF(E55="","",D55-E55)</f>
        <v/>
      </c>
    </row>
    <row r="56" spans="1:6" x14ac:dyDescent="0.35">
      <c r="A56" s="254"/>
      <c r="B56" t="str">
        <f>IF($B$49="N/A","","Services Cost Per Day")</f>
        <v>Services Cost Per Day</v>
      </c>
      <c r="D56" s="253" t="str">
        <f>'Adjusted Schedule 3'!R18</f>
        <v/>
      </c>
      <c r="E56" s="253" t="str">
        <f>'As-Filed Schedule 3'!R17</f>
        <v/>
      </c>
      <c r="F56" s="253" t="str">
        <f>IF(E56="","",D56-E56)</f>
        <v/>
      </c>
    </row>
    <row r="57" spans="1:6" x14ac:dyDescent="0.35">
      <c r="A57" s="254"/>
    </row>
    <row r="58" spans="1:6" hidden="1" x14ac:dyDescent="0.35">
      <c r="A58" s="254" t="s">
        <v>522</v>
      </c>
      <c r="B58" s="507">
        <f>'Adjusted Schedule 3'!B23:C23</f>
        <v>0</v>
      </c>
      <c r="C58" s="507"/>
    </row>
    <row r="59" spans="1:6" hidden="1" x14ac:dyDescent="0.35">
      <c r="A59" s="254"/>
      <c r="B59" t="str">
        <f>IF($B$49="N/A","","Census Days")</f>
        <v>Census Days</v>
      </c>
      <c r="D59" s="13">
        <f>'Adjusted Schedule 3'!K23</f>
        <v>0</v>
      </c>
      <c r="E59" s="13">
        <f>'As-Filed Schedule 3'!K22</f>
        <v>0</v>
      </c>
      <c r="F59" s="13">
        <f>D59-E59</f>
        <v>0</v>
      </c>
    </row>
    <row r="60" spans="1:6" hidden="1" x14ac:dyDescent="0.35">
      <c r="A60" s="254"/>
      <c r="B60" t="str">
        <f>IF($B$49="N/A","","Total Expense")</f>
        <v>Total Expense</v>
      </c>
      <c r="D60" s="248">
        <f>'Adjusted Schedule 3'!M23</f>
        <v>0</v>
      </c>
      <c r="E60" s="248">
        <f>'As-Filed Schedule 3'!M22</f>
        <v>0</v>
      </c>
      <c r="F60" s="248">
        <f t="shared" ref="F60:F61" si="3">D60-E60</f>
        <v>0</v>
      </c>
    </row>
    <row r="61" spans="1:6" hidden="1" x14ac:dyDescent="0.35">
      <c r="A61" s="254"/>
      <c r="B61" t="str">
        <f>IF($B$49="N/A","","Room and Board Expense")</f>
        <v>Room and Board Expense</v>
      </c>
      <c r="D61" s="248">
        <f>'Adjusted Schedule 3'!O23</f>
        <v>0</v>
      </c>
      <c r="E61" s="248">
        <f>'As-Filed Schedule 3'!O22</f>
        <v>0</v>
      </c>
      <c r="F61" s="248">
        <f t="shared" si="3"/>
        <v>0</v>
      </c>
    </row>
    <row r="62" spans="1:6" hidden="1" x14ac:dyDescent="0.35">
      <c r="A62" s="254"/>
      <c r="B62" t="str">
        <f>IF($B$49="N/A","","Services Expense")</f>
        <v>Services Expense</v>
      </c>
      <c r="D62" s="255" t="str">
        <f>'Adjusted Schedule 3'!Q23</f>
        <v/>
      </c>
      <c r="E62" s="255" t="str">
        <f>'As-Filed Schedule 3'!Q22</f>
        <v/>
      </c>
      <c r="F62" s="255" t="str">
        <f>IF(E62="","",D62-E62)</f>
        <v/>
      </c>
    </row>
    <row r="63" spans="1:6" s="1" customFormat="1" hidden="1" x14ac:dyDescent="0.35">
      <c r="A63" s="254"/>
      <c r="B63" s="1" t="str">
        <f>IF($B$49="N/A","","Facility Total Cost Per Day")</f>
        <v>Facility Total Cost Per Day</v>
      </c>
      <c r="D63" s="251" t="str">
        <f>'Adjusted Schedule 3'!N23</f>
        <v/>
      </c>
      <c r="E63" s="251" t="str">
        <f>'As-Filed Schedule 3'!N22</f>
        <v/>
      </c>
      <c r="F63" s="251" t="str">
        <f t="shared" ref="F63:F65" si="4">IF(E63="","",D63-E63)</f>
        <v/>
      </c>
    </row>
    <row r="64" spans="1:6" hidden="1" x14ac:dyDescent="0.35">
      <c r="A64" s="254"/>
      <c r="B64" t="str">
        <f>IF($B$49="N/A","","Room and Board Cost Per Day")</f>
        <v>Room and Board Cost Per Day</v>
      </c>
      <c r="D64" s="253" t="str">
        <f>'Adjusted Schedule 3'!P23</f>
        <v/>
      </c>
      <c r="E64" s="253" t="str">
        <f>'As-Filed Schedule 3'!P22</f>
        <v/>
      </c>
      <c r="F64" s="253" t="str">
        <f t="shared" si="4"/>
        <v/>
      </c>
    </row>
    <row r="65" spans="1:6" hidden="1" x14ac:dyDescent="0.35">
      <c r="A65" s="254"/>
      <c r="B65" t="str">
        <f>IF($B$49="N/A","","Services Cost Per Day")</f>
        <v>Services Cost Per Day</v>
      </c>
      <c r="D65" s="253" t="str">
        <f>'Adjusted Schedule 3'!R23</f>
        <v/>
      </c>
      <c r="E65" s="253" t="str">
        <f>'As-Filed Schedule 3'!R22</f>
        <v/>
      </c>
      <c r="F65" s="253" t="str">
        <f t="shared" si="4"/>
        <v/>
      </c>
    </row>
    <row r="66" spans="1:6" hidden="1" x14ac:dyDescent="0.35">
      <c r="A66" s="254"/>
    </row>
    <row r="67" spans="1:6" hidden="1" x14ac:dyDescent="0.35">
      <c r="A67" s="254" t="s">
        <v>523</v>
      </c>
      <c r="B67" s="507">
        <f>'Adjusted Schedule 3'!B28:C28</f>
        <v>0</v>
      </c>
      <c r="C67" s="507"/>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524</v>
      </c>
      <c r="B76" s="507">
        <f>'Adjusted Schedule 3'!B33:C33</f>
        <v>0</v>
      </c>
      <c r="C76" s="507"/>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525</v>
      </c>
      <c r="B85" s="507">
        <f>'Adjusted Schedule 3'!B38:C38</f>
        <v>0</v>
      </c>
      <c r="C85" s="507"/>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507">
        <f>'Adjusted Schedule 3'!B43:C43</f>
        <v>0</v>
      </c>
      <c r="C94" s="507"/>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507">
        <f>'Adjusted Schedule 3'!B48:C48</f>
        <v>0</v>
      </c>
      <c r="C103" s="507"/>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528</v>
      </c>
      <c r="B112" s="507">
        <f>'Adjusted Schedule 3'!B53:C53</f>
        <v>0</v>
      </c>
      <c r="C112" s="507"/>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507">
        <f>'Adjusted Schedule 3'!B58:C58</f>
        <v>0</v>
      </c>
      <c r="C121" s="507"/>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507">
        <f>'Adjusted Schedule 3'!B63:C63</f>
        <v>0</v>
      </c>
      <c r="C130" s="507"/>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507">
        <f>'Adjusted Schedule 3'!B68:C68</f>
        <v>0</v>
      </c>
      <c r="C139" s="507"/>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507">
        <f>'Adjusted Schedule 3'!B73:C73</f>
        <v>0</v>
      </c>
      <c r="C148" s="507"/>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507">
        <f>'Adjusted Schedule 3'!B78:C78</f>
        <v>0</v>
      </c>
      <c r="C157" s="507"/>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507">
        <f>'Adjusted Schedule 3'!B83:C83</f>
        <v>0</v>
      </c>
      <c r="C166" s="507"/>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507">
        <f>'Adjusted Schedule 3'!B88:C88</f>
        <v>0</v>
      </c>
      <c r="C175" s="507"/>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507">
        <f>'Adjusted Schedule 3'!B93:C93</f>
        <v>0</v>
      </c>
      <c r="C184" s="507"/>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507">
        <f>'Adjusted Schedule 3'!B98:C98</f>
        <v>0</v>
      </c>
      <c r="C193" s="507"/>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507">
        <f>'Adjusted Schedule 3'!B103:C103</f>
        <v>0</v>
      </c>
      <c r="C202" s="507"/>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507">
        <f>'Adjusted Schedule 3'!B108:C108</f>
        <v>0</v>
      </c>
      <c r="C211" s="507"/>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507">
        <f>'Adjusted Schedule 3'!B113:C113</f>
        <v>0</v>
      </c>
      <c r="C220" s="507"/>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507">
        <f>'Adjusted Schedule 3'!B118:C118</f>
        <v>0</v>
      </c>
      <c r="C229" s="507"/>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507">
        <f>'Adjusted Schedule 3'!B123:C123</f>
        <v>0</v>
      </c>
      <c r="C238" s="507"/>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507">
        <f>'Adjusted Schedule 3'!B128:C128</f>
        <v>0</v>
      </c>
      <c r="C247" s="507"/>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507">
        <f>'Adjusted Schedule 3'!B133:C133</f>
        <v>0</v>
      </c>
      <c r="C256" s="507"/>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507">
        <f>'Adjusted Schedule 3'!B138:C138</f>
        <v>0</v>
      </c>
      <c r="C265" s="507"/>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507">
        <f>'Adjusted Schedule 3'!B143:C143</f>
        <v>0</v>
      </c>
      <c r="C274" s="507"/>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507">
        <f>'Adjusted Schedule 3'!B148:C148</f>
        <v>0</v>
      </c>
      <c r="C283" s="507"/>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507">
        <f>'Adjusted Schedule 3'!B153:C153</f>
        <v>0</v>
      </c>
      <c r="C292" s="507"/>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507">
        <f>'Adjusted Schedule 3'!B158:C158</f>
        <v>0</v>
      </c>
      <c r="C301" s="507"/>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507">
        <f>'Adjusted Schedule 3'!B163:C163</f>
        <v>0</v>
      </c>
      <c r="C310" s="507"/>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B265:C265"/>
    <mergeCell ref="B310:C310"/>
    <mergeCell ref="B301:C301"/>
    <mergeCell ref="B292:C292"/>
    <mergeCell ref="B283:C283"/>
    <mergeCell ref="B274:C274"/>
    <mergeCell ref="B157:C157"/>
    <mergeCell ref="B256:C256"/>
    <mergeCell ref="B247:C247"/>
    <mergeCell ref="B238:C238"/>
    <mergeCell ref="B229:C229"/>
    <mergeCell ref="B220:C220"/>
    <mergeCell ref="B211:C211"/>
    <mergeCell ref="B202:C202"/>
    <mergeCell ref="B193:C193"/>
    <mergeCell ref="B184:C184"/>
    <mergeCell ref="B175:C175"/>
    <mergeCell ref="B166:C166"/>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41"/>
  <sheetViews>
    <sheetView workbookViewId="0">
      <selection activeCell="B1" sqref="B1"/>
    </sheetView>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6" width="1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5"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Eagle Valley Behavioral Health</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81">
        <v>1</v>
      </c>
      <c r="C13" s="489" t="s">
        <v>934</v>
      </c>
      <c r="D13" s="487"/>
      <c r="E13" s="487"/>
      <c r="F13" s="488"/>
      <c r="G13" s="299">
        <v>-2121</v>
      </c>
      <c r="H13" s="299">
        <v>1</v>
      </c>
      <c r="I13" s="299">
        <v>6</v>
      </c>
      <c r="J13" s="463">
        <v>45</v>
      </c>
      <c r="K13" s="460" t="s">
        <v>935</v>
      </c>
    </row>
    <row r="14" spans="1:27" ht="13" x14ac:dyDescent="0.25">
      <c r="A14" s="295"/>
      <c r="B14" s="461"/>
      <c r="C14" s="489"/>
      <c r="D14" s="487"/>
      <c r="E14" s="487"/>
      <c r="F14" s="488"/>
      <c r="G14" s="299">
        <v>2121</v>
      </c>
      <c r="H14" s="299">
        <v>1</v>
      </c>
      <c r="I14" s="299">
        <v>2</v>
      </c>
      <c r="J14" s="463">
        <v>45</v>
      </c>
      <c r="K14" s="460" t="s">
        <v>935</v>
      </c>
    </row>
    <row r="15" spans="1:27" ht="13" x14ac:dyDescent="0.25">
      <c r="A15" s="295"/>
      <c r="B15" s="461"/>
      <c r="C15" s="489"/>
      <c r="D15" s="487"/>
      <c r="E15" s="487"/>
      <c r="F15" s="488"/>
      <c r="G15" s="299"/>
      <c r="H15" s="299"/>
      <c r="I15" s="299"/>
      <c r="J15" s="490"/>
      <c r="K15" s="460"/>
    </row>
    <row r="16" spans="1:27" ht="13" x14ac:dyDescent="0.25">
      <c r="A16" s="295"/>
      <c r="B16" s="461">
        <v>2</v>
      </c>
      <c r="C16" s="489" t="s">
        <v>934</v>
      </c>
      <c r="D16" s="487"/>
      <c r="E16" s="487"/>
      <c r="F16" s="488"/>
      <c r="G16" s="299">
        <v>-2979</v>
      </c>
      <c r="H16" s="299">
        <v>1</v>
      </c>
      <c r="I16" s="299">
        <v>6</v>
      </c>
      <c r="J16" s="463">
        <v>53</v>
      </c>
      <c r="K16" s="460" t="s">
        <v>935</v>
      </c>
    </row>
    <row r="17" spans="1:11" ht="13" x14ac:dyDescent="0.25">
      <c r="A17" s="295"/>
      <c r="B17" s="461"/>
      <c r="C17" s="487"/>
      <c r="D17" s="489"/>
      <c r="E17" s="487"/>
      <c r="F17" s="487"/>
      <c r="G17" s="299">
        <v>2979</v>
      </c>
      <c r="H17" s="299">
        <v>1</v>
      </c>
      <c r="I17" s="299">
        <v>2</v>
      </c>
      <c r="J17" s="463">
        <v>16</v>
      </c>
      <c r="K17" s="460" t="s">
        <v>935</v>
      </c>
    </row>
    <row r="18" spans="1:11" ht="13" x14ac:dyDescent="0.25">
      <c r="A18" s="295"/>
      <c r="B18" s="461"/>
      <c r="C18" s="482"/>
      <c r="D18" s="459"/>
      <c r="E18" s="459"/>
      <c r="F18" s="459"/>
      <c r="G18" s="302"/>
      <c r="H18" s="300"/>
      <c r="I18" s="300"/>
      <c r="J18" s="300"/>
      <c r="K18" s="460"/>
    </row>
    <row r="19" spans="1:11" ht="13" x14ac:dyDescent="0.25">
      <c r="A19" s="295"/>
      <c r="B19" s="461">
        <v>3</v>
      </c>
      <c r="C19" s="489" t="s">
        <v>936</v>
      </c>
      <c r="D19" s="487"/>
      <c r="E19" s="487"/>
      <c r="F19" s="488"/>
      <c r="G19" s="299">
        <v>5023</v>
      </c>
      <c r="H19" s="299">
        <v>1</v>
      </c>
      <c r="I19" s="299">
        <v>6</v>
      </c>
      <c r="J19" s="463">
        <v>6</v>
      </c>
      <c r="K19" s="460" t="s">
        <v>937</v>
      </c>
    </row>
    <row r="20" spans="1:11" ht="13" x14ac:dyDescent="0.25">
      <c r="A20" s="295"/>
      <c r="B20" s="461"/>
      <c r="C20" s="482"/>
      <c r="D20" s="459"/>
      <c r="E20" s="459"/>
      <c r="F20" s="459"/>
      <c r="G20" s="302"/>
      <c r="H20" s="300"/>
      <c r="I20" s="300"/>
      <c r="J20" s="300"/>
      <c r="K20" s="460"/>
    </row>
    <row r="21" spans="1:11" ht="13" x14ac:dyDescent="0.25">
      <c r="A21" s="295"/>
      <c r="B21" s="481">
        <v>4</v>
      </c>
      <c r="C21" s="489" t="s">
        <v>938</v>
      </c>
      <c r="D21" s="487"/>
      <c r="E21" s="487"/>
      <c r="F21" s="488"/>
      <c r="G21" s="299">
        <v>-16827</v>
      </c>
      <c r="H21" s="299" t="s">
        <v>939</v>
      </c>
      <c r="I21" s="299">
        <v>2</v>
      </c>
      <c r="J21" s="463">
        <v>29</v>
      </c>
      <c r="K21" s="460">
        <v>200.4</v>
      </c>
    </row>
    <row r="22" spans="1:11" ht="13" x14ac:dyDescent="0.25">
      <c r="A22" s="295"/>
      <c r="B22" s="481"/>
      <c r="C22" s="489"/>
      <c r="D22" s="487"/>
      <c r="E22" s="487"/>
      <c r="F22" s="488"/>
      <c r="G22" s="299">
        <v>95495</v>
      </c>
      <c r="H22" s="299" t="s">
        <v>939</v>
      </c>
      <c r="I22" s="299">
        <v>2</v>
      </c>
      <c r="J22" s="463">
        <v>38</v>
      </c>
      <c r="K22" s="460">
        <v>200.4</v>
      </c>
    </row>
    <row r="23" spans="1:11" ht="13" x14ac:dyDescent="0.25">
      <c r="A23" s="295"/>
      <c r="B23" s="481"/>
      <c r="C23" s="493"/>
      <c r="D23" s="493"/>
      <c r="E23" s="493"/>
      <c r="F23" s="493"/>
      <c r="G23" s="299">
        <v>-78668</v>
      </c>
      <c r="H23" s="299" t="s">
        <v>939</v>
      </c>
      <c r="I23" s="299">
        <v>2</v>
      </c>
      <c r="J23" s="463">
        <v>39</v>
      </c>
      <c r="K23" s="460">
        <v>200.4</v>
      </c>
    </row>
    <row r="24" spans="1:11" ht="13" x14ac:dyDescent="0.25">
      <c r="A24" s="295"/>
      <c r="B24" s="481"/>
      <c r="C24" s="493"/>
      <c r="D24" s="493"/>
      <c r="E24" s="493"/>
      <c r="F24" s="493"/>
      <c r="G24" s="299">
        <v>118703</v>
      </c>
      <c r="H24" s="299" t="s">
        <v>939</v>
      </c>
      <c r="I24" s="299">
        <v>3</v>
      </c>
      <c r="J24" s="463">
        <v>38</v>
      </c>
      <c r="K24" s="460">
        <v>200.4</v>
      </c>
    </row>
    <row r="25" spans="1:11" ht="13" x14ac:dyDescent="0.25">
      <c r="A25" s="295"/>
      <c r="B25" s="481"/>
      <c r="C25" s="483"/>
      <c r="D25" s="484"/>
      <c r="E25" s="484"/>
      <c r="F25" s="484"/>
      <c r="G25" s="500"/>
      <c r="H25" s="303"/>
      <c r="I25" s="303"/>
      <c r="J25" s="303"/>
      <c r="K25" s="485"/>
    </row>
    <row r="26" spans="1:11" ht="13" x14ac:dyDescent="0.25">
      <c r="A26" s="295"/>
      <c r="B26" s="481">
        <v>5</v>
      </c>
      <c r="C26" s="486" t="s">
        <v>940</v>
      </c>
      <c r="D26" s="484"/>
      <c r="E26" s="484"/>
      <c r="F26" s="484"/>
      <c r="G26" s="492">
        <v>838526.6452223761</v>
      </c>
      <c r="H26" s="491">
        <v>1</v>
      </c>
      <c r="I26" s="492">
        <v>3</v>
      </c>
      <c r="J26" s="491">
        <v>58</v>
      </c>
      <c r="K26" s="460">
        <v>200.9</v>
      </c>
    </row>
    <row r="27" spans="1:11" ht="13" x14ac:dyDescent="0.25">
      <c r="A27" s="295"/>
      <c r="B27" s="481"/>
      <c r="C27" s="483"/>
      <c r="D27" s="484"/>
      <c r="E27" s="484"/>
      <c r="F27" s="484"/>
      <c r="G27" s="492">
        <v>-75557.947112226218</v>
      </c>
      <c r="H27" s="491">
        <v>1</v>
      </c>
      <c r="I27" s="492">
        <v>4</v>
      </c>
      <c r="J27" s="491">
        <v>58</v>
      </c>
      <c r="K27" s="460">
        <v>200.9</v>
      </c>
    </row>
    <row r="28" spans="1:11" ht="13" x14ac:dyDescent="0.25">
      <c r="A28" s="295"/>
      <c r="B28" s="481"/>
      <c r="C28" s="483"/>
      <c r="D28" s="484"/>
      <c r="E28" s="484"/>
      <c r="F28" s="484"/>
      <c r="G28" s="492">
        <v>10724.390152601554</v>
      </c>
      <c r="H28" s="491">
        <v>1</v>
      </c>
      <c r="I28" s="492">
        <v>5</v>
      </c>
      <c r="J28" s="491">
        <v>58</v>
      </c>
      <c r="K28" s="460">
        <v>200.9</v>
      </c>
    </row>
    <row r="29" spans="1:11" ht="13" x14ac:dyDescent="0.25">
      <c r="A29" s="295"/>
      <c r="B29" s="481"/>
      <c r="C29" s="483"/>
      <c r="D29" s="484"/>
      <c r="E29" s="484"/>
      <c r="F29" s="484"/>
      <c r="G29" s="492">
        <v>-321826.08826275199</v>
      </c>
      <c r="H29" s="491">
        <v>1</v>
      </c>
      <c r="I29" s="492">
        <v>6</v>
      </c>
      <c r="J29" s="491">
        <v>58</v>
      </c>
      <c r="K29" s="460">
        <v>200.9</v>
      </c>
    </row>
    <row r="30" spans="1:11" ht="13" x14ac:dyDescent="0.25">
      <c r="A30" s="295"/>
      <c r="B30" s="481"/>
      <c r="C30" s="483"/>
      <c r="D30" s="484"/>
      <c r="E30" s="484"/>
      <c r="F30" s="484"/>
      <c r="G30" s="492"/>
      <c r="H30" s="491"/>
      <c r="I30" s="492"/>
      <c r="J30" s="491"/>
      <c r="K30" s="460"/>
    </row>
    <row r="31" spans="1:11" ht="13" x14ac:dyDescent="0.25">
      <c r="A31" s="295"/>
      <c r="B31" s="481">
        <v>6</v>
      </c>
      <c r="C31" s="497" t="s">
        <v>1021</v>
      </c>
      <c r="D31" s="496"/>
      <c r="E31" s="496"/>
      <c r="F31" s="496"/>
      <c r="G31" s="498">
        <v>446767</v>
      </c>
      <c r="H31" s="499">
        <v>1</v>
      </c>
      <c r="I31" s="499">
        <v>2</v>
      </c>
      <c r="J31" s="499">
        <v>16</v>
      </c>
      <c r="K31" s="460">
        <v>400.2</v>
      </c>
    </row>
    <row r="32" spans="1:11" ht="13" x14ac:dyDescent="0.25">
      <c r="A32" s="295"/>
      <c r="B32" s="481"/>
      <c r="C32" s="497"/>
      <c r="D32" s="495"/>
      <c r="E32" s="495"/>
      <c r="F32" s="495"/>
      <c r="G32" s="498">
        <v>-446767</v>
      </c>
      <c r="H32" s="499">
        <v>1</v>
      </c>
      <c r="I32" s="499">
        <v>6</v>
      </c>
      <c r="J32" s="499">
        <v>16</v>
      </c>
      <c r="K32" s="460">
        <v>400.2</v>
      </c>
    </row>
    <row r="33" spans="1:22" ht="13.5" thickBot="1" x14ac:dyDescent="0.3">
      <c r="A33" s="295"/>
      <c r="B33" s="296"/>
      <c r="C33" s="297"/>
      <c r="D33" s="298"/>
      <c r="E33" s="298"/>
      <c r="F33" s="298"/>
      <c r="G33" s="299"/>
      <c r="H33" s="300"/>
      <c r="I33" s="300"/>
      <c r="J33" s="406"/>
      <c r="K33" s="301"/>
    </row>
    <row r="34" spans="1:22" ht="13.5" thickBot="1" x14ac:dyDescent="0.3">
      <c r="B34" s="283" t="s">
        <v>586</v>
      </c>
      <c r="C34" s="284"/>
      <c r="D34" s="284"/>
      <c r="E34" s="284"/>
      <c r="F34" s="284"/>
      <c r="G34" s="399"/>
      <c r="H34" s="405"/>
      <c r="I34" s="405"/>
      <c r="J34" s="405"/>
      <c r="K34" s="285"/>
    </row>
    <row r="35" spans="1:22" ht="13" x14ac:dyDescent="0.25">
      <c r="B35" s="286"/>
      <c r="C35" s="286"/>
      <c r="D35" s="286"/>
      <c r="E35" s="286"/>
      <c r="F35" s="286"/>
      <c r="G35" s="400"/>
      <c r="H35" s="288"/>
      <c r="I35" s="288"/>
      <c r="J35" s="288"/>
      <c r="K35" s="286"/>
    </row>
    <row r="36" spans="1:22" ht="13" x14ac:dyDescent="0.25">
      <c r="A36" s="287"/>
      <c r="B36" s="288" t="s">
        <v>579</v>
      </c>
      <c r="C36" s="289"/>
      <c r="D36" s="289"/>
      <c r="E36" s="289"/>
      <c r="F36" s="289"/>
      <c r="G36" s="401"/>
      <c r="H36" s="289"/>
      <c r="I36" s="289"/>
      <c r="J36" s="289"/>
      <c r="K36" s="289"/>
    </row>
    <row r="37" spans="1:22" ht="13" x14ac:dyDescent="0.25">
      <c r="A37" s="287"/>
      <c r="B37" s="290" t="s">
        <v>580</v>
      </c>
      <c r="C37" s="291" t="s">
        <v>11</v>
      </c>
      <c r="D37" s="292"/>
      <c r="E37" s="290"/>
      <c r="F37" s="290"/>
      <c r="G37" s="402" t="s">
        <v>581</v>
      </c>
      <c r="H37" s="290" t="s">
        <v>582</v>
      </c>
      <c r="I37" s="290" t="s">
        <v>583</v>
      </c>
      <c r="J37" s="290" t="s">
        <v>584</v>
      </c>
      <c r="K37" s="290" t="s">
        <v>585</v>
      </c>
      <c r="M37" s="293"/>
      <c r="N37" s="294"/>
      <c r="O37" s="294"/>
      <c r="P37" s="294"/>
      <c r="Q37" s="294"/>
      <c r="R37" s="294"/>
      <c r="S37" s="294"/>
      <c r="T37" s="294"/>
      <c r="U37" s="294"/>
      <c r="V37" s="294"/>
    </row>
    <row r="38" spans="1:22" ht="13" x14ac:dyDescent="0.25">
      <c r="A38" s="295"/>
      <c r="B38" s="296"/>
      <c r="C38" s="297"/>
      <c r="D38" s="298"/>
      <c r="E38" s="298"/>
      <c r="F38" s="298"/>
      <c r="G38" s="302"/>
      <c r="H38" s="300"/>
      <c r="I38" s="300"/>
      <c r="J38" s="300"/>
      <c r="K38" s="301"/>
    </row>
    <row r="39" spans="1:22" ht="13.5" thickBot="1" x14ac:dyDescent="0.3">
      <c r="A39" s="295"/>
      <c r="B39" s="296"/>
      <c r="C39" s="297"/>
      <c r="D39" s="298"/>
      <c r="E39" s="298"/>
      <c r="F39" s="298"/>
      <c r="G39" s="299"/>
      <c r="H39" s="300"/>
      <c r="I39" s="300"/>
      <c r="J39" s="406"/>
      <c r="K39" s="301"/>
    </row>
    <row r="40" spans="1:22" ht="13.5" thickBot="1" x14ac:dyDescent="0.3">
      <c r="B40" s="283" t="s">
        <v>587</v>
      </c>
      <c r="C40" s="284"/>
      <c r="D40" s="284"/>
      <c r="E40" s="284"/>
      <c r="F40" s="284"/>
      <c r="G40" s="399"/>
      <c r="H40" s="405"/>
      <c r="I40" s="405"/>
      <c r="J40" s="405"/>
      <c r="K40" s="285"/>
    </row>
    <row r="41" spans="1:22" ht="13" x14ac:dyDescent="0.25">
      <c r="B41" s="286"/>
      <c r="C41" s="286"/>
      <c r="D41" s="286"/>
      <c r="E41" s="286"/>
      <c r="F41" s="286"/>
      <c r="G41" s="400"/>
      <c r="H41" s="288"/>
      <c r="I41" s="288"/>
      <c r="J41" s="288"/>
      <c r="K41" s="286"/>
    </row>
    <row r="42" spans="1:22" ht="13" x14ac:dyDescent="0.25">
      <c r="A42" s="287"/>
      <c r="B42" s="288" t="s">
        <v>579</v>
      </c>
      <c r="C42" s="289"/>
      <c r="D42" s="289"/>
      <c r="E42" s="289"/>
      <c r="F42" s="289"/>
      <c r="G42" s="401"/>
      <c r="H42" s="289"/>
      <c r="I42" s="289"/>
      <c r="J42" s="289"/>
      <c r="K42" s="289"/>
    </row>
    <row r="43" spans="1:22" ht="13" x14ac:dyDescent="0.25">
      <c r="A43" s="287"/>
      <c r="B43" s="290" t="s">
        <v>580</v>
      </c>
      <c r="C43" s="291" t="s">
        <v>11</v>
      </c>
      <c r="D43" s="292"/>
      <c r="E43" s="290"/>
      <c r="F43" s="290"/>
      <c r="G43" s="402" t="s">
        <v>581</v>
      </c>
      <c r="H43" s="290" t="s">
        <v>582</v>
      </c>
      <c r="I43" s="290" t="s">
        <v>583</v>
      </c>
      <c r="J43" s="290" t="s">
        <v>584</v>
      </c>
      <c r="K43" s="290" t="s">
        <v>585</v>
      </c>
      <c r="M43" s="293"/>
      <c r="N43" s="294"/>
      <c r="O43" s="294"/>
      <c r="P43" s="294"/>
      <c r="Q43" s="294"/>
      <c r="R43" s="294"/>
      <c r="S43" s="294"/>
      <c r="T43" s="294"/>
      <c r="U43" s="294"/>
      <c r="V43" s="294"/>
    </row>
    <row r="44" spans="1:22" ht="13" x14ac:dyDescent="0.25">
      <c r="A44" s="295"/>
      <c r="B44" s="296"/>
      <c r="C44" s="297"/>
      <c r="D44" s="298"/>
      <c r="E44" s="298"/>
      <c r="F44" s="298"/>
      <c r="G44" s="302"/>
      <c r="H44" s="303"/>
      <c r="I44" s="304"/>
      <c r="J44" s="304"/>
      <c r="K44" s="301"/>
    </row>
    <row r="45" spans="1:22" ht="13.5" thickBot="1" x14ac:dyDescent="0.3">
      <c r="A45" s="295"/>
      <c r="B45" s="296"/>
      <c r="C45" s="297"/>
      <c r="D45" s="298"/>
      <c r="E45" s="298"/>
      <c r="F45" s="298"/>
      <c r="G45" s="299"/>
      <c r="H45" s="300"/>
      <c r="I45" s="300"/>
      <c r="J45" s="406"/>
      <c r="K45" s="301"/>
    </row>
    <row r="46" spans="1:22" ht="13.5" thickBot="1" x14ac:dyDescent="0.3">
      <c r="A46" s="287"/>
      <c r="B46" s="283" t="s">
        <v>588</v>
      </c>
      <c r="C46" s="284"/>
      <c r="D46" s="284"/>
      <c r="E46" s="284"/>
      <c r="F46" s="284"/>
      <c r="G46" s="399"/>
      <c r="H46" s="405"/>
      <c r="I46" s="405"/>
      <c r="J46" s="405"/>
      <c r="K46" s="285"/>
    </row>
    <row r="47" spans="1:22" x14ac:dyDescent="0.25">
      <c r="A47" s="287"/>
      <c r="B47" s="305"/>
      <c r="C47" s="306"/>
      <c r="D47" s="287"/>
      <c r="E47" s="287"/>
      <c r="F47" s="287"/>
      <c r="G47" s="403"/>
      <c r="H47" s="305"/>
      <c r="I47" s="305"/>
      <c r="J47" s="305"/>
      <c r="K47" s="287"/>
    </row>
    <row r="48" spans="1:22" ht="13" x14ac:dyDescent="0.25">
      <c r="A48" s="287"/>
      <c r="B48" s="288" t="s">
        <v>579</v>
      </c>
      <c r="C48" s="306"/>
      <c r="D48" s="287"/>
      <c r="E48" s="287"/>
      <c r="F48" s="287"/>
      <c r="G48" s="403"/>
      <c r="H48" s="305"/>
      <c r="I48" s="305"/>
      <c r="J48" s="305"/>
      <c r="K48" s="287"/>
    </row>
    <row r="49" spans="1:11" ht="13" x14ac:dyDescent="0.25">
      <c r="A49" s="287"/>
      <c r="B49" s="290" t="s">
        <v>580</v>
      </c>
      <c r="C49" s="291" t="s">
        <v>11</v>
      </c>
      <c r="D49" s="292"/>
      <c r="E49" s="290"/>
      <c r="F49" s="290"/>
      <c r="G49" s="402" t="s">
        <v>581</v>
      </c>
      <c r="H49" s="290" t="s">
        <v>582</v>
      </c>
      <c r="I49" s="290" t="s">
        <v>583</v>
      </c>
      <c r="J49" s="290" t="s">
        <v>584</v>
      </c>
      <c r="K49" s="290" t="s">
        <v>585</v>
      </c>
    </row>
    <row r="50" spans="1:11" x14ac:dyDescent="0.25">
      <c r="A50" s="287"/>
      <c r="B50" s="305"/>
      <c r="C50" s="287"/>
      <c r="D50" s="287"/>
      <c r="E50" s="287"/>
      <c r="F50" s="287"/>
      <c r="G50" s="403"/>
      <c r="H50" s="304"/>
      <c r="I50" s="304"/>
      <c r="J50" s="304"/>
      <c r="K50" s="307"/>
    </row>
    <row r="51" spans="1:11" ht="13.5" thickBot="1" x14ac:dyDescent="0.3">
      <c r="A51" s="295"/>
      <c r="B51" s="296"/>
      <c r="C51" s="297"/>
      <c r="D51" s="298"/>
      <c r="E51" s="298"/>
      <c r="F51" s="298"/>
      <c r="G51" s="299"/>
      <c r="H51" s="300"/>
      <c r="I51" s="300"/>
      <c r="J51" s="406"/>
      <c r="K51" s="301"/>
    </row>
    <row r="52" spans="1:11" ht="13.5" thickBot="1" x14ac:dyDescent="0.3">
      <c r="A52" s="287"/>
      <c r="B52" s="283" t="s">
        <v>589</v>
      </c>
      <c r="C52" s="284"/>
      <c r="D52" s="284"/>
      <c r="E52" s="284"/>
      <c r="F52" s="284"/>
      <c r="G52" s="399"/>
      <c r="H52" s="405"/>
      <c r="I52" s="405"/>
      <c r="J52" s="405"/>
      <c r="K52" s="285"/>
    </row>
    <row r="53" spans="1:11" x14ac:dyDescent="0.25">
      <c r="A53" s="287"/>
      <c r="B53" s="305"/>
      <c r="C53" s="306"/>
      <c r="D53" s="287"/>
      <c r="E53" s="287"/>
      <c r="F53" s="287"/>
      <c r="G53" s="403"/>
      <c r="H53" s="305"/>
      <c r="I53" s="305"/>
      <c r="J53" s="305"/>
      <c r="K53" s="287"/>
    </row>
    <row r="54" spans="1:11" ht="13" x14ac:dyDescent="0.25">
      <c r="A54" s="287"/>
      <c r="B54" s="288" t="s">
        <v>579</v>
      </c>
      <c r="C54" s="306"/>
      <c r="D54" s="287"/>
      <c r="E54" s="287"/>
      <c r="F54" s="287"/>
      <c r="G54" s="403"/>
      <c r="H54" s="305"/>
      <c r="I54" s="305"/>
      <c r="J54" s="305"/>
      <c r="K54" s="287"/>
    </row>
    <row r="55" spans="1:11" ht="13" x14ac:dyDescent="0.25">
      <c r="A55" s="287"/>
      <c r="B55" s="290" t="s">
        <v>580</v>
      </c>
      <c r="C55" s="291" t="s">
        <v>11</v>
      </c>
      <c r="D55" s="292"/>
      <c r="E55" s="290"/>
      <c r="F55" s="290"/>
      <c r="G55" s="402" t="s">
        <v>581</v>
      </c>
      <c r="H55" s="290" t="s">
        <v>582</v>
      </c>
      <c r="I55" s="290" t="s">
        <v>583</v>
      </c>
      <c r="J55" s="290" t="s">
        <v>584</v>
      </c>
      <c r="K55" s="290" t="s">
        <v>585</v>
      </c>
    </row>
    <row r="56" spans="1:11" ht="13" x14ac:dyDescent="0.25">
      <c r="A56" s="287"/>
      <c r="B56" s="461">
        <v>7</v>
      </c>
      <c r="C56" s="501" t="s">
        <v>1022</v>
      </c>
      <c r="D56" s="459"/>
      <c r="E56" s="459"/>
      <c r="F56" s="459"/>
      <c r="G56" s="502">
        <v>-75557.947112226218</v>
      </c>
      <c r="H56" s="503">
        <v>3</v>
      </c>
      <c r="I56" s="502">
        <v>11</v>
      </c>
      <c r="J56" s="502">
        <v>1</v>
      </c>
      <c r="K56" s="460">
        <v>200.9</v>
      </c>
    </row>
    <row r="57" spans="1:11" ht="13.5" thickBot="1" x14ac:dyDescent="0.3">
      <c r="A57" s="295"/>
      <c r="B57" s="296"/>
      <c r="C57" s="297"/>
      <c r="D57" s="298"/>
      <c r="E57" s="298"/>
      <c r="F57" s="298"/>
      <c r="G57" s="299"/>
      <c r="H57" s="300"/>
      <c r="I57" s="300"/>
      <c r="J57" s="406"/>
      <c r="K57" s="301"/>
    </row>
    <row r="58" spans="1:11" ht="13.5" thickBot="1" x14ac:dyDescent="0.3">
      <c r="A58" s="287"/>
      <c r="B58" s="283" t="s">
        <v>590</v>
      </c>
      <c r="C58" s="284"/>
      <c r="D58" s="284"/>
      <c r="E58" s="284"/>
      <c r="F58" s="284"/>
      <c r="G58" s="399"/>
      <c r="H58" s="405"/>
      <c r="I58" s="405"/>
      <c r="J58" s="405"/>
      <c r="K58" s="285"/>
    </row>
    <row r="59" spans="1:11" x14ac:dyDescent="0.25">
      <c r="A59" s="287"/>
      <c r="B59" s="305"/>
      <c r="C59" s="306"/>
      <c r="D59" s="287"/>
      <c r="E59" s="287"/>
      <c r="F59" s="287"/>
      <c r="G59" s="403"/>
      <c r="H59" s="305"/>
      <c r="I59" s="305"/>
      <c r="J59" s="305"/>
      <c r="K59" s="287"/>
    </row>
    <row r="60" spans="1:11" ht="13" x14ac:dyDescent="0.25">
      <c r="A60" s="287"/>
      <c r="B60" s="288" t="s">
        <v>579</v>
      </c>
      <c r="C60" s="306"/>
      <c r="D60" s="287"/>
      <c r="E60" s="287"/>
      <c r="F60" s="287"/>
      <c r="G60" s="403"/>
      <c r="H60" s="305"/>
      <c r="I60" s="305"/>
      <c r="J60" s="305"/>
      <c r="K60" s="287"/>
    </row>
    <row r="61" spans="1:11" ht="13" x14ac:dyDescent="0.25">
      <c r="A61" s="287"/>
      <c r="B61" s="290" t="s">
        <v>580</v>
      </c>
      <c r="C61" s="291" t="s">
        <v>11</v>
      </c>
      <c r="D61" s="292"/>
      <c r="E61" s="290"/>
      <c r="F61" s="290"/>
      <c r="G61" s="402" t="s">
        <v>581</v>
      </c>
      <c r="H61" s="290" t="s">
        <v>582</v>
      </c>
      <c r="I61" s="290" t="s">
        <v>583</v>
      </c>
      <c r="J61" s="290" t="s">
        <v>584</v>
      </c>
      <c r="K61" s="290" t="s">
        <v>585</v>
      </c>
    </row>
    <row r="62" spans="1:11" x14ac:dyDescent="0.25">
      <c r="A62" s="287"/>
      <c r="B62" s="287"/>
      <c r="C62" s="287"/>
      <c r="D62" s="287"/>
      <c r="E62" s="287"/>
      <c r="F62" s="287"/>
      <c r="G62" s="403"/>
      <c r="H62" s="305"/>
      <c r="I62" s="305"/>
      <c r="J62" s="305"/>
      <c r="K62" s="287"/>
    </row>
    <row r="63" spans="1:11" ht="13" x14ac:dyDescent="0.25">
      <c r="A63" s="287"/>
      <c r="B63" s="461">
        <v>8</v>
      </c>
      <c r="C63" s="459" t="s">
        <v>941</v>
      </c>
      <c r="D63" s="462"/>
      <c r="E63" s="462"/>
      <c r="F63" s="462"/>
      <c r="G63" s="299">
        <v>-908</v>
      </c>
      <c r="H63" s="463">
        <v>4</v>
      </c>
      <c r="I63" s="463">
        <v>8</v>
      </c>
      <c r="J63" s="463">
        <v>1</v>
      </c>
      <c r="K63" s="460">
        <v>300.10000000000002</v>
      </c>
    </row>
    <row r="64" spans="1:11" ht="13" thickBot="1" x14ac:dyDescent="0.3">
      <c r="A64" s="287"/>
      <c r="B64" s="287"/>
      <c r="C64" s="287"/>
      <c r="D64" s="287"/>
      <c r="E64" s="287"/>
      <c r="F64" s="287"/>
      <c r="G64" s="403"/>
      <c r="H64" s="305"/>
      <c r="I64" s="305"/>
      <c r="J64" s="305"/>
      <c r="K64" s="287"/>
    </row>
    <row r="65" spans="1:11" ht="13.5" thickBot="1" x14ac:dyDescent="0.3">
      <c r="A65" s="287"/>
      <c r="B65" s="283" t="s">
        <v>926</v>
      </c>
      <c r="C65" s="284"/>
      <c r="D65" s="284"/>
      <c r="E65" s="284"/>
      <c r="F65" s="284"/>
      <c r="G65" s="284"/>
      <c r="H65" s="284"/>
      <c r="I65" s="284"/>
      <c r="J65" s="284"/>
      <c r="K65" s="285"/>
    </row>
    <row r="66" spans="1:11" x14ac:dyDescent="0.25">
      <c r="A66" s="287"/>
      <c r="B66" s="305"/>
      <c r="C66" s="306"/>
      <c r="D66" s="287"/>
      <c r="E66" s="287"/>
      <c r="F66" s="287"/>
      <c r="G66" s="287"/>
      <c r="H66" s="287"/>
      <c r="I66" s="287"/>
      <c r="J66" s="287"/>
      <c r="K66" s="287"/>
    </row>
    <row r="67" spans="1:11" ht="13" x14ac:dyDescent="0.25">
      <c r="A67" s="287"/>
      <c r="B67" s="288" t="s">
        <v>579</v>
      </c>
      <c r="C67" s="306"/>
      <c r="D67" s="287"/>
      <c r="E67" s="287"/>
      <c r="F67" s="287"/>
      <c r="G67" s="287"/>
      <c r="H67" s="287"/>
      <c r="I67" s="287"/>
      <c r="J67" s="287"/>
      <c r="K67" s="287"/>
    </row>
    <row r="68" spans="1:11" ht="13" x14ac:dyDescent="0.25">
      <c r="A68" s="287"/>
      <c r="B68" s="290" t="s">
        <v>580</v>
      </c>
      <c r="C68" s="291" t="s">
        <v>11</v>
      </c>
      <c r="D68" s="292"/>
      <c r="E68" s="290"/>
      <c r="F68" s="290"/>
      <c r="G68" s="290" t="s">
        <v>581</v>
      </c>
      <c r="H68" s="290" t="s">
        <v>582</v>
      </c>
      <c r="I68" s="290" t="s">
        <v>583</v>
      </c>
      <c r="J68" s="290" t="s">
        <v>584</v>
      </c>
      <c r="K68" s="290" t="s">
        <v>585</v>
      </c>
    </row>
    <row r="69" spans="1:11" x14ac:dyDescent="0.25">
      <c r="A69" s="287"/>
      <c r="B69" s="287"/>
      <c r="C69" s="287"/>
      <c r="D69" s="287"/>
      <c r="E69" s="287"/>
      <c r="F69" s="287"/>
      <c r="G69" s="403"/>
      <c r="H69" s="305"/>
      <c r="I69" s="305"/>
      <c r="J69" s="305"/>
      <c r="K69" s="287"/>
    </row>
    <row r="70" spans="1:11" x14ac:dyDescent="0.25">
      <c r="A70" s="287"/>
      <c r="B70" s="287"/>
      <c r="C70" s="287"/>
      <c r="D70" s="287"/>
      <c r="E70" s="287"/>
      <c r="F70" s="287"/>
      <c r="G70" s="403"/>
      <c r="H70" s="305"/>
      <c r="I70" s="305"/>
      <c r="J70" s="305"/>
      <c r="K70" s="287"/>
    </row>
    <row r="71" spans="1:11" x14ac:dyDescent="0.25">
      <c r="A71" s="287"/>
      <c r="B71" s="287"/>
      <c r="C71" s="287"/>
      <c r="D71" s="287"/>
      <c r="E71" s="287"/>
      <c r="F71" s="287"/>
      <c r="G71" s="403"/>
      <c r="H71" s="305"/>
      <c r="I71" s="305"/>
      <c r="J71" s="305"/>
      <c r="K71" s="287"/>
    </row>
    <row r="72" spans="1:11" x14ac:dyDescent="0.25">
      <c r="A72" s="287"/>
      <c r="B72" s="287"/>
      <c r="C72" s="287"/>
      <c r="D72" s="287"/>
      <c r="E72" s="287"/>
      <c r="F72" s="287"/>
      <c r="G72" s="403"/>
      <c r="H72" s="305"/>
      <c r="I72" s="305"/>
      <c r="J72" s="305"/>
      <c r="K72" s="287"/>
    </row>
    <row r="73" spans="1:11" x14ac:dyDescent="0.25">
      <c r="A73" s="287"/>
      <c r="B73" s="287"/>
      <c r="C73" s="287"/>
      <c r="D73" s="287"/>
      <c r="E73" s="287"/>
      <c r="F73" s="287"/>
      <c r="G73" s="403"/>
      <c r="H73" s="305"/>
      <c r="I73" s="305"/>
      <c r="J73" s="305"/>
      <c r="K73" s="287"/>
    </row>
    <row r="74" spans="1:11" x14ac:dyDescent="0.25">
      <c r="A74" s="287"/>
      <c r="B74" s="287"/>
      <c r="C74" s="287"/>
      <c r="D74" s="287"/>
      <c r="E74" s="287"/>
      <c r="F74" s="287"/>
      <c r="G74" s="403"/>
      <c r="H74" s="305"/>
      <c r="I74" s="305"/>
      <c r="J74" s="305"/>
      <c r="K74" s="287"/>
    </row>
    <row r="75" spans="1:11" x14ac:dyDescent="0.25">
      <c r="A75" s="287"/>
      <c r="B75" s="287"/>
      <c r="C75" s="287"/>
      <c r="D75" s="287"/>
      <c r="E75" s="287"/>
      <c r="F75" s="287"/>
      <c r="G75" s="403"/>
      <c r="H75" s="305"/>
      <c r="I75" s="305"/>
      <c r="J75" s="305"/>
      <c r="K75" s="287"/>
    </row>
    <row r="76" spans="1:11" x14ac:dyDescent="0.25">
      <c r="A76" s="287"/>
      <c r="B76" s="287"/>
      <c r="C76" s="287"/>
      <c r="D76" s="287"/>
      <c r="E76" s="287"/>
      <c r="F76" s="287"/>
      <c r="G76" s="403"/>
      <c r="H76" s="305"/>
      <c r="I76" s="305"/>
      <c r="J76" s="305"/>
      <c r="K76" s="287"/>
    </row>
    <row r="77" spans="1:11" x14ac:dyDescent="0.25">
      <c r="A77" s="287"/>
      <c r="B77" s="287"/>
      <c r="C77" s="287"/>
      <c r="D77" s="287"/>
      <c r="E77" s="287"/>
      <c r="F77" s="287"/>
      <c r="G77" s="403"/>
      <c r="H77" s="305"/>
      <c r="I77" s="305"/>
      <c r="J77" s="305"/>
      <c r="K77" s="287"/>
    </row>
    <row r="78" spans="1:11" x14ac:dyDescent="0.25">
      <c r="A78" s="287"/>
      <c r="B78" s="287"/>
      <c r="C78" s="287"/>
      <c r="D78" s="287"/>
      <c r="E78" s="287"/>
      <c r="F78" s="287"/>
      <c r="G78" s="403"/>
      <c r="H78" s="305"/>
      <c r="I78" s="305"/>
      <c r="J78" s="305"/>
      <c r="K78" s="287"/>
    </row>
    <row r="79" spans="1:11" x14ac:dyDescent="0.25">
      <c r="A79" s="287"/>
      <c r="B79" s="287"/>
      <c r="C79" s="287"/>
      <c r="D79" s="287"/>
      <c r="E79" s="287"/>
      <c r="F79" s="287"/>
      <c r="G79" s="403"/>
      <c r="H79" s="305"/>
      <c r="I79" s="305"/>
      <c r="J79" s="305"/>
      <c r="K79" s="287"/>
    </row>
    <row r="80" spans="1:11" x14ac:dyDescent="0.25">
      <c r="A80" s="287"/>
      <c r="B80" s="287"/>
      <c r="C80" s="287"/>
      <c r="D80" s="287"/>
      <c r="E80" s="287"/>
      <c r="F80" s="287"/>
      <c r="G80" s="403"/>
      <c r="H80" s="305"/>
      <c r="I80" s="305"/>
      <c r="J80" s="305"/>
      <c r="K80" s="287"/>
    </row>
    <row r="81" spans="1:11" x14ac:dyDescent="0.25">
      <c r="A81" s="287"/>
      <c r="B81" s="287"/>
      <c r="C81" s="287"/>
      <c r="D81" s="287"/>
      <c r="E81" s="287"/>
      <c r="F81" s="287"/>
      <c r="G81" s="403"/>
      <c r="H81" s="305"/>
      <c r="I81" s="305"/>
      <c r="J81" s="305"/>
      <c r="K81" s="287"/>
    </row>
    <row r="82" spans="1:11" x14ac:dyDescent="0.25">
      <c r="A82" s="287"/>
      <c r="B82" s="287"/>
      <c r="C82" s="287"/>
      <c r="D82" s="287"/>
      <c r="E82" s="287"/>
      <c r="F82" s="287"/>
      <c r="G82" s="403"/>
      <c r="H82" s="305"/>
      <c r="I82" s="305"/>
      <c r="J82" s="305"/>
      <c r="K82" s="287"/>
    </row>
    <row r="83" spans="1:11" x14ac:dyDescent="0.25">
      <c r="A83" s="287"/>
      <c r="B83" s="287"/>
      <c r="C83" s="287"/>
      <c r="D83" s="287"/>
      <c r="E83" s="287"/>
      <c r="F83" s="287"/>
      <c r="G83" s="403"/>
      <c r="H83" s="305"/>
      <c r="I83" s="305"/>
      <c r="J83" s="305"/>
      <c r="K83" s="287"/>
    </row>
    <row r="84" spans="1:11" x14ac:dyDescent="0.25">
      <c r="A84" s="287"/>
      <c r="B84" s="287"/>
      <c r="C84" s="287"/>
      <c r="D84" s="287"/>
      <c r="E84" s="287"/>
      <c r="F84" s="287"/>
      <c r="G84" s="403"/>
      <c r="H84" s="305"/>
      <c r="I84" s="305"/>
      <c r="J84" s="305"/>
      <c r="K84" s="287"/>
    </row>
    <row r="85" spans="1:11" x14ac:dyDescent="0.25">
      <c r="A85" s="287"/>
      <c r="B85" s="287"/>
      <c r="C85" s="287"/>
      <c r="D85" s="287"/>
      <c r="E85" s="287"/>
      <c r="F85" s="287"/>
      <c r="G85" s="403"/>
      <c r="H85" s="305"/>
      <c r="I85" s="305"/>
      <c r="J85" s="305"/>
      <c r="K85" s="287"/>
    </row>
    <row r="86" spans="1:11" x14ac:dyDescent="0.25">
      <c r="A86" s="287"/>
      <c r="B86" s="287"/>
      <c r="C86" s="287"/>
      <c r="D86" s="287"/>
      <c r="E86" s="287"/>
      <c r="F86" s="287"/>
      <c r="G86" s="403"/>
      <c r="H86" s="305"/>
      <c r="I86" s="305"/>
      <c r="J86" s="305"/>
      <c r="K86" s="287"/>
    </row>
    <row r="87" spans="1:11" x14ac:dyDescent="0.25">
      <c r="A87" s="287"/>
      <c r="B87" s="287"/>
      <c r="C87" s="287"/>
      <c r="D87" s="287"/>
      <c r="E87" s="287"/>
      <c r="F87" s="287"/>
      <c r="G87" s="403"/>
      <c r="H87" s="305"/>
      <c r="I87" s="305"/>
      <c r="J87" s="305"/>
      <c r="K87" s="287"/>
    </row>
    <row r="88" spans="1:11" x14ac:dyDescent="0.25">
      <c r="A88" s="287"/>
      <c r="B88" s="287"/>
      <c r="C88" s="287"/>
      <c r="D88" s="287"/>
      <c r="E88" s="287"/>
      <c r="F88" s="287"/>
      <c r="G88" s="403"/>
      <c r="H88" s="305"/>
      <c r="I88" s="305"/>
      <c r="J88" s="305"/>
      <c r="K88" s="287"/>
    </row>
    <row r="89" spans="1:11" x14ac:dyDescent="0.25">
      <c r="A89" s="287"/>
      <c r="B89" s="287"/>
      <c r="C89" s="287"/>
      <c r="D89" s="287"/>
      <c r="E89" s="287"/>
      <c r="F89" s="287"/>
      <c r="G89" s="403"/>
      <c r="H89" s="305"/>
      <c r="I89" s="305"/>
      <c r="J89" s="305"/>
      <c r="K89" s="287"/>
    </row>
    <row r="90" spans="1:11" x14ac:dyDescent="0.25">
      <c r="A90" s="287"/>
      <c r="B90" s="287"/>
      <c r="C90" s="287"/>
      <c r="D90" s="287"/>
      <c r="E90" s="287"/>
      <c r="F90" s="287"/>
      <c r="G90" s="403"/>
      <c r="H90" s="305"/>
      <c r="I90" s="305"/>
      <c r="J90" s="305"/>
      <c r="K90" s="287"/>
    </row>
    <row r="91" spans="1:11" x14ac:dyDescent="0.25">
      <c r="A91" s="287"/>
      <c r="B91" s="287"/>
      <c r="C91" s="287"/>
      <c r="D91" s="287"/>
      <c r="E91" s="287"/>
      <c r="F91" s="287"/>
      <c r="G91" s="403"/>
      <c r="H91" s="305"/>
      <c r="I91" s="305"/>
      <c r="J91" s="305"/>
      <c r="K91" s="287"/>
    </row>
    <row r="92" spans="1:11" x14ac:dyDescent="0.25">
      <c r="A92" s="287"/>
      <c r="B92" s="287"/>
      <c r="C92" s="287"/>
      <c r="D92" s="287"/>
      <c r="E92" s="287"/>
      <c r="F92" s="287"/>
      <c r="G92" s="403"/>
      <c r="H92" s="305"/>
      <c r="I92" s="305"/>
      <c r="J92" s="305"/>
      <c r="K92" s="287"/>
    </row>
    <row r="93" spans="1:11" x14ac:dyDescent="0.25">
      <c r="A93" s="287"/>
      <c r="B93" s="287"/>
      <c r="C93" s="287"/>
      <c r="D93" s="287"/>
      <c r="E93" s="287"/>
      <c r="F93" s="287"/>
      <c r="G93" s="403"/>
      <c r="H93" s="305"/>
      <c r="I93" s="305"/>
      <c r="J93" s="305"/>
      <c r="K93" s="287"/>
    </row>
    <row r="94" spans="1:11" x14ac:dyDescent="0.25">
      <c r="A94" s="287"/>
      <c r="B94" s="287"/>
      <c r="C94" s="287"/>
      <c r="D94" s="287"/>
      <c r="E94" s="287"/>
      <c r="F94" s="287"/>
      <c r="G94" s="403"/>
      <c r="H94" s="305"/>
      <c r="I94" s="305"/>
      <c r="J94" s="305"/>
      <c r="K94" s="287"/>
    </row>
    <row r="95" spans="1:11" x14ac:dyDescent="0.25">
      <c r="A95" s="287"/>
      <c r="B95" s="287"/>
      <c r="C95" s="287"/>
      <c r="D95" s="287"/>
      <c r="E95" s="287"/>
      <c r="F95" s="287"/>
      <c r="G95" s="403"/>
      <c r="H95" s="305"/>
      <c r="I95" s="305"/>
      <c r="J95" s="305"/>
      <c r="K95" s="287"/>
    </row>
    <row r="96" spans="1:11" x14ac:dyDescent="0.25">
      <c r="A96" s="287"/>
      <c r="B96" s="287"/>
      <c r="C96" s="287"/>
      <c r="D96" s="287"/>
      <c r="E96" s="287"/>
      <c r="F96" s="287"/>
      <c r="G96" s="403"/>
      <c r="H96" s="305"/>
      <c r="I96" s="305"/>
      <c r="J96" s="305"/>
      <c r="K96" s="287"/>
    </row>
    <row r="97" spans="1:11" x14ac:dyDescent="0.25">
      <c r="A97" s="287"/>
      <c r="B97" s="287"/>
      <c r="C97" s="287"/>
      <c r="D97" s="287"/>
      <c r="E97" s="287"/>
      <c r="F97" s="287"/>
      <c r="G97" s="403"/>
      <c r="H97" s="305"/>
      <c r="I97" s="305"/>
      <c r="J97" s="305"/>
      <c r="K97" s="287"/>
    </row>
    <row r="98" spans="1:11" x14ac:dyDescent="0.25">
      <c r="A98" s="287"/>
      <c r="B98" s="287"/>
      <c r="C98" s="287"/>
      <c r="D98" s="287"/>
      <c r="E98" s="287"/>
      <c r="F98" s="287"/>
      <c r="G98" s="403"/>
      <c r="H98" s="305"/>
      <c r="I98" s="305"/>
      <c r="J98" s="305"/>
      <c r="K98" s="287"/>
    </row>
    <row r="99" spans="1:11" x14ac:dyDescent="0.25">
      <c r="A99" s="287"/>
      <c r="B99" s="287"/>
      <c r="C99" s="287"/>
      <c r="D99" s="287"/>
      <c r="E99" s="287"/>
      <c r="F99" s="287"/>
      <c r="G99" s="403"/>
      <c r="H99" s="305"/>
      <c r="I99" s="305"/>
      <c r="J99" s="305"/>
      <c r="K99" s="287"/>
    </row>
    <row r="100" spans="1:11" x14ac:dyDescent="0.25">
      <c r="A100" s="287"/>
      <c r="B100" s="287"/>
      <c r="C100" s="287"/>
      <c r="D100" s="287"/>
      <c r="E100" s="287"/>
      <c r="F100" s="287"/>
      <c r="G100" s="403"/>
      <c r="H100" s="305"/>
      <c r="I100" s="305"/>
      <c r="J100" s="305"/>
      <c r="K100" s="287"/>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sheetData>
  <sheetProtection sheet="1" objects="1" scenarios="1"/>
  <customSheetViews>
    <customSheetView guid="{D0F83CC0-0361-4280-BCA4-9A92C986158B}" hiddenColumns="1">
      <pageMargins left="0.7" right="0.7" top="0.75" bottom="0.75" header="0.3" footer="0.3"/>
      <pageSetup orientation="portrait" horizontalDpi="1200" verticalDpi="1200" r:id="rId1"/>
    </customSheetView>
    <customSheetView guid="{27BAF95E-10B4-4025-9660-F5A8EBC66DC3}"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669</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Eagle Valley Behavioral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10" t="s">
        <v>1</v>
      </c>
      <c r="C10" s="510"/>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11" t="s">
        <v>280</v>
      </c>
      <c r="B12" s="512"/>
      <c r="C12" s="512"/>
      <c r="D12" s="512"/>
      <c r="E12" s="512"/>
      <c r="F12" s="512"/>
      <c r="G12" s="512"/>
      <c r="H12" s="512"/>
      <c r="I12" s="512"/>
      <c r="J12" s="513"/>
      <c r="M12" s="128"/>
      <c r="N12" s="128"/>
      <c r="O12" s="128"/>
      <c r="P12" s="128"/>
      <c r="Q12" s="128"/>
      <c r="R12" s="128"/>
      <c r="S12" s="128"/>
    </row>
    <row r="13" spans="1:19" s="22" customFormat="1" x14ac:dyDescent="0.35">
      <c r="A13" s="155">
        <v>1</v>
      </c>
      <c r="B13" s="514" t="s">
        <v>458</v>
      </c>
      <c r="C13" s="515"/>
      <c r="D13" s="156">
        <f>'Schedule 1 Adjustments'!F13</f>
        <v>4.9928160919540217</v>
      </c>
      <c r="E13" s="157">
        <f>'Schedule 1 Adjustments'!I13</f>
        <v>202221.09769581264</v>
      </c>
      <c r="F13" s="157">
        <f>'Schedule 1 Adjustments'!L13</f>
        <v>1922457.9191570361</v>
      </c>
      <c r="G13" s="157">
        <f>'Schedule 1 Adjustments'!O13</f>
        <v>29522.076428571425</v>
      </c>
      <c r="H13" s="157">
        <f>'Schedule 1 Adjustments'!R13</f>
        <v>0</v>
      </c>
      <c r="I13" s="157">
        <f>'Schedule 1 Adjustments'!U13</f>
        <v>0</v>
      </c>
      <c r="J13" s="158">
        <f t="shared" ref="J13:J16" si="0">SUM(E13:I13)</f>
        <v>2154201.0932814199</v>
      </c>
      <c r="M13" s="140"/>
    </row>
    <row r="14" spans="1:19" s="22" customFormat="1" x14ac:dyDescent="0.35">
      <c r="A14" s="155">
        <v>2</v>
      </c>
      <c r="B14" s="514" t="s">
        <v>291</v>
      </c>
      <c r="C14" s="515"/>
      <c r="D14" s="156">
        <f>'Schedule 1 Adjustments'!F14</f>
        <v>45.907499904214561</v>
      </c>
      <c r="E14" s="157">
        <f>'Schedule 1 Adjustments'!I14</f>
        <v>311124.43381652946</v>
      </c>
      <c r="F14" s="157">
        <f>'Schedule 1 Adjustments'!L14</f>
        <v>5016387.8072286826</v>
      </c>
      <c r="G14" s="157">
        <f>'Schedule 1 Adjustments'!O14</f>
        <v>130821.87544728453</v>
      </c>
      <c r="H14" s="157">
        <f>'Schedule 1 Adjustments'!R14</f>
        <v>1517</v>
      </c>
      <c r="I14" s="157">
        <f>'Schedule 1 Adjustments'!U14</f>
        <v>17601.04226798514</v>
      </c>
      <c r="J14" s="158">
        <f t="shared" si="0"/>
        <v>5477452.1587604815</v>
      </c>
      <c r="M14" s="140"/>
    </row>
    <row r="15" spans="1:19" s="22" customFormat="1" x14ac:dyDescent="0.35">
      <c r="A15" s="155">
        <v>3</v>
      </c>
      <c r="B15" s="514" t="s">
        <v>301</v>
      </c>
      <c r="C15" s="515"/>
      <c r="D15" s="156">
        <f>'Schedule 1 Adjustments'!F15</f>
        <v>11.911584051724139</v>
      </c>
      <c r="E15" s="157">
        <f>'Schedule 1 Adjustments'!I15</f>
        <v>219754.98599445878</v>
      </c>
      <c r="F15" s="157">
        <f>'Schedule 1 Adjustments'!L15</f>
        <v>792228.05797573295</v>
      </c>
      <c r="G15" s="157">
        <f>'Schedule 1 Adjustments'!O15</f>
        <v>0</v>
      </c>
      <c r="H15" s="157">
        <f>'Schedule 1 Adjustments'!R15</f>
        <v>111102.30402940506</v>
      </c>
      <c r="I15" s="157">
        <f>'Schedule 1 Adjustments'!U15</f>
        <v>11733.097024820849</v>
      </c>
      <c r="J15" s="158">
        <f t="shared" si="0"/>
        <v>1134818.4450244175</v>
      </c>
      <c r="M15" s="140"/>
    </row>
    <row r="16" spans="1:19" s="22" customFormat="1" x14ac:dyDescent="0.35">
      <c r="A16" s="155">
        <v>4</v>
      </c>
      <c r="B16" s="508" t="s">
        <v>290</v>
      </c>
      <c r="C16" s="509"/>
      <c r="D16" s="159">
        <f t="shared" ref="D16:I16" si="1">SUM(D13:D15)</f>
        <v>62.811900047892721</v>
      </c>
      <c r="E16" s="160">
        <f t="shared" si="1"/>
        <v>733100.51750680082</v>
      </c>
      <c r="F16" s="160">
        <f t="shared" si="1"/>
        <v>7731073.7843614509</v>
      </c>
      <c r="G16" s="160">
        <f t="shared" si="1"/>
        <v>160343.95187585597</v>
      </c>
      <c r="H16" s="160">
        <f t="shared" si="1"/>
        <v>112619.30402940506</v>
      </c>
      <c r="I16" s="160">
        <f t="shared" si="1"/>
        <v>29334.139292805987</v>
      </c>
      <c r="J16" s="160">
        <f t="shared" si="0"/>
        <v>8766471.6970663201</v>
      </c>
      <c r="M16" s="140"/>
    </row>
    <row r="17" spans="1:13" s="22" customFormat="1" x14ac:dyDescent="0.35">
      <c r="A17" s="161"/>
      <c r="B17" s="162"/>
      <c r="C17" s="162"/>
      <c r="D17" s="163"/>
      <c r="E17" s="164"/>
      <c r="F17" s="164"/>
      <c r="G17" s="164"/>
      <c r="H17" s="164"/>
      <c r="I17" s="164"/>
      <c r="J17" s="164"/>
      <c r="M17" s="140"/>
    </row>
    <row r="18" spans="1:13" s="22" customFormat="1" x14ac:dyDescent="0.35">
      <c r="A18" s="511" t="s">
        <v>281</v>
      </c>
      <c r="B18" s="512"/>
      <c r="C18" s="512"/>
      <c r="D18" s="512"/>
      <c r="E18" s="512"/>
      <c r="F18" s="512"/>
      <c r="G18" s="512"/>
      <c r="H18" s="512"/>
      <c r="I18" s="512"/>
      <c r="J18" s="513"/>
      <c r="M18" s="140"/>
    </row>
    <row r="19" spans="1:13" s="22" customFormat="1" x14ac:dyDescent="0.35">
      <c r="A19" s="155">
        <v>5</v>
      </c>
      <c r="B19" s="514" t="s">
        <v>221</v>
      </c>
      <c r="C19" s="515"/>
      <c r="D19" s="156">
        <f>'Schedule 1 Adjustments'!F19</f>
        <v>0</v>
      </c>
      <c r="E19" s="157">
        <f>'Schedule 1 Adjustments'!I19</f>
        <v>393423.18702070741</v>
      </c>
      <c r="F19" s="157">
        <f>'Schedule 1 Adjustments'!L19</f>
        <v>0</v>
      </c>
      <c r="G19" s="157">
        <f>'Schedule 1 Adjustments'!O19</f>
        <v>0</v>
      </c>
      <c r="H19" s="157">
        <f>'Schedule 1 Adjustments'!R19</f>
        <v>0</v>
      </c>
      <c r="I19" s="157">
        <f>'Schedule 1 Adjustments'!U19</f>
        <v>17703.94323188853</v>
      </c>
      <c r="J19" s="158">
        <f>SUM(E19:I19)</f>
        <v>411127.13025259593</v>
      </c>
      <c r="M19" s="140"/>
    </row>
    <row r="20" spans="1:13" s="22" customFormat="1" x14ac:dyDescent="0.35">
      <c r="A20" s="155">
        <v>6</v>
      </c>
      <c r="B20" s="514" t="s">
        <v>293</v>
      </c>
      <c r="C20" s="515"/>
      <c r="D20" s="156">
        <f>'Schedule 1 Adjustments'!F20</f>
        <v>19.984729932950192</v>
      </c>
      <c r="E20" s="157">
        <f>'Schedule 1 Adjustments'!I20</f>
        <v>1783950.5372343571</v>
      </c>
      <c r="F20" s="157">
        <f>'Schedule 1 Adjustments'!L20</f>
        <v>0</v>
      </c>
      <c r="G20" s="157">
        <f>'Schedule 1 Adjustments'!O20</f>
        <v>8649.9457142857154</v>
      </c>
      <c r="H20" s="157">
        <f>'Schedule 1 Adjustments'!R20</f>
        <v>0</v>
      </c>
      <c r="I20" s="157">
        <f>'Schedule 1 Adjustments'!U20</f>
        <v>171622.45604673403</v>
      </c>
      <c r="J20" s="158">
        <f>SUM(E20:I20)</f>
        <v>1964222.9389953769</v>
      </c>
      <c r="M20" s="140"/>
    </row>
    <row r="21" spans="1:13" s="22" customFormat="1" x14ac:dyDescent="0.35">
      <c r="A21" s="155">
        <v>7</v>
      </c>
      <c r="B21" s="508" t="s">
        <v>220</v>
      </c>
      <c r="C21" s="509"/>
      <c r="D21" s="159">
        <f t="shared" ref="D21:I21" si="2">SUM(D19:D20)</f>
        <v>19.984729932950192</v>
      </c>
      <c r="E21" s="160">
        <f t="shared" si="2"/>
        <v>2177373.7242550645</v>
      </c>
      <c r="F21" s="160">
        <f t="shared" si="2"/>
        <v>0</v>
      </c>
      <c r="G21" s="160">
        <f t="shared" si="2"/>
        <v>8649.9457142857154</v>
      </c>
      <c r="H21" s="160">
        <f t="shared" si="2"/>
        <v>0</v>
      </c>
      <c r="I21" s="160">
        <f t="shared" si="2"/>
        <v>189326.39927862256</v>
      </c>
      <c r="J21" s="160">
        <f>SUM(E21:I21)</f>
        <v>2375350.0692479727</v>
      </c>
      <c r="M21" s="140"/>
    </row>
    <row r="22" spans="1:13" s="22" customFormat="1" x14ac:dyDescent="0.35">
      <c r="A22" s="161"/>
      <c r="B22" s="162"/>
      <c r="C22" s="162"/>
      <c r="D22" s="163"/>
      <c r="E22" s="164"/>
      <c r="F22" s="164"/>
      <c r="G22" s="164"/>
      <c r="H22" s="164"/>
      <c r="I22" s="164"/>
      <c r="J22" s="164"/>
      <c r="M22" s="140"/>
    </row>
    <row r="23" spans="1:13" s="22" customFormat="1" x14ac:dyDescent="0.35">
      <c r="A23" s="511" t="s">
        <v>275</v>
      </c>
      <c r="B23" s="512"/>
      <c r="C23" s="512"/>
      <c r="D23" s="512"/>
      <c r="E23" s="512"/>
      <c r="F23" s="512"/>
      <c r="G23" s="512"/>
      <c r="H23" s="512"/>
      <c r="I23" s="512"/>
      <c r="J23" s="513"/>
      <c r="M23" s="140"/>
    </row>
    <row r="24" spans="1:13" s="22" customFormat="1" x14ac:dyDescent="0.35">
      <c r="A24" s="155">
        <v>8</v>
      </c>
      <c r="B24" s="514" t="s">
        <v>276</v>
      </c>
      <c r="C24" s="517"/>
      <c r="D24" s="515"/>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508" t="s">
        <v>222</v>
      </c>
      <c r="C25" s="516"/>
      <c r="D25" s="509"/>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11" t="s">
        <v>235</v>
      </c>
      <c r="B27" s="512"/>
      <c r="C27" s="512"/>
      <c r="D27" s="512"/>
      <c r="E27" s="512"/>
      <c r="F27" s="512"/>
      <c r="G27" s="512"/>
      <c r="H27" s="512"/>
      <c r="I27" s="512"/>
      <c r="J27" s="513"/>
      <c r="M27" s="140"/>
    </row>
    <row r="28" spans="1:13" s="22" customFormat="1" x14ac:dyDescent="0.35">
      <c r="A28" s="155">
        <v>10</v>
      </c>
      <c r="B28" s="514" t="s">
        <v>224</v>
      </c>
      <c r="C28" s="517"/>
      <c r="D28" s="515"/>
      <c r="E28" s="157">
        <f>'Schedule 1 Adjustments'!I28</f>
        <v>430703.33096154855</v>
      </c>
      <c r="F28" s="157">
        <f>'Schedule 1 Adjustments'!L28</f>
        <v>0</v>
      </c>
      <c r="G28" s="157">
        <f>'Schedule 1 Adjustments'!O28</f>
        <v>0</v>
      </c>
      <c r="H28" s="157">
        <f>'Schedule 1 Adjustments'!R28</f>
        <v>0</v>
      </c>
      <c r="I28" s="157">
        <f>'Schedule 1 Adjustments'!U28</f>
        <v>0</v>
      </c>
      <c r="J28" s="158">
        <f>SUM(E28:I28)</f>
        <v>430703.33096154855</v>
      </c>
      <c r="M28" s="140"/>
    </row>
    <row r="29" spans="1:13" s="22" customFormat="1" x14ac:dyDescent="0.35">
      <c r="A29" s="155">
        <v>11</v>
      </c>
      <c r="B29" s="173" t="s">
        <v>223</v>
      </c>
      <c r="C29" s="167"/>
      <c r="D29" s="168"/>
      <c r="E29" s="157">
        <f>'Schedule 1 Adjustments'!I29</f>
        <v>740360.79917452182</v>
      </c>
      <c r="F29" s="157">
        <f>'Schedule 1 Adjustments'!L29</f>
        <v>1619129.4499606399</v>
      </c>
      <c r="G29" s="157">
        <f>'Schedule 1 Adjustments'!O29</f>
        <v>45363.036433531328</v>
      </c>
      <c r="H29" s="157">
        <f>'Schedule 1 Adjustments'!R29</f>
        <v>29993.194431306983</v>
      </c>
      <c r="I29" s="157">
        <f>'Schedule 1 Adjustments'!U29</f>
        <v>57231.519999999997</v>
      </c>
      <c r="J29" s="158">
        <f>SUM(E29:I29)</f>
        <v>2492078</v>
      </c>
      <c r="K29" s="128"/>
      <c r="M29" s="140"/>
    </row>
    <row r="30" spans="1:13" s="22" customFormat="1" x14ac:dyDescent="0.35">
      <c r="A30" s="155">
        <v>12</v>
      </c>
      <c r="B30" s="514" t="s">
        <v>300</v>
      </c>
      <c r="C30" s="517"/>
      <c r="D30" s="515"/>
      <c r="E30" s="157">
        <f>'Schedule 1 Adjustments'!I30</f>
        <v>244530.90215799955</v>
      </c>
      <c r="F30" s="157">
        <f>'Schedule 1 Adjustments'!L30</f>
        <v>191349.7</v>
      </c>
      <c r="G30" s="157">
        <f>'Schedule 1 Adjustments'!O30</f>
        <v>0</v>
      </c>
      <c r="H30" s="157">
        <f>'Schedule 1 Adjustments'!R30</f>
        <v>0</v>
      </c>
      <c r="I30" s="157">
        <f>'Schedule 1 Adjustments'!U30</f>
        <v>7632.3700000000008</v>
      </c>
      <c r="J30" s="158">
        <f t="shared" ref="J30" si="3">SUM(E30:I30)</f>
        <v>443512.97215799952</v>
      </c>
      <c r="M30" s="140"/>
    </row>
    <row r="31" spans="1:13" s="22" customFormat="1" x14ac:dyDescent="0.35">
      <c r="A31" s="155">
        <v>13</v>
      </c>
      <c r="B31" s="508" t="s">
        <v>225</v>
      </c>
      <c r="C31" s="516"/>
      <c r="D31" s="509"/>
      <c r="E31" s="160">
        <f>SUM(E28:E30)</f>
        <v>1415595.0322940699</v>
      </c>
      <c r="F31" s="160">
        <f>SUM(F28:F30)</f>
        <v>1810479.1499606399</v>
      </c>
      <c r="G31" s="160">
        <f>SUM(G28:G30)</f>
        <v>45363.036433531328</v>
      </c>
      <c r="H31" s="160">
        <f>SUM(H28:H30)</f>
        <v>29993.194431306983</v>
      </c>
      <c r="I31" s="160">
        <f>SUM(I28:I30)</f>
        <v>64863.89</v>
      </c>
      <c r="J31" s="160">
        <f>SUM(E31:I31)</f>
        <v>3366294.3031195481</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08" t="s">
        <v>228</v>
      </c>
      <c r="C33" s="516"/>
      <c r="D33" s="509"/>
      <c r="E33" s="160">
        <f>E31+E25+E21+E16</f>
        <v>4326069.2740559354</v>
      </c>
      <c r="F33" s="160">
        <f>F31+F25+F21+F16</f>
        <v>9541552.9343220908</v>
      </c>
      <c r="G33" s="160">
        <f>G31+G25+G21+G16</f>
        <v>214356.93402367301</v>
      </c>
      <c r="H33" s="160">
        <f>H31+H25+H21+H16</f>
        <v>142612.49846071203</v>
      </c>
      <c r="I33" s="160">
        <f>I31+I25+I21+I16</f>
        <v>283524.42857142852</v>
      </c>
      <c r="J33" s="160">
        <f t="shared" ref="J33" si="4">SUM(E33:I33)</f>
        <v>14508116.06943384</v>
      </c>
      <c r="M33" s="140"/>
    </row>
    <row r="34" spans="1:13" s="22" customFormat="1" x14ac:dyDescent="0.35">
      <c r="A34" s="161"/>
      <c r="B34" s="162"/>
      <c r="C34" s="162"/>
      <c r="D34" s="163"/>
      <c r="E34" s="164"/>
      <c r="F34" s="164"/>
      <c r="G34" s="164"/>
      <c r="H34" s="164"/>
      <c r="I34" s="164"/>
      <c r="J34" s="164"/>
      <c r="M34" s="140"/>
    </row>
    <row r="35" spans="1:13" s="22" customFormat="1" x14ac:dyDescent="0.35">
      <c r="A35" s="511" t="s">
        <v>234</v>
      </c>
      <c r="B35" s="512"/>
      <c r="C35" s="512"/>
      <c r="D35" s="512"/>
      <c r="E35" s="512"/>
      <c r="F35" s="512"/>
      <c r="G35" s="512"/>
      <c r="H35" s="512"/>
      <c r="I35" s="512"/>
      <c r="J35" s="513"/>
      <c r="M35" s="140"/>
    </row>
    <row r="36" spans="1:13" s="22" customFormat="1" x14ac:dyDescent="0.35">
      <c r="A36" s="155">
        <v>15</v>
      </c>
      <c r="B36" s="514" t="s">
        <v>292</v>
      </c>
      <c r="C36" s="517"/>
      <c r="D36" s="515"/>
      <c r="E36" s="157">
        <f>'Schedule 1 Adjustments'!I36</f>
        <v>0</v>
      </c>
      <c r="F36" s="157">
        <f>'Schedule 1 Adjustments'!L36</f>
        <v>119856</v>
      </c>
      <c r="G36" s="157">
        <f>'Schedule 1 Adjustments'!O36</f>
        <v>0</v>
      </c>
      <c r="H36" s="157">
        <f>'Schedule 1 Adjustments'!R36</f>
        <v>0</v>
      </c>
      <c r="I36" s="157">
        <f>'Schedule 1 Adjustments'!U36</f>
        <v>0</v>
      </c>
      <c r="J36" s="158">
        <f>SUM(E36:I36)</f>
        <v>119856</v>
      </c>
      <c r="M36" s="140"/>
    </row>
    <row r="37" spans="1:13" s="22" customFormat="1" x14ac:dyDescent="0.35">
      <c r="A37" s="155">
        <v>16</v>
      </c>
      <c r="B37" s="514" t="s">
        <v>227</v>
      </c>
      <c r="C37" s="517"/>
      <c r="D37" s="515"/>
      <c r="E37" s="157">
        <f>'Schedule 1 Adjustments'!I37</f>
        <v>1502602.0578140998</v>
      </c>
      <c r="F37" s="157">
        <f>'Schedule 1 Adjustments'!L37</f>
        <v>0</v>
      </c>
      <c r="G37" s="157">
        <f>'Schedule 1 Adjustments'!O37</f>
        <v>0</v>
      </c>
      <c r="H37" s="157">
        <f>'Schedule 1 Adjustments'!R37</f>
        <v>0</v>
      </c>
      <c r="I37" s="157">
        <f>'Schedule 1 Adjustments'!U37</f>
        <v>-446767</v>
      </c>
      <c r="J37" s="158">
        <f>SUM(E37:I37)</f>
        <v>1055835.0578140998</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3023779.28</v>
      </c>
      <c r="I38" s="157">
        <f>'Schedule 1 Adjustments'!U38</f>
        <v>1894134.9099999997</v>
      </c>
      <c r="J38" s="158">
        <f>SUM(E38:I38)</f>
        <v>4917914.1899999995</v>
      </c>
      <c r="K38" s="128"/>
    </row>
    <row r="39" spans="1:13" s="22" customFormat="1" x14ac:dyDescent="0.35">
      <c r="A39" s="155">
        <v>18</v>
      </c>
      <c r="B39" s="508" t="s">
        <v>226</v>
      </c>
      <c r="C39" s="516"/>
      <c r="D39" s="509"/>
      <c r="E39" s="160">
        <f>SUM(E36:E38)</f>
        <v>1502602.0578140998</v>
      </c>
      <c r="F39" s="160">
        <f t="shared" ref="F39:I39" si="5">SUM(F36:F38)</f>
        <v>119856</v>
      </c>
      <c r="G39" s="160">
        <f t="shared" si="5"/>
        <v>0</v>
      </c>
      <c r="H39" s="160">
        <f t="shared" si="5"/>
        <v>3023779.28</v>
      </c>
      <c r="I39" s="160">
        <f t="shared" si="5"/>
        <v>1447367.9099999997</v>
      </c>
      <c r="J39" s="160">
        <f>SUM(E39:I39)</f>
        <v>6093605.2478141002</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08" t="s">
        <v>229</v>
      </c>
      <c r="C41" s="516"/>
      <c r="D41" s="509"/>
      <c r="E41" s="160">
        <f>E39+E33</f>
        <v>5828671.3318700353</v>
      </c>
      <c r="F41" s="160">
        <f>F39+F33</f>
        <v>9661408.9343220908</v>
      </c>
      <c r="G41" s="160">
        <f>G39+G33</f>
        <v>214356.93402367301</v>
      </c>
      <c r="H41" s="160">
        <f>H39+H33</f>
        <v>3166391.7784607117</v>
      </c>
      <c r="I41" s="160">
        <f>I39+I33</f>
        <v>1730892.3385714283</v>
      </c>
      <c r="J41" s="160">
        <f>SUM(E41:I41)</f>
        <v>20601721.317247942</v>
      </c>
      <c r="M41" s="140"/>
    </row>
    <row r="42" spans="1:13" s="22" customFormat="1" x14ac:dyDescent="0.35">
      <c r="A42" s="161"/>
      <c r="B42" s="162"/>
      <c r="C42" s="162"/>
      <c r="D42" s="163"/>
      <c r="E42" s="164"/>
      <c r="F42" s="164"/>
      <c r="G42" s="164"/>
      <c r="H42" s="164"/>
      <c r="I42" s="164"/>
      <c r="J42" s="164"/>
      <c r="M42" s="140"/>
    </row>
    <row r="43" spans="1:13" s="22" customFormat="1" x14ac:dyDescent="0.35">
      <c r="A43" s="511" t="s">
        <v>487</v>
      </c>
      <c r="B43" s="512"/>
      <c r="C43" s="512"/>
      <c r="D43" s="512"/>
      <c r="E43" s="512"/>
      <c r="F43" s="512"/>
      <c r="G43" s="512"/>
      <c r="H43" s="512"/>
      <c r="I43" s="512"/>
      <c r="J43" s="513"/>
      <c r="M43" s="140"/>
    </row>
    <row r="44" spans="1:13" s="22" customFormat="1" x14ac:dyDescent="0.35">
      <c r="A44" s="155">
        <v>20</v>
      </c>
      <c r="B44" s="514" t="s">
        <v>283</v>
      </c>
      <c r="C44" s="517"/>
      <c r="D44" s="515"/>
      <c r="E44" s="157">
        <f>'Schedule 1 Adjustments'!I44</f>
        <v>42199.787067212703</v>
      </c>
      <c r="F44" s="157">
        <f>'Schedule 1 Adjustments'!L44</f>
        <v>53583</v>
      </c>
      <c r="G44" s="157">
        <f>'Schedule 1 Adjustments'!O44</f>
        <v>0</v>
      </c>
      <c r="H44" s="157">
        <f>'Schedule 1 Adjustments'!R44</f>
        <v>0</v>
      </c>
      <c r="I44" s="157">
        <f>'Schedule 1 Adjustments'!U44</f>
        <v>0</v>
      </c>
      <c r="J44" s="158">
        <f>SUM(E44:I44)</f>
        <v>95782.787067212703</v>
      </c>
      <c r="M44" s="140"/>
    </row>
    <row r="45" spans="1:13" s="22" customFormat="1" x14ac:dyDescent="0.35">
      <c r="A45" s="155">
        <v>21</v>
      </c>
      <c r="B45" s="514" t="s">
        <v>230</v>
      </c>
      <c r="C45" s="517"/>
      <c r="D45" s="515"/>
      <c r="E45" s="157">
        <f>'Schedule 1 Adjustments'!I45</f>
        <v>0</v>
      </c>
      <c r="F45" s="157">
        <f>'Schedule 1 Adjustments'!L45</f>
        <v>0</v>
      </c>
      <c r="G45" s="157">
        <f>'Schedule 1 Adjustments'!O45</f>
        <v>0</v>
      </c>
      <c r="H45" s="157">
        <f>'Schedule 1 Adjustments'!R45</f>
        <v>0</v>
      </c>
      <c r="I45" s="157">
        <f>'Schedule 1 Adjustments'!U45</f>
        <v>0</v>
      </c>
      <c r="J45" s="158">
        <f t="shared" ref="J45:J50" si="6">SUM(E45:I45)</f>
        <v>0</v>
      </c>
      <c r="M45" s="140"/>
    </row>
    <row r="46" spans="1:13" s="22" customFormat="1" x14ac:dyDescent="0.35">
      <c r="A46" s="155">
        <v>22</v>
      </c>
      <c r="B46" s="514" t="s">
        <v>288</v>
      </c>
      <c r="C46" s="517"/>
      <c r="D46" s="515"/>
      <c r="E46" s="157">
        <f>'Schedule 1 Adjustments'!I46</f>
        <v>0</v>
      </c>
      <c r="F46" s="157">
        <f>'Schedule 1 Adjustments'!L46</f>
        <v>0</v>
      </c>
      <c r="G46" s="157">
        <f>'Schedule 1 Adjustments'!O46</f>
        <v>0</v>
      </c>
      <c r="H46" s="157">
        <f>'Schedule 1 Adjustments'!R46</f>
        <v>0</v>
      </c>
      <c r="I46" s="157">
        <f>'Schedule 1 Adjustments'!U46</f>
        <v>0</v>
      </c>
      <c r="J46" s="158">
        <f t="shared" si="6"/>
        <v>0</v>
      </c>
      <c r="M46" s="140"/>
    </row>
    <row r="47" spans="1:13" s="22" customFormat="1" x14ac:dyDescent="0.35">
      <c r="A47" s="155">
        <v>23</v>
      </c>
      <c r="B47" s="514" t="s">
        <v>284</v>
      </c>
      <c r="C47" s="517"/>
      <c r="D47" s="515"/>
      <c r="E47" s="157">
        <f>'Schedule 1 Adjustments'!I47</f>
        <v>220.72</v>
      </c>
      <c r="F47" s="157">
        <f>'Schedule 1 Adjustments'!L47</f>
        <v>0</v>
      </c>
      <c r="G47" s="157">
        <f>'Schedule 1 Adjustments'!O47</f>
        <v>0</v>
      </c>
      <c r="H47" s="157">
        <f>'Schedule 1 Adjustments'!R47</f>
        <v>0</v>
      </c>
      <c r="I47" s="157">
        <f>'Schedule 1 Adjustments'!U47</f>
        <v>0</v>
      </c>
      <c r="J47" s="158">
        <f t="shared" si="6"/>
        <v>220.72</v>
      </c>
      <c r="M47" s="140"/>
    </row>
    <row r="48" spans="1:13" s="22" customFormat="1" x14ac:dyDescent="0.35">
      <c r="A48" s="155">
        <v>24</v>
      </c>
      <c r="B48" s="514" t="s">
        <v>314</v>
      </c>
      <c r="C48" s="517"/>
      <c r="D48" s="515"/>
      <c r="E48" s="157">
        <f>'Schedule 1 Adjustments'!I48</f>
        <v>0</v>
      </c>
      <c r="F48" s="157">
        <f>'Schedule 1 Adjustments'!L48</f>
        <v>0</v>
      </c>
      <c r="G48" s="157">
        <f>'Schedule 1 Adjustments'!O48</f>
        <v>0</v>
      </c>
      <c r="H48" s="157">
        <f>'Schedule 1 Adjustments'!R48</f>
        <v>0</v>
      </c>
      <c r="I48" s="157">
        <f>'Schedule 1 Adjustments'!U48</f>
        <v>0</v>
      </c>
      <c r="J48" s="158">
        <f t="shared" si="6"/>
        <v>0</v>
      </c>
      <c r="M48" s="140"/>
    </row>
    <row r="49" spans="1:13" s="22" customFormat="1" x14ac:dyDescent="0.35">
      <c r="A49" s="155">
        <v>25</v>
      </c>
      <c r="B49" s="514" t="s">
        <v>775</v>
      </c>
      <c r="C49" s="517"/>
      <c r="D49" s="515"/>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514" t="s">
        <v>452</v>
      </c>
      <c r="C50" s="517"/>
      <c r="D50" s="515"/>
      <c r="E50" s="157">
        <f>'Schedule 1 Adjustments'!I50</f>
        <v>0</v>
      </c>
      <c r="F50" s="157">
        <f>'Schedule 1 Adjustments'!L50</f>
        <v>274069.64</v>
      </c>
      <c r="G50" s="157">
        <f>'Schedule 1 Adjustments'!O50</f>
        <v>0</v>
      </c>
      <c r="H50" s="157">
        <f>'Schedule 1 Adjustments'!R50</f>
        <v>0</v>
      </c>
      <c r="I50" s="157">
        <f>'Schedule 1 Adjustments'!U50</f>
        <v>1752</v>
      </c>
      <c r="J50" s="158">
        <f t="shared" si="6"/>
        <v>275821.64</v>
      </c>
      <c r="M50" s="140"/>
    </row>
    <row r="51" spans="1:13" s="22" customFormat="1" x14ac:dyDescent="0.35">
      <c r="A51" s="155">
        <v>27</v>
      </c>
      <c r="B51" s="508" t="s">
        <v>238</v>
      </c>
      <c r="C51" s="516"/>
      <c r="D51" s="509"/>
      <c r="E51" s="160">
        <f>SUM(E44:E50)</f>
        <v>42420.507067212704</v>
      </c>
      <c r="F51" s="160">
        <f>SUM(F44:F50)</f>
        <v>327652.64</v>
      </c>
      <c r="G51" s="160">
        <f>SUM(G44:G50)</f>
        <v>0</v>
      </c>
      <c r="H51" s="160">
        <f>SUM(H44:H50)</f>
        <v>0</v>
      </c>
      <c r="I51" s="160">
        <f>SUM(I44:I50)</f>
        <v>1752</v>
      </c>
      <c r="J51" s="160">
        <f>SUM(E51:I51)</f>
        <v>371825.14706721273</v>
      </c>
      <c r="M51" s="140"/>
    </row>
    <row r="52" spans="1:13" s="22" customFormat="1" x14ac:dyDescent="0.35">
      <c r="A52" s="161"/>
      <c r="B52" s="518"/>
      <c r="C52" s="518"/>
      <c r="D52" s="518"/>
      <c r="E52" s="518"/>
      <c r="F52" s="518"/>
      <c r="G52" s="518"/>
      <c r="H52" s="164"/>
      <c r="I52" s="164"/>
      <c r="J52" s="164"/>
      <c r="M52" s="140"/>
    </row>
    <row r="53" spans="1:13" s="22" customFormat="1" x14ac:dyDescent="0.35">
      <c r="A53" s="511" t="s">
        <v>233</v>
      </c>
      <c r="B53" s="512"/>
      <c r="C53" s="512"/>
      <c r="D53" s="512"/>
      <c r="E53" s="512"/>
      <c r="F53" s="512"/>
      <c r="G53" s="512"/>
      <c r="H53" s="512"/>
      <c r="I53" s="512"/>
      <c r="J53" s="513"/>
      <c r="M53" s="140"/>
    </row>
    <row r="54" spans="1:13" s="22" customFormat="1" x14ac:dyDescent="0.35">
      <c r="A54" s="155">
        <v>28</v>
      </c>
      <c r="B54" s="514" t="s">
        <v>282</v>
      </c>
      <c r="C54" s="517"/>
      <c r="D54" s="515"/>
      <c r="E54" s="157">
        <f>'Schedule 1 Adjustments'!I54</f>
        <v>67543.7</v>
      </c>
      <c r="F54" s="157">
        <f>'Schedule 1 Adjustments'!L54</f>
        <v>172956.81</v>
      </c>
      <c r="G54" s="157">
        <f>'Schedule 1 Adjustments'!O54</f>
        <v>0</v>
      </c>
      <c r="H54" s="157">
        <f>'Schedule 1 Adjustments'!R54</f>
        <v>0</v>
      </c>
      <c r="I54" s="157">
        <f>'Schedule 1 Adjustments'!U54</f>
        <v>4935.41</v>
      </c>
      <c r="J54" s="158">
        <f>SUM(E54:I54)</f>
        <v>245435.92</v>
      </c>
      <c r="M54" s="140"/>
    </row>
    <row r="55" spans="1:13" s="22" customFormat="1" x14ac:dyDescent="0.35">
      <c r="A55" s="155">
        <v>29</v>
      </c>
      <c r="B55" s="514" t="s">
        <v>294</v>
      </c>
      <c r="C55" s="517"/>
      <c r="D55" s="515"/>
      <c r="E55" s="157">
        <f>'Schedule 1 Adjustments'!I55</f>
        <v>59999.789999999979</v>
      </c>
      <c r="F55" s="157">
        <f>'Schedule 1 Adjustments'!L55</f>
        <v>67715.900000000009</v>
      </c>
      <c r="G55" s="157">
        <f>'Schedule 1 Adjustments'!O55</f>
        <v>0</v>
      </c>
      <c r="H55" s="157">
        <f>'Schedule 1 Adjustments'!R55</f>
        <v>0</v>
      </c>
      <c r="I55" s="157">
        <f>'Schedule 1 Adjustments'!U55</f>
        <v>0</v>
      </c>
      <c r="J55" s="158">
        <f>SUM(E55:I55)</f>
        <v>127715.68999999999</v>
      </c>
      <c r="M55" s="140"/>
    </row>
    <row r="56" spans="1:13" s="22" customFormat="1" x14ac:dyDescent="0.35">
      <c r="A56" s="155">
        <v>30</v>
      </c>
      <c r="B56" s="514" t="s">
        <v>295</v>
      </c>
      <c r="C56" s="517"/>
      <c r="D56" s="515"/>
      <c r="E56" s="157">
        <f>'Schedule 1 Adjustments'!I56</f>
        <v>34845.089999999997</v>
      </c>
      <c r="F56" s="157">
        <f>'Schedule 1 Adjustments'!L56</f>
        <v>15497</v>
      </c>
      <c r="G56" s="157">
        <f>'Schedule 1 Adjustments'!O56</f>
        <v>300</v>
      </c>
      <c r="H56" s="157">
        <f>'Schedule 1 Adjustments'!R56</f>
        <v>0</v>
      </c>
      <c r="I56" s="157">
        <f>'Schedule 1 Adjustments'!U56</f>
        <v>0</v>
      </c>
      <c r="J56" s="158">
        <f t="shared" ref="J56:J58" si="8">SUM(E56:I56)</f>
        <v>50642.09</v>
      </c>
      <c r="M56" s="140"/>
    </row>
    <row r="57" spans="1:13" s="22" customFormat="1" x14ac:dyDescent="0.35">
      <c r="A57" s="155">
        <v>31</v>
      </c>
      <c r="B57" s="514" t="s">
        <v>296</v>
      </c>
      <c r="C57" s="517"/>
      <c r="D57" s="515"/>
      <c r="E57" s="157">
        <f>'Schedule 1 Adjustments'!I57</f>
        <v>1211127.2994906174</v>
      </c>
      <c r="F57" s="157">
        <f>'Schedule 1 Adjustments'!L57</f>
        <v>0</v>
      </c>
      <c r="G57" s="157">
        <f>'Schedule 1 Adjustments'!O57</f>
        <v>0</v>
      </c>
      <c r="H57" s="157">
        <f>'Schedule 1 Adjustments'!R57</f>
        <v>0</v>
      </c>
      <c r="I57" s="157">
        <f>'Schedule 1 Adjustments'!U57</f>
        <v>1240</v>
      </c>
      <c r="J57" s="158">
        <f t="shared" si="8"/>
        <v>1212367.2994906174</v>
      </c>
      <c r="M57" s="140"/>
    </row>
    <row r="58" spans="1:13" s="22" customFormat="1" x14ac:dyDescent="0.35">
      <c r="A58" s="155">
        <v>32</v>
      </c>
      <c r="B58" s="508" t="s">
        <v>231</v>
      </c>
      <c r="C58" s="516"/>
      <c r="D58" s="509"/>
      <c r="E58" s="160">
        <f>SUM(E54:E57)</f>
        <v>1373515.8794906172</v>
      </c>
      <c r="F58" s="160">
        <f>SUM(F54:F57)</f>
        <v>256169.71000000002</v>
      </c>
      <c r="G58" s="160">
        <f>SUM(G54:G57)</f>
        <v>300</v>
      </c>
      <c r="H58" s="160">
        <f>SUM(H54:H57)</f>
        <v>0</v>
      </c>
      <c r="I58" s="160">
        <f>SUM(I54:I57)</f>
        <v>6175.41</v>
      </c>
      <c r="J58" s="160">
        <f t="shared" si="8"/>
        <v>1636160.9994906171</v>
      </c>
      <c r="M58" s="140"/>
    </row>
    <row r="59" spans="1:13" s="22" customFormat="1" x14ac:dyDescent="0.35">
      <c r="A59" s="161"/>
      <c r="B59" s="162"/>
      <c r="C59" s="162"/>
      <c r="D59" s="163"/>
      <c r="E59" s="164"/>
      <c r="F59" s="164"/>
      <c r="G59" s="164"/>
      <c r="H59" s="164"/>
      <c r="I59" s="164"/>
      <c r="J59" s="164"/>
      <c r="M59" s="140"/>
    </row>
    <row r="60" spans="1:13" s="22" customFormat="1" x14ac:dyDescent="0.35">
      <c r="A60" s="511" t="s">
        <v>232</v>
      </c>
      <c r="B60" s="512"/>
      <c r="C60" s="512"/>
      <c r="D60" s="512"/>
      <c r="E60" s="512"/>
      <c r="F60" s="512"/>
      <c r="G60" s="512"/>
      <c r="H60" s="512"/>
      <c r="I60" s="512"/>
      <c r="J60" s="513"/>
      <c r="M60" s="140"/>
    </row>
    <row r="61" spans="1:13" s="22" customFormat="1" x14ac:dyDescent="0.35">
      <c r="A61" s="155">
        <v>33</v>
      </c>
      <c r="B61" s="514" t="s">
        <v>297</v>
      </c>
      <c r="C61" s="517"/>
      <c r="D61" s="515"/>
      <c r="E61" s="157">
        <f>'Schedule 1 Adjustments'!I61</f>
        <v>36383</v>
      </c>
      <c r="F61" s="157">
        <f>'Schedule 1 Adjustments'!L61</f>
        <v>0</v>
      </c>
      <c r="G61" s="157">
        <f>'Schedule 1 Adjustments'!O61</f>
        <v>0</v>
      </c>
      <c r="H61" s="157">
        <f>'Schedule 1 Adjustments'!R61</f>
        <v>0</v>
      </c>
      <c r="I61" s="157">
        <f>'Schedule 1 Adjustments'!U61</f>
        <v>-2706.5899999999992</v>
      </c>
      <c r="J61" s="158">
        <f>SUM(E61:I61)</f>
        <v>33676.410000000003</v>
      </c>
      <c r="M61" s="140"/>
    </row>
    <row r="62" spans="1:13" s="22" customFormat="1" x14ac:dyDescent="0.35">
      <c r="A62" s="155">
        <v>34</v>
      </c>
      <c r="B62" s="514" t="s">
        <v>298</v>
      </c>
      <c r="C62" s="517"/>
      <c r="D62" s="515"/>
      <c r="E62" s="157">
        <f>'Schedule 1 Adjustments'!I62</f>
        <v>457298.95999999996</v>
      </c>
      <c r="F62" s="157">
        <f>'Schedule 1 Adjustments'!L62</f>
        <v>0</v>
      </c>
      <c r="G62" s="157">
        <f>'Schedule 1 Adjustments'!O62</f>
        <v>0</v>
      </c>
      <c r="H62" s="157">
        <f>'Schedule 1 Adjustments'!R62</f>
        <v>0</v>
      </c>
      <c r="I62" s="157">
        <f>'Schedule 1 Adjustments'!U62</f>
        <v>0</v>
      </c>
      <c r="J62" s="158">
        <f t="shared" ref="J62:J68" si="9">SUM(E62:I62)</f>
        <v>457298.95999999996</v>
      </c>
      <c r="M62" s="140"/>
    </row>
    <row r="63" spans="1:13" s="22" customFormat="1" x14ac:dyDescent="0.35">
      <c r="A63" s="155">
        <v>35</v>
      </c>
      <c r="B63" s="514" t="s">
        <v>302</v>
      </c>
      <c r="C63" s="517"/>
      <c r="D63" s="515"/>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514" t="s">
        <v>315</v>
      </c>
      <c r="C64" s="517"/>
      <c r="D64" s="515"/>
      <c r="E64" s="157">
        <f>'Schedule 1 Adjustments'!I64</f>
        <v>67523.430000000008</v>
      </c>
      <c r="F64" s="157">
        <f>'Schedule 1 Adjustments'!L64</f>
        <v>0</v>
      </c>
      <c r="G64" s="157">
        <f>'Schedule 1 Adjustments'!O64</f>
        <v>0</v>
      </c>
      <c r="H64" s="157">
        <f>'Schedule 1 Adjustments'!R64</f>
        <v>0</v>
      </c>
      <c r="I64" s="157">
        <f>'Schedule 1 Adjustments'!U64</f>
        <v>0</v>
      </c>
      <c r="J64" s="158">
        <f t="shared" si="9"/>
        <v>67523.430000000008</v>
      </c>
      <c r="M64" s="140"/>
    </row>
    <row r="65" spans="1:13" s="22" customFormat="1" x14ac:dyDescent="0.35">
      <c r="A65" s="155">
        <v>37</v>
      </c>
      <c r="B65" s="514" t="s">
        <v>316</v>
      </c>
      <c r="C65" s="517"/>
      <c r="D65" s="515"/>
      <c r="E65" s="157">
        <f>'Schedule 1 Adjustments'!I65</f>
        <v>257359.28389489237</v>
      </c>
      <c r="F65" s="157">
        <f>'Schedule 1 Adjustments'!L65</f>
        <v>0</v>
      </c>
      <c r="G65" s="157">
        <f>'Schedule 1 Adjustments'!O65</f>
        <v>0</v>
      </c>
      <c r="H65" s="157">
        <f>'Schedule 1 Adjustments'!R65</f>
        <v>0</v>
      </c>
      <c r="I65" s="157">
        <f>'Schedule 1 Adjustments'!U65</f>
        <v>0</v>
      </c>
      <c r="J65" s="158">
        <f t="shared" si="9"/>
        <v>257359.28389489237</v>
      </c>
      <c r="M65" s="140"/>
    </row>
    <row r="66" spans="1:13" s="22" customFormat="1" x14ac:dyDescent="0.35">
      <c r="A66" s="155">
        <v>38</v>
      </c>
      <c r="B66" s="514" t="s">
        <v>317</v>
      </c>
      <c r="C66" s="517"/>
      <c r="D66" s="515"/>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514" t="s">
        <v>299</v>
      </c>
      <c r="C67" s="517"/>
      <c r="D67" s="515"/>
      <c r="E67" s="157">
        <f>'Schedule 1 Adjustments'!I67</f>
        <v>510084.90697667468</v>
      </c>
      <c r="F67" s="157">
        <f>'Schedule 1 Adjustments'!L67</f>
        <v>0</v>
      </c>
      <c r="G67" s="157">
        <f>'Schedule 1 Adjustments'!O67</f>
        <v>0</v>
      </c>
      <c r="H67" s="157">
        <f>'Schedule 1 Adjustments'!R67</f>
        <v>0</v>
      </c>
      <c r="I67" s="157">
        <f>'Schedule 1 Adjustments'!U67</f>
        <v>0</v>
      </c>
      <c r="J67" s="158">
        <f t="shared" si="9"/>
        <v>510084.90697667468</v>
      </c>
      <c r="M67" s="140"/>
    </row>
    <row r="68" spans="1:13" s="22" customFormat="1" x14ac:dyDescent="0.35">
      <c r="A68" s="155">
        <v>40</v>
      </c>
      <c r="B68" s="508" t="s">
        <v>237</v>
      </c>
      <c r="C68" s="516"/>
      <c r="D68" s="509"/>
      <c r="E68" s="160">
        <f>SUM(E61:E67)</f>
        <v>1328649.5808715671</v>
      </c>
      <c r="F68" s="160">
        <f>SUM(F61:F67)</f>
        <v>0</v>
      </c>
      <c r="G68" s="160">
        <f>SUM(G61:G67)</f>
        <v>0</v>
      </c>
      <c r="H68" s="160">
        <f>SUM(H61:H67)</f>
        <v>0</v>
      </c>
      <c r="I68" s="160">
        <f>SUM(I61:I67)</f>
        <v>-2706.5899999999992</v>
      </c>
      <c r="J68" s="160">
        <f t="shared" si="9"/>
        <v>1325942.990871567</v>
      </c>
      <c r="M68" s="140"/>
    </row>
    <row r="69" spans="1:13" s="22" customFormat="1" x14ac:dyDescent="0.35">
      <c r="A69" s="161"/>
      <c r="B69" s="162"/>
      <c r="C69" s="162"/>
      <c r="D69" s="163"/>
      <c r="E69" s="164"/>
      <c r="F69" s="164"/>
      <c r="G69" s="164"/>
      <c r="H69" s="164"/>
      <c r="I69" s="164"/>
      <c r="J69" s="164"/>
      <c r="M69" s="140"/>
    </row>
    <row r="70" spans="1:13" s="22" customFormat="1" x14ac:dyDescent="0.35">
      <c r="A70" s="511" t="s">
        <v>236</v>
      </c>
      <c r="B70" s="512"/>
      <c r="C70" s="512"/>
      <c r="D70" s="512"/>
      <c r="E70" s="512"/>
      <c r="F70" s="512"/>
      <c r="G70" s="512"/>
      <c r="H70" s="512"/>
      <c r="I70" s="512"/>
      <c r="J70" s="513"/>
      <c r="M70" s="140"/>
    </row>
    <row r="71" spans="1:13" s="22" customFormat="1" x14ac:dyDescent="0.35">
      <c r="A71" s="155">
        <v>41</v>
      </c>
      <c r="B71" s="514" t="s">
        <v>239</v>
      </c>
      <c r="C71" s="517"/>
      <c r="D71" s="515"/>
      <c r="E71" s="157">
        <f>'Schedule 1 Adjustments'!I71</f>
        <v>26464.42</v>
      </c>
      <c r="F71" s="157">
        <f>'Schedule 1 Adjustments'!L71</f>
        <v>0</v>
      </c>
      <c r="G71" s="157">
        <f>'Schedule 1 Adjustments'!O71</f>
        <v>0</v>
      </c>
      <c r="H71" s="157">
        <f>'Schedule 1 Adjustments'!R71</f>
        <v>0</v>
      </c>
      <c r="I71" s="157">
        <f>'Schedule 1 Adjustments'!U71</f>
        <v>525</v>
      </c>
      <c r="J71" s="158">
        <f t="shared" ref="J71:J74" si="10">SUM(E71:I71)</f>
        <v>26989.42</v>
      </c>
      <c r="M71" s="140"/>
    </row>
    <row r="72" spans="1:13" s="22" customFormat="1" x14ac:dyDescent="0.35">
      <c r="A72" s="155">
        <v>42</v>
      </c>
      <c r="B72" s="514" t="s">
        <v>289</v>
      </c>
      <c r="C72" s="517"/>
      <c r="D72" s="515"/>
      <c r="E72" s="157">
        <f>'Schedule 1 Adjustments'!I72</f>
        <v>101452.76</v>
      </c>
      <c r="F72" s="157">
        <f>'Schedule 1 Adjustments'!L72</f>
        <v>620</v>
      </c>
      <c r="G72" s="157">
        <f>'Schedule 1 Adjustments'!O72</f>
        <v>0</v>
      </c>
      <c r="H72" s="157">
        <f>'Schedule 1 Adjustments'!R72</f>
        <v>0</v>
      </c>
      <c r="I72" s="157">
        <f>'Schedule 1 Adjustments'!U72</f>
        <v>35138.410000000003</v>
      </c>
      <c r="J72" s="158">
        <f t="shared" si="10"/>
        <v>137211.16999999998</v>
      </c>
      <c r="M72" s="140"/>
    </row>
    <row r="73" spans="1:13" s="22" customFormat="1" x14ac:dyDescent="0.35">
      <c r="A73" s="155">
        <v>43</v>
      </c>
      <c r="B73" s="514" t="s">
        <v>240</v>
      </c>
      <c r="C73" s="517"/>
      <c r="D73" s="515"/>
      <c r="E73" s="157">
        <f>'Schedule 1 Adjustments'!I73</f>
        <v>27416.029316782806</v>
      </c>
      <c r="F73" s="157">
        <f>'Schedule 1 Adjustments'!L73</f>
        <v>0</v>
      </c>
      <c r="G73" s="157">
        <f>'Schedule 1 Adjustments'!O73</f>
        <v>0</v>
      </c>
      <c r="H73" s="157">
        <f>'Schedule 1 Adjustments'!R73</f>
        <v>0</v>
      </c>
      <c r="I73" s="157">
        <f>'Schedule 1 Adjustments'!U73</f>
        <v>281627</v>
      </c>
      <c r="J73" s="158">
        <f t="shared" si="10"/>
        <v>309043.02931678283</v>
      </c>
      <c r="M73" s="140"/>
    </row>
    <row r="74" spans="1:13" s="22" customFormat="1" x14ac:dyDescent="0.35">
      <c r="A74" s="155">
        <v>44</v>
      </c>
      <c r="B74" s="514" t="s">
        <v>308</v>
      </c>
      <c r="C74" s="517"/>
      <c r="D74" s="515"/>
      <c r="E74" s="157">
        <f>'Schedule 1 Adjustments'!I74</f>
        <v>8209</v>
      </c>
      <c r="F74" s="157">
        <f>'Schedule 1 Adjustments'!L74</f>
        <v>0</v>
      </c>
      <c r="G74" s="157">
        <f>'Schedule 1 Adjustments'!O74</f>
        <v>0</v>
      </c>
      <c r="H74" s="157">
        <f>'Schedule 1 Adjustments'!R74</f>
        <v>0</v>
      </c>
      <c r="I74" s="157">
        <f>'Schedule 1 Adjustments'!U74</f>
        <v>0</v>
      </c>
      <c r="J74" s="158">
        <f t="shared" si="10"/>
        <v>8209</v>
      </c>
      <c r="M74" s="140"/>
    </row>
    <row r="75" spans="1:13" s="22" customFormat="1" x14ac:dyDescent="0.35">
      <c r="A75" s="155">
        <v>45</v>
      </c>
      <c r="B75" s="514" t="s">
        <v>286</v>
      </c>
      <c r="C75" s="517"/>
      <c r="D75" s="515"/>
      <c r="E75" s="157">
        <f>'Schedule 1 Adjustments'!I75</f>
        <v>2256</v>
      </c>
      <c r="F75" s="157">
        <f>'Schedule 1 Adjustments'!L75</f>
        <v>0</v>
      </c>
      <c r="G75" s="157">
        <f>'Schedule 1 Adjustments'!O75</f>
        <v>0</v>
      </c>
      <c r="H75" s="157">
        <f>'Schedule 1 Adjustments'!R75</f>
        <v>0</v>
      </c>
      <c r="I75" s="157">
        <f>'Schedule 1 Adjustments'!U75</f>
        <v>54029.58</v>
      </c>
      <c r="J75" s="158">
        <f>SUM(E75:I75)</f>
        <v>56285.58</v>
      </c>
      <c r="M75" s="140"/>
    </row>
    <row r="76" spans="1:13" s="22" customFormat="1" x14ac:dyDescent="0.35">
      <c r="A76" s="155">
        <v>46</v>
      </c>
      <c r="B76" s="514" t="s">
        <v>287</v>
      </c>
      <c r="C76" s="517"/>
      <c r="D76" s="515"/>
      <c r="E76" s="157">
        <f>'Schedule 1 Adjustments'!I76</f>
        <v>292132.23000000027</v>
      </c>
      <c r="F76" s="157">
        <f>'Schedule 1 Adjustments'!L76</f>
        <v>879082.2</v>
      </c>
      <c r="G76" s="157">
        <f>'Schedule 1 Adjustments'!O76</f>
        <v>0</v>
      </c>
      <c r="H76" s="157">
        <f>'Schedule 1 Adjustments'!R76</f>
        <v>0</v>
      </c>
      <c r="I76" s="157">
        <f>'Schedule 1 Adjustments'!U76</f>
        <v>341435.62</v>
      </c>
      <c r="J76" s="158">
        <f t="shared" ref="J76:J79" si="11">SUM(E76:I76)</f>
        <v>1512650.0500000003</v>
      </c>
      <c r="M76" s="140"/>
    </row>
    <row r="77" spans="1:13" s="22" customFormat="1" x14ac:dyDescent="0.35">
      <c r="A77" s="155">
        <v>47</v>
      </c>
      <c r="B77" s="514" t="s">
        <v>318</v>
      </c>
      <c r="C77" s="517"/>
      <c r="D77" s="515"/>
      <c r="E77" s="157">
        <f>'Schedule 1 Adjustments'!I77</f>
        <v>432423.92889299407</v>
      </c>
      <c r="F77" s="157">
        <f>'Schedule 1 Adjustments'!L77</f>
        <v>0</v>
      </c>
      <c r="G77" s="157">
        <f>'Schedule 1 Adjustments'!O77</f>
        <v>0</v>
      </c>
      <c r="H77" s="157">
        <f>'Schedule 1 Adjustments'!R77</f>
        <v>0</v>
      </c>
      <c r="I77" s="157">
        <f>'Schedule 1 Adjustments'!U77</f>
        <v>0</v>
      </c>
      <c r="J77" s="158">
        <f t="shared" si="11"/>
        <v>432423.92889299407</v>
      </c>
      <c r="M77" s="140"/>
    </row>
    <row r="78" spans="1:13" s="22" customFormat="1" x14ac:dyDescent="0.35">
      <c r="A78" s="155">
        <v>48</v>
      </c>
      <c r="B78" s="514" t="s">
        <v>285</v>
      </c>
      <c r="C78" s="517"/>
      <c r="D78" s="515"/>
      <c r="E78" s="157">
        <f>'Schedule 1 Adjustments'!I78</f>
        <v>109801.567</v>
      </c>
      <c r="F78" s="157">
        <f>'Schedule 1 Adjustments'!L78</f>
        <v>25798.959999999999</v>
      </c>
      <c r="G78" s="157">
        <f>'Schedule 1 Adjustments'!O78</f>
        <v>0</v>
      </c>
      <c r="H78" s="157">
        <f>'Schedule 1 Adjustments'!R78</f>
        <v>0</v>
      </c>
      <c r="I78" s="157">
        <f>'Schedule 1 Adjustments'!U78</f>
        <v>2121.9030000000002</v>
      </c>
      <c r="J78" s="158">
        <f t="shared" si="11"/>
        <v>137722.43</v>
      </c>
      <c r="M78" s="140"/>
    </row>
    <row r="79" spans="1:13" s="22" customFormat="1" x14ac:dyDescent="0.35">
      <c r="A79" s="155">
        <v>49</v>
      </c>
      <c r="B79" s="508" t="s">
        <v>279</v>
      </c>
      <c r="C79" s="516"/>
      <c r="D79" s="509"/>
      <c r="E79" s="160">
        <f>SUM(E71:E78)</f>
        <v>1000155.9352097772</v>
      </c>
      <c r="F79" s="160">
        <f t="shared" ref="F79:I79" si="12">SUM(F71:F78)</f>
        <v>905501.15999999992</v>
      </c>
      <c r="G79" s="160">
        <f t="shared" si="12"/>
        <v>0</v>
      </c>
      <c r="H79" s="160">
        <f t="shared" si="12"/>
        <v>0</v>
      </c>
      <c r="I79" s="160">
        <f t="shared" si="12"/>
        <v>714877.51300000015</v>
      </c>
      <c r="J79" s="160">
        <f t="shared" si="11"/>
        <v>2620534.6082097772</v>
      </c>
      <c r="M79" s="140"/>
    </row>
    <row r="80" spans="1:13" s="22" customFormat="1" x14ac:dyDescent="0.35">
      <c r="A80" s="161"/>
      <c r="B80" s="162"/>
      <c r="C80" s="162"/>
      <c r="D80" s="163"/>
      <c r="E80" s="164"/>
      <c r="F80" s="164"/>
      <c r="G80" s="164"/>
      <c r="H80" s="164"/>
      <c r="I80" s="164"/>
      <c r="J80" s="164"/>
      <c r="M80" s="140"/>
    </row>
    <row r="81" spans="1:13" s="22" customFormat="1" x14ac:dyDescent="0.35">
      <c r="A81" s="511" t="s">
        <v>303</v>
      </c>
      <c r="B81" s="512"/>
      <c r="C81" s="512"/>
      <c r="D81" s="512"/>
      <c r="E81" s="512"/>
      <c r="F81" s="512"/>
      <c r="G81" s="512"/>
      <c r="H81" s="512"/>
      <c r="I81" s="512"/>
      <c r="J81" s="513"/>
      <c r="M81" s="140"/>
    </row>
    <row r="82" spans="1:13" s="22" customFormat="1" x14ac:dyDescent="0.35">
      <c r="A82" s="155">
        <v>50</v>
      </c>
      <c r="B82" s="514" t="s">
        <v>304</v>
      </c>
      <c r="C82" s="517"/>
      <c r="D82" s="515"/>
      <c r="E82" s="98"/>
      <c r="F82" s="98"/>
      <c r="G82" s="98"/>
      <c r="H82" s="98"/>
      <c r="I82" s="157">
        <f>'Schedule 1 Adjustments'!U82</f>
        <v>1</v>
      </c>
      <c r="J82" s="158">
        <f>I82</f>
        <v>1</v>
      </c>
      <c r="M82" s="140"/>
    </row>
    <row r="83" spans="1:13" s="22" customFormat="1" x14ac:dyDescent="0.35">
      <c r="A83" s="155">
        <v>51</v>
      </c>
      <c r="B83" s="514" t="s">
        <v>309</v>
      </c>
      <c r="C83" s="517"/>
      <c r="D83" s="515"/>
      <c r="E83" s="98"/>
      <c r="F83" s="98"/>
      <c r="G83" s="98"/>
      <c r="H83" s="98"/>
      <c r="I83" s="157">
        <f>'Schedule 1 Adjustments'!U83</f>
        <v>0</v>
      </c>
      <c r="J83" s="158">
        <f>I83</f>
        <v>0</v>
      </c>
      <c r="M83" s="140"/>
    </row>
    <row r="84" spans="1:13" s="22" customFormat="1" x14ac:dyDescent="0.35">
      <c r="A84" s="155">
        <v>52</v>
      </c>
      <c r="B84" s="514" t="s">
        <v>310</v>
      </c>
      <c r="C84" s="517"/>
      <c r="D84" s="515"/>
      <c r="E84" s="98"/>
      <c r="F84" s="98"/>
      <c r="G84" s="98"/>
      <c r="H84" s="98"/>
      <c r="I84" s="157">
        <f>'Schedule 1 Adjustments'!U84</f>
        <v>0</v>
      </c>
      <c r="J84" s="158">
        <f t="shared" ref="J84:J85" si="13">I84</f>
        <v>0</v>
      </c>
      <c r="M84" s="140"/>
    </row>
    <row r="85" spans="1:13" s="22" customFormat="1" x14ac:dyDescent="0.35">
      <c r="A85" s="155">
        <v>53</v>
      </c>
      <c r="B85" s="514" t="s">
        <v>305</v>
      </c>
      <c r="C85" s="517"/>
      <c r="D85" s="515"/>
      <c r="E85" s="98"/>
      <c r="F85" s="98"/>
      <c r="G85" s="98"/>
      <c r="H85" s="98"/>
      <c r="I85" s="157">
        <f>'Schedule 1 Adjustments'!U85</f>
        <v>337914.27912405384</v>
      </c>
      <c r="J85" s="158">
        <f t="shared" si="13"/>
        <v>337914.27912405384</v>
      </c>
      <c r="M85" s="140"/>
    </row>
    <row r="86" spans="1:13" s="22" customFormat="1" x14ac:dyDescent="0.35">
      <c r="A86" s="155">
        <v>54</v>
      </c>
      <c r="B86" s="508" t="s">
        <v>306</v>
      </c>
      <c r="C86" s="516"/>
      <c r="D86" s="509"/>
      <c r="E86" s="160">
        <v>0</v>
      </c>
      <c r="F86" s="160">
        <v>0</v>
      </c>
      <c r="G86" s="160">
        <v>0</v>
      </c>
      <c r="H86" s="160">
        <v>0</v>
      </c>
      <c r="I86" s="160">
        <f>SUM(I82:I85)</f>
        <v>337915.27912405384</v>
      </c>
      <c r="J86" s="160">
        <f t="shared" ref="J86" si="14">SUM(E86:I86)</f>
        <v>337915.27912405384</v>
      </c>
      <c r="M86" s="140"/>
    </row>
    <row r="87" spans="1:13" s="22" customFormat="1" x14ac:dyDescent="0.35">
      <c r="A87" s="161"/>
      <c r="B87" s="162"/>
      <c r="C87" s="162"/>
      <c r="D87" s="163"/>
      <c r="E87" s="164"/>
      <c r="F87" s="164"/>
      <c r="G87" s="164"/>
      <c r="H87" s="164"/>
      <c r="I87" s="164"/>
      <c r="J87" s="164"/>
      <c r="M87" s="140"/>
    </row>
    <row r="88" spans="1:13" s="22" customFormat="1" x14ac:dyDescent="0.35">
      <c r="A88" s="511" t="s">
        <v>273</v>
      </c>
      <c r="B88" s="512"/>
      <c r="C88" s="512"/>
      <c r="D88" s="512"/>
      <c r="E88" s="512"/>
      <c r="F88" s="512"/>
      <c r="G88" s="512"/>
      <c r="H88" s="512"/>
      <c r="I88" s="512"/>
      <c r="J88" s="513"/>
      <c r="M88" s="140"/>
    </row>
    <row r="89" spans="1:13" s="22" customFormat="1" x14ac:dyDescent="0.35">
      <c r="A89" s="155">
        <v>55</v>
      </c>
      <c r="B89" s="514" t="s">
        <v>274</v>
      </c>
      <c r="C89" s="517"/>
      <c r="D89" s="515"/>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08" t="s">
        <v>270</v>
      </c>
      <c r="C90" s="516"/>
      <c r="D90" s="509"/>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08" t="s">
        <v>241</v>
      </c>
      <c r="C92" s="516"/>
      <c r="D92" s="509"/>
      <c r="E92" s="160">
        <f>E79+E68+E58+E51+E41+E90+E86</f>
        <v>9573413.2345092092</v>
      </c>
      <c r="F92" s="160">
        <f>F79+F68+F58+F51+F41+F90+F86</f>
        <v>11150732.444322091</v>
      </c>
      <c r="G92" s="160">
        <f>G79+G68+G58+G51+G41+G90+G86</f>
        <v>214656.93402367301</v>
      </c>
      <c r="H92" s="160">
        <f>H79+H68+H58+H51+H41+H90+H86</f>
        <v>3166391.7784607117</v>
      </c>
      <c r="I92" s="160">
        <f>I79+I68+I58+I51+I41+I90+I86</f>
        <v>2788905.9506954821</v>
      </c>
      <c r="J92" s="160">
        <f t="shared" ref="J92:J96" si="16">SUM(E92:I92)</f>
        <v>26894100.342011169</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514" t="s">
        <v>2</v>
      </c>
      <c r="C94" s="517"/>
      <c r="D94" s="515"/>
      <c r="E94" s="158">
        <f>E92*-1</f>
        <v>-9573413.2345092092</v>
      </c>
      <c r="F94" s="157">
        <f>'Schedule 1 Adjustments'!L94</f>
        <v>9127562.5013503227</v>
      </c>
      <c r="G94" s="157">
        <f>'Schedule 1 Adjustments'!O94</f>
        <v>84009.958563308901</v>
      </c>
      <c r="H94" s="157">
        <f>'Schedule 1 Adjustments'!R94</f>
        <v>249277.00490817716</v>
      </c>
      <c r="I94" s="157">
        <f>'Schedule 1 Adjustments'!U94</f>
        <v>112563.76968739997</v>
      </c>
      <c r="J94" s="160">
        <f t="shared" si="16"/>
        <v>-3.7834979593753815E-10</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20" t="s">
        <v>242</v>
      </c>
      <c r="C96" s="521"/>
      <c r="D96" s="522"/>
      <c r="E96" s="169">
        <f>E94+E92</f>
        <v>0</v>
      </c>
      <c r="F96" s="169">
        <f t="shared" ref="F96:I96" si="17">F94+F92</f>
        <v>20278294.945672415</v>
      </c>
      <c r="G96" s="169">
        <f t="shared" si="17"/>
        <v>298666.89258698188</v>
      </c>
      <c r="H96" s="169">
        <f t="shared" si="17"/>
        <v>3415668.7833688888</v>
      </c>
      <c r="I96" s="169">
        <f t="shared" si="17"/>
        <v>2901469.7203828823</v>
      </c>
      <c r="J96" s="169">
        <f t="shared" si="16"/>
        <v>26894100.342011169</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519" t="s">
        <v>4</v>
      </c>
      <c r="C98" s="519"/>
      <c r="D98" s="170"/>
      <c r="E98" s="170"/>
      <c r="F98" s="150">
        <f>'Schedule 1 Adjustments'!L98</f>
        <v>0</v>
      </c>
      <c r="G98" s="170"/>
      <c r="H98" s="170"/>
      <c r="I98" s="170"/>
      <c r="J98" s="170"/>
      <c r="M98" s="140"/>
    </row>
    <row r="99" spans="1:13" s="22" customFormat="1" x14ac:dyDescent="0.35">
      <c r="A99" s="155">
        <v>61</v>
      </c>
      <c r="B99" s="519" t="s">
        <v>5</v>
      </c>
      <c r="C99" s="519"/>
      <c r="D99" s="170"/>
      <c r="E99" s="170"/>
      <c r="F99" s="158" t="str">
        <f>IFERROR(F96/F98,"")</f>
        <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519" t="s">
        <v>307</v>
      </c>
      <c r="C101" s="519"/>
      <c r="D101" s="170"/>
      <c r="E101" s="170"/>
      <c r="F101" s="170"/>
      <c r="G101" s="170"/>
      <c r="H101" s="170"/>
      <c r="I101" s="170"/>
      <c r="J101" s="157">
        <f>'Schedule 1 Adjustments'!X101</f>
        <v>26894100.342011165</v>
      </c>
      <c r="M101" s="140"/>
    </row>
    <row r="102" spans="1:13" s="22" customFormat="1" x14ac:dyDescent="0.35">
      <c r="A102" s="155">
        <v>63</v>
      </c>
      <c r="B102" s="519" t="s">
        <v>10</v>
      </c>
      <c r="C102" s="519"/>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519" t="s">
        <v>202</v>
      </c>
      <c r="C104" s="519"/>
      <c r="D104" s="100"/>
      <c r="E104" s="172">
        <f>IFERROR(E92/SUM(F92:I92),"")</f>
        <v>0.55271555770802883</v>
      </c>
      <c r="F104" s="100"/>
      <c r="G104" s="100"/>
      <c r="H104" s="100"/>
      <c r="I104" s="100"/>
      <c r="J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524" t="s">
        <v>676</v>
      </c>
      <c r="B3" s="524"/>
      <c r="C3" s="524"/>
      <c r="D3" s="524"/>
      <c r="E3" s="524"/>
      <c r="F3" s="524"/>
      <c r="G3" s="524"/>
      <c r="H3" s="524"/>
      <c r="I3" s="524"/>
      <c r="J3" s="524"/>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Eagle Valley Behavioral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25" t="s">
        <v>488</v>
      </c>
      <c r="B14" s="525"/>
      <c r="C14" s="525"/>
      <c r="D14" s="525"/>
      <c r="E14" s="525"/>
      <c r="F14" s="525"/>
      <c r="G14" s="525"/>
      <c r="H14" s="525"/>
      <c r="I14" s="79"/>
      <c r="J14" s="62"/>
    </row>
    <row r="15" spans="1:12" ht="15" customHeight="1" x14ac:dyDescent="0.35">
      <c r="A15" s="525"/>
      <c r="B15" s="525"/>
      <c r="C15" s="525"/>
      <c r="D15" s="525"/>
      <c r="E15" s="525"/>
      <c r="F15" s="525"/>
      <c r="G15" s="525"/>
      <c r="H15" s="525"/>
      <c r="I15" s="79"/>
      <c r="J15" s="62"/>
    </row>
    <row r="16" spans="1:12" ht="15" customHeight="1" x14ac:dyDescent="0.35">
      <c r="A16" s="525"/>
      <c r="B16" s="525"/>
      <c r="C16" s="525"/>
      <c r="D16" s="525"/>
      <c r="E16" s="525"/>
      <c r="F16" s="525"/>
      <c r="G16" s="525"/>
      <c r="H16" s="525"/>
      <c r="I16" s="79"/>
      <c r="J16" s="62"/>
    </row>
    <row r="17" spans="1:9" x14ac:dyDescent="0.35">
      <c r="A17" s="525"/>
      <c r="B17" s="525"/>
      <c r="C17" s="525"/>
      <c r="D17" s="525"/>
      <c r="E17" s="525"/>
      <c r="F17" s="525"/>
      <c r="G17" s="525"/>
      <c r="H17" s="525"/>
      <c r="I17" s="62"/>
    </row>
    <row r="18" spans="1:9" x14ac:dyDescent="0.35">
      <c r="A18" s="174"/>
      <c r="B18" s="174"/>
      <c r="C18" s="174"/>
      <c r="D18" s="174"/>
      <c r="E18" s="174"/>
      <c r="F18" s="174"/>
      <c r="G18" s="174"/>
      <c r="H18" s="174"/>
      <c r="I18" s="127"/>
    </row>
    <row r="19" spans="1:9" x14ac:dyDescent="0.35">
      <c r="A19" s="174"/>
      <c r="B19" s="526">
        <v>1</v>
      </c>
      <c r="C19" s="527"/>
      <c r="D19" s="175">
        <v>2</v>
      </c>
      <c r="E19" s="175">
        <v>3</v>
      </c>
      <c r="F19" s="175">
        <v>4</v>
      </c>
      <c r="G19" s="175">
        <v>5</v>
      </c>
      <c r="H19" s="175">
        <v>6</v>
      </c>
      <c r="I19" s="127"/>
    </row>
    <row r="20" spans="1:9" s="4" customFormat="1" ht="58" x14ac:dyDescent="0.35">
      <c r="A20" s="176"/>
      <c r="B20" s="528" t="s">
        <v>599</v>
      </c>
      <c r="C20" s="528"/>
      <c r="D20" s="151" t="s">
        <v>719</v>
      </c>
      <c r="E20" s="151" t="s">
        <v>720</v>
      </c>
      <c r="F20" s="151" t="s">
        <v>721</v>
      </c>
      <c r="G20" s="151" t="s">
        <v>677</v>
      </c>
      <c r="H20" s="151" t="s">
        <v>678</v>
      </c>
      <c r="I20" s="36"/>
    </row>
    <row r="21" spans="1:9" x14ac:dyDescent="0.35">
      <c r="A21" s="177">
        <v>1</v>
      </c>
      <c r="B21" s="523" t="str">
        <f>'Schedule 1A Adjustments'!B20:C20</f>
        <v>Sr Director Community Behavioral Health</v>
      </c>
      <c r="C21" s="523"/>
      <c r="D21" s="178">
        <f>'Schedule 1A Adjustments'!D20</f>
        <v>2</v>
      </c>
      <c r="E21" s="179">
        <f>'Schedule 1A Adjustments'!E20</f>
        <v>12</v>
      </c>
      <c r="F21" s="179">
        <f>'Schedule 1A Adjustments'!F20</f>
        <v>1</v>
      </c>
      <c r="G21" s="180">
        <f>'Schedule 1A Adjustments'!I20</f>
        <v>303252</v>
      </c>
      <c r="H21" s="181">
        <f>IF(G21-$D$9&gt;0,G21-$D$9,0)</f>
        <v>0</v>
      </c>
      <c r="I21" s="36"/>
    </row>
    <row r="22" spans="1:9" x14ac:dyDescent="0.35">
      <c r="A22" s="177">
        <f>A21+1</f>
        <v>2</v>
      </c>
      <c r="B22" s="523" t="str">
        <f>'Schedule 1A Adjustments'!B21:C21</f>
        <v>Chief Population Officier/EVBH Executive Director</v>
      </c>
      <c r="C22" s="523"/>
      <c r="D22" s="178">
        <f>'Schedule 1A Adjustments'!D21</f>
        <v>2</v>
      </c>
      <c r="E22" s="179">
        <f>'Schedule 1A Adjustments'!E21</f>
        <v>12</v>
      </c>
      <c r="F22" s="179">
        <f>'Schedule 1A Adjustments'!F21</f>
        <v>0.39</v>
      </c>
      <c r="G22" s="180">
        <f>'Schedule 1A Adjustments'!I21</f>
        <v>254995.90715719611</v>
      </c>
      <c r="H22" s="181">
        <f>IF(G22-$D$9&gt;0,G22-$D$9,0)</f>
        <v>0</v>
      </c>
      <c r="I22" s="48"/>
    </row>
    <row r="23" spans="1:9" x14ac:dyDescent="0.35">
      <c r="A23" s="177">
        <f t="shared" ref="A23:A31" si="0">A22+1</f>
        <v>3</v>
      </c>
      <c r="B23" s="523" t="str">
        <f>'Schedule 1A Adjustments'!B22:C22</f>
        <v>Director Outpatient Services</v>
      </c>
      <c r="C23" s="523"/>
      <c r="D23" s="178">
        <f>'Schedule 1A Adjustments'!D22</f>
        <v>2</v>
      </c>
      <c r="E23" s="179">
        <f>'Schedule 1A Adjustments'!E22</f>
        <v>12</v>
      </c>
      <c r="F23" s="179">
        <f>'Schedule 1A Adjustments'!F22</f>
        <v>1</v>
      </c>
      <c r="G23" s="180">
        <f>'Schedule 1A Adjustments'!I22</f>
        <v>231488</v>
      </c>
      <c r="H23" s="181">
        <f>IF(G23-$D$9&gt;0,G23-$D$9,0)</f>
        <v>0</v>
      </c>
      <c r="I23" s="48"/>
    </row>
    <row r="24" spans="1:9" x14ac:dyDescent="0.35">
      <c r="A24" s="177">
        <f t="shared" si="0"/>
        <v>4</v>
      </c>
      <c r="B24" s="523" t="str">
        <f>'Schedule 1A Adjustments'!B23:C23</f>
        <v>Director Finance EVBH</v>
      </c>
      <c r="C24" s="523"/>
      <c r="D24" s="178">
        <f>'Schedule 1A Adjustments'!D23</f>
        <v>2</v>
      </c>
      <c r="E24" s="179">
        <f>'Schedule 1A Adjustments'!E23</f>
        <v>12</v>
      </c>
      <c r="F24" s="179">
        <f>'Schedule 1A Adjustments'!F23</f>
        <v>0.75</v>
      </c>
      <c r="G24" s="180">
        <f>'Schedule 1A Adjustments'!I23</f>
        <v>166595</v>
      </c>
      <c r="H24" s="181">
        <f>IF(G24-$D$9&gt;0,G24-$D$9,0)</f>
        <v>0</v>
      </c>
      <c r="I24" s="48"/>
    </row>
    <row r="25" spans="1:9" x14ac:dyDescent="0.35">
      <c r="A25" s="177">
        <f t="shared" si="0"/>
        <v>5</v>
      </c>
      <c r="B25" s="523" t="str">
        <f>'Schedule 1A Adjustments'!B24:C24</f>
        <v>YHC Executive Director</v>
      </c>
      <c r="C25" s="523"/>
      <c r="D25" s="178">
        <f>'Schedule 1A Adjustments'!D24</f>
        <v>2</v>
      </c>
      <c r="E25" s="179">
        <f>'Schedule 1A Adjustments'!E24</f>
        <v>12</v>
      </c>
      <c r="F25" s="179">
        <f>'Schedule 1A Adjustments'!F24</f>
        <v>1</v>
      </c>
      <c r="G25" s="180">
        <f>'Schedule 1A Adjustments'!I24</f>
        <v>160963</v>
      </c>
      <c r="H25" s="181">
        <f>IF(G25-$D$9&gt;0,G25-$D$9,0)</f>
        <v>0</v>
      </c>
    </row>
    <row r="26" spans="1:9" x14ac:dyDescent="0.35">
      <c r="A26" s="182">
        <f t="shared" si="0"/>
        <v>6</v>
      </c>
      <c r="B26" s="318" t="s">
        <v>598</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0</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679</v>
      </c>
    </row>
    <row r="4" spans="1:4" ht="25" customHeight="1" x14ac:dyDescent="0.5">
      <c r="A4" s="243" t="str">
        <f>Results!A4</f>
        <v>Final Adjustments</v>
      </c>
    </row>
    <row r="6" spans="1:4" x14ac:dyDescent="0.35">
      <c r="A6" s="1" t="s">
        <v>773</v>
      </c>
      <c r="C6" s="421" t="str">
        <f>Results!$C$6</f>
        <v>Eagle Valley Behavioral Health</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30" t="str">
        <f>'As-Filed Schedule 1B'!B10</f>
        <v>allocate indirects for non-enc partners based on % of staff time employed to manage (schedule to right) and included balance of non-partner, non encounter (col 5) in last step</v>
      </c>
      <c r="C11" s="530"/>
      <c r="D11" s="530"/>
    </row>
    <row r="12" spans="1:4" ht="15" customHeight="1" x14ac:dyDescent="0.35">
      <c r="B12" s="530"/>
      <c r="C12" s="530"/>
      <c r="D12" s="530"/>
    </row>
    <row r="13" spans="1:4" x14ac:dyDescent="0.35">
      <c r="B13" s="530"/>
      <c r="C13" s="530"/>
      <c r="D13" s="530"/>
    </row>
    <row r="14" spans="1:4" x14ac:dyDescent="0.35">
      <c r="B14" s="530"/>
      <c r="C14" s="530"/>
      <c r="D14" s="530"/>
    </row>
    <row r="16" spans="1:4" ht="15" customHeight="1" x14ac:dyDescent="0.35">
      <c r="A16" t="s">
        <v>245</v>
      </c>
      <c r="B16" s="529" t="str">
        <f>'As-Filed Schedule 1B'!B15</f>
        <v>Excluded System Services Allocations from Unallowable expense base for final allocation - approved last year - no add'l allocations on VH allocations</v>
      </c>
      <c r="C16" s="529"/>
      <c r="D16" s="529"/>
    </row>
    <row r="17" spans="1:4" ht="15" customHeight="1" x14ac:dyDescent="0.35">
      <c r="B17" s="529"/>
      <c r="C17" s="529"/>
      <c r="D17" s="529"/>
    </row>
    <row r="18" spans="1:4" x14ac:dyDescent="0.35">
      <c r="B18" s="529"/>
      <c r="C18" s="529"/>
      <c r="D18" s="529"/>
    </row>
    <row r="19" spans="1:4" x14ac:dyDescent="0.35">
      <c r="B19" s="529"/>
      <c r="C19" s="529"/>
      <c r="D19" s="529"/>
    </row>
    <row r="21" spans="1:4" ht="15" customHeight="1" x14ac:dyDescent="0.35">
      <c r="A21" t="s">
        <v>246</v>
      </c>
      <c r="B21" s="529" t="str">
        <f>'As-Filed Schedule 1B'!B20</f>
        <v>Excluded Hope Ctr payments from EVBH to YHC (essentially an elimination entry) as their entire cost is being brought in before indirect allocation, thus allocating their fair share of CMHC indirects.  Excluding YHC payments consistent with last year.</v>
      </c>
      <c r="C21" s="529"/>
      <c r="D21" s="529"/>
    </row>
    <row r="22" spans="1:4" ht="15" customHeight="1" x14ac:dyDescent="0.35">
      <c r="B22" s="529"/>
      <c r="C22" s="529"/>
      <c r="D22" s="529"/>
    </row>
    <row r="23" spans="1:4" x14ac:dyDescent="0.35">
      <c r="B23" s="529"/>
      <c r="C23" s="529"/>
      <c r="D23" s="529"/>
    </row>
    <row r="24" spans="1:4" x14ac:dyDescent="0.35">
      <c r="B24" s="529"/>
      <c r="C24" s="529"/>
      <c r="D24" s="529"/>
    </row>
    <row r="26" spans="1:4" ht="15" customHeight="1" x14ac:dyDescent="0.35">
      <c r="A26" t="s">
        <v>247</v>
      </c>
      <c r="B26" s="529" t="str">
        <f>'As-Filed Schedule 1B'!B25</f>
        <v>any miscodes</v>
      </c>
      <c r="C26" s="529"/>
      <c r="D26" s="529"/>
    </row>
    <row r="27" spans="1:4" ht="15" customHeight="1" x14ac:dyDescent="0.35">
      <c r="B27" s="529"/>
      <c r="C27" s="529"/>
      <c r="D27" s="529"/>
    </row>
    <row r="28" spans="1:4" x14ac:dyDescent="0.35">
      <c r="B28" s="529"/>
      <c r="C28" s="529"/>
      <c r="D28" s="529"/>
    </row>
    <row r="29" spans="1:4" x14ac:dyDescent="0.35">
      <c r="B29" s="529"/>
      <c r="C29" s="529"/>
      <c r="D29" s="529"/>
    </row>
    <row r="31" spans="1:4" ht="15" customHeight="1" x14ac:dyDescent="0.35">
      <c r="A31" t="s">
        <v>248</v>
      </c>
      <c r="B31" s="529" t="str">
        <f>'As-Filed Schedule 1B'!B30</f>
        <v>Innovation Center (IC) - a step allocation is needed to avoid duplicate indirect allocation to the IC because BH overhead staff who work on this unallowed cost center are being  coded directly through UKG payroll.</v>
      </c>
      <c r="C31" s="529"/>
      <c r="D31" s="529"/>
    </row>
    <row r="32" spans="1:4" ht="15" customHeight="1" x14ac:dyDescent="0.35">
      <c r="B32" s="529"/>
      <c r="C32" s="529"/>
      <c r="D32" s="529"/>
    </row>
    <row r="33" spans="1:4" x14ac:dyDescent="0.35">
      <c r="B33" s="529"/>
      <c r="C33" s="529"/>
      <c r="D33" s="529"/>
    </row>
    <row r="34" spans="1:4" x14ac:dyDescent="0.35">
      <c r="B34" s="529"/>
      <c r="C34" s="529"/>
      <c r="D34" s="529"/>
    </row>
    <row r="36" spans="1:4" x14ac:dyDescent="0.35">
      <c r="A36" t="s">
        <v>205</v>
      </c>
      <c r="D36" s="118" t="str">
        <f>'As-Filed Schedule 1B'!D40</f>
        <v>Yes/No</v>
      </c>
    </row>
    <row r="38" spans="1:4" x14ac:dyDescent="0.35">
      <c r="A38" t="s">
        <v>206</v>
      </c>
    </row>
    <row r="39" spans="1:4" x14ac:dyDescent="0.35">
      <c r="A39" s="529" t="str">
        <f>'As-Filed Schedule 1B'!A43</f>
        <v>The Innovation Center is a new cost center within EVBH State FY24, which is unallowed.</v>
      </c>
      <c r="B39" s="529"/>
      <c r="C39" s="529"/>
      <c r="D39" s="529"/>
    </row>
    <row r="40" spans="1:4" x14ac:dyDescent="0.35">
      <c r="A40" s="529"/>
      <c r="B40" s="529"/>
      <c r="C40" s="529"/>
      <c r="D40" s="529"/>
    </row>
    <row r="41" spans="1:4" x14ac:dyDescent="0.35">
      <c r="A41" s="529"/>
      <c r="B41" s="529"/>
      <c r="C41" s="529"/>
      <c r="D41" s="529"/>
    </row>
    <row r="42" spans="1:4" x14ac:dyDescent="0.35">
      <c r="A42" s="529"/>
      <c r="B42" s="529"/>
      <c r="C42" s="529"/>
      <c r="D42" s="529"/>
    </row>
    <row r="43" spans="1:4" x14ac:dyDescent="0.35">
      <c r="A43" s="529"/>
      <c r="B43" s="529"/>
      <c r="C43" s="529"/>
      <c r="D43" s="529"/>
    </row>
    <row r="44" spans="1:4" x14ac:dyDescent="0.35">
      <c r="A44" s="529"/>
      <c r="B44" s="529"/>
      <c r="C44" s="529"/>
      <c r="D44" s="529"/>
    </row>
    <row r="45" spans="1:4" x14ac:dyDescent="0.35">
      <c r="A45" s="529"/>
      <c r="B45" s="529"/>
      <c r="C45" s="529"/>
      <c r="D45" s="529"/>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36"/>
  <sheetViews>
    <sheetView workbookViewId="0"/>
  </sheetViews>
  <sheetFormatPr defaultColWidth="9.1796875" defaultRowHeight="14.5" x14ac:dyDescent="0.35"/>
  <cols>
    <col min="1" max="1" width="6.54296875" customWidth="1"/>
    <col min="2" max="2" width="28.81640625" customWidth="1"/>
    <col min="3" max="3" width="25.179687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680</v>
      </c>
    </row>
    <row r="4" spans="1:24" ht="25" customHeight="1" x14ac:dyDescent="0.5">
      <c r="A4" s="243" t="str">
        <f>Results!A4</f>
        <v>Final Adjustments</v>
      </c>
    </row>
    <row r="6" spans="1:24" x14ac:dyDescent="0.35">
      <c r="A6" s="1" t="s">
        <v>773</v>
      </c>
      <c r="C6" s="421" t="str">
        <f>Results!$C$6</f>
        <v>Eagle Valley Behavioral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31" t="s">
        <v>922</v>
      </c>
      <c r="B10" s="531"/>
      <c r="C10" s="531"/>
      <c r="D10" s="531"/>
      <c r="E10" s="531"/>
      <c r="F10" s="531"/>
      <c r="G10" s="531"/>
      <c r="H10" s="531"/>
      <c r="I10" s="531"/>
      <c r="J10" s="64"/>
      <c r="K10" s="40"/>
      <c r="L10" s="40"/>
      <c r="M10" s="40"/>
      <c r="T10" s="65"/>
      <c r="U10" s="65"/>
      <c r="V10" s="65"/>
      <c r="W10" s="65"/>
      <c r="X10" s="65"/>
    </row>
    <row r="11" spans="1:24" ht="15" customHeight="1" x14ac:dyDescent="0.35">
      <c r="A11" s="531"/>
      <c r="B11" s="531"/>
      <c r="C11" s="531"/>
      <c r="D11" s="531"/>
      <c r="E11" s="531"/>
      <c r="F11" s="531"/>
      <c r="G11" s="531"/>
      <c r="H11" s="531"/>
      <c r="I11" s="531"/>
      <c r="J11" s="64"/>
      <c r="K11" s="40"/>
      <c r="L11" s="40"/>
      <c r="M11" s="40"/>
      <c r="T11" s="65"/>
      <c r="U11" s="65"/>
      <c r="V11" s="65"/>
      <c r="W11" s="65"/>
      <c r="X11" s="65"/>
    </row>
    <row r="12" spans="1:24" x14ac:dyDescent="0.35">
      <c r="A12" s="531"/>
      <c r="B12" s="531"/>
      <c r="C12" s="531"/>
      <c r="D12" s="531"/>
      <c r="E12" s="531"/>
      <c r="F12" s="531"/>
      <c r="G12" s="531"/>
      <c r="H12" s="531"/>
      <c r="I12" s="531"/>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32">
        <v>1</v>
      </c>
      <c r="C14" s="532"/>
      <c r="D14" s="175">
        <v>2</v>
      </c>
      <c r="E14" s="175">
        <v>3</v>
      </c>
      <c r="F14" s="175">
        <v>4</v>
      </c>
      <c r="G14" s="175">
        <v>5</v>
      </c>
      <c r="H14" s="175">
        <v>6</v>
      </c>
      <c r="I14" s="175">
        <v>7</v>
      </c>
      <c r="J14" s="64"/>
      <c r="T14" s="65"/>
      <c r="U14" s="65"/>
      <c r="V14" s="65"/>
      <c r="W14" s="65"/>
      <c r="X14" s="65"/>
    </row>
    <row r="15" spans="1:24" s="4" customFormat="1" ht="72.5" x14ac:dyDescent="0.35">
      <c r="A15" s="191"/>
      <c r="B15" s="528" t="s">
        <v>591</v>
      </c>
      <c r="C15" s="533"/>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523" t="str">
        <f>'Schedule 1C Adjustments'!B15:C15</f>
        <v>22 - 5024 - Billing Fees And Adj</v>
      </c>
      <c r="C16" s="523"/>
      <c r="D16" s="180">
        <f>'Schedule 1C Adjustments'!F15</f>
        <v>-446766.80067362112</v>
      </c>
      <c r="E16" s="180">
        <f>'Schedule 1C Adjustments'!I15</f>
        <v>-7519860.0599999987</v>
      </c>
      <c r="F16" s="194">
        <f>IF(E16-D16&lt;0,0,E16-D16)</f>
        <v>0</v>
      </c>
      <c r="G16" s="195">
        <f>'Schedule 1C Adjustments'!L15</f>
        <v>2</v>
      </c>
      <c r="H16" s="178" t="str">
        <f>'Schedule 1C Adjustments'!M15</f>
        <v/>
      </c>
      <c r="I16" s="196" t="str">
        <f>'Schedule 1C Adjustments'!N15</f>
        <v>Vail Health SS Alloc</v>
      </c>
      <c r="J16" s="66"/>
      <c r="T16" s="67"/>
      <c r="U16" s="67"/>
      <c r="V16" s="67"/>
      <c r="W16" s="67"/>
      <c r="X16" s="67"/>
    </row>
    <row r="17" spans="1:24" s="4" customFormat="1" ht="15" customHeight="1" x14ac:dyDescent="0.35">
      <c r="A17" s="182">
        <f>A16+1</f>
        <v>2</v>
      </c>
      <c r="B17" s="523" t="str">
        <f>'Schedule 1C Adjustments'!B16:C16</f>
        <v>22 - 7180 - Revenue Integrity</v>
      </c>
      <c r="C17" s="523"/>
      <c r="D17" s="180">
        <f>'Schedule 1C Adjustments'!F16</f>
        <v>9430.7355256330338</v>
      </c>
      <c r="E17" s="180">
        <f>'Schedule 1C Adjustments'!I16</f>
        <v>579229.83000000007</v>
      </c>
      <c r="F17" s="194">
        <f t="shared" ref="F17:F61" si="0">IF(D17-E17&lt;0,0,D17-E17)</f>
        <v>0</v>
      </c>
      <c r="G17" s="195">
        <f>'Schedule 1C Adjustments'!L16</f>
        <v>2</v>
      </c>
      <c r="H17" s="178" t="str">
        <f>'Schedule 1C Adjustments'!M16</f>
        <v/>
      </c>
      <c r="I17" s="196" t="str">
        <f>'Schedule 1C Adjustments'!N16</f>
        <v>Vail Health SS Alloc</v>
      </c>
      <c r="J17" s="142"/>
      <c r="T17" s="67"/>
      <c r="U17" s="67"/>
      <c r="V17" s="67"/>
      <c r="W17" s="67"/>
      <c r="X17" s="67"/>
    </row>
    <row r="18" spans="1:24" s="4" customFormat="1" ht="15" customHeight="1" x14ac:dyDescent="0.35">
      <c r="A18" s="182">
        <f t="shared" ref="A18:A62" si="1">A17+1</f>
        <v>3</v>
      </c>
      <c r="B18" s="523" t="str">
        <f>'Schedule 1C Adjustments'!B17:C17</f>
        <v>22 - 7181 - Health Information Management</v>
      </c>
      <c r="C18" s="523"/>
      <c r="D18" s="180">
        <f>'Schedule 1C Adjustments'!F17</f>
        <v>50128.168255132849</v>
      </c>
      <c r="E18" s="180">
        <f>'Schedule 1C Adjustments'!I17</f>
        <v>3068500.5100000007</v>
      </c>
      <c r="F18" s="194">
        <f t="shared" si="0"/>
        <v>0</v>
      </c>
      <c r="G18" s="195">
        <f>'Schedule 1C Adjustments'!L17</f>
        <v>2</v>
      </c>
      <c r="H18" s="178" t="str">
        <f>'Schedule 1C Adjustments'!M17</f>
        <v/>
      </c>
      <c r="I18" s="196" t="str">
        <f>'Schedule 1C Adjustments'!N17</f>
        <v>Vail Health SS Alloc</v>
      </c>
      <c r="J18" s="66"/>
      <c r="T18" s="67"/>
      <c r="U18" s="67"/>
      <c r="V18" s="67"/>
      <c r="W18" s="67"/>
      <c r="X18" s="67"/>
    </row>
    <row r="19" spans="1:24" s="4" customFormat="1" ht="15" customHeight="1" x14ac:dyDescent="0.35">
      <c r="A19" s="182">
        <f t="shared" si="1"/>
        <v>4</v>
      </c>
      <c r="B19" s="523" t="str">
        <f>'Schedule 1C Adjustments'!B18:C18</f>
        <v>22 - 7250 - Patient Experience</v>
      </c>
      <c r="C19" s="523"/>
      <c r="D19" s="180">
        <f>'Schedule 1C Adjustments'!F18</f>
        <v>41497.787067212703</v>
      </c>
      <c r="E19" s="180">
        <f>'Schedule 1C Adjustments'!I18</f>
        <v>1008823.81</v>
      </c>
      <c r="F19" s="194">
        <f t="shared" si="0"/>
        <v>0</v>
      </c>
      <c r="G19" s="195">
        <f>'Schedule 1C Adjustments'!L18</f>
        <v>2</v>
      </c>
      <c r="H19" s="178" t="str">
        <f>'Schedule 1C Adjustments'!M18</f>
        <v/>
      </c>
      <c r="I19" s="196" t="str">
        <f>'Schedule 1C Adjustments'!N18</f>
        <v>Vail Health SS Alloc</v>
      </c>
      <c r="J19" s="66"/>
      <c r="T19" s="67"/>
      <c r="U19" s="67"/>
      <c r="V19" s="67"/>
      <c r="W19" s="67"/>
      <c r="X19" s="67"/>
    </row>
    <row r="20" spans="1:24" s="4" customFormat="1" ht="15" customHeight="1" x14ac:dyDescent="0.35">
      <c r="A20" s="182">
        <f t="shared" si="1"/>
        <v>5</v>
      </c>
      <c r="B20" s="523" t="str">
        <f>'Schedule 1C Adjustments'!B19:C19</f>
        <v>22 - 8010 - Medical Staff Office</v>
      </c>
      <c r="C20" s="523"/>
      <c r="D20" s="180">
        <f>'Schedule 1C Adjustments'!F19</f>
        <v>12933.845486028064</v>
      </c>
      <c r="E20" s="180">
        <f>'Schedule 1C Adjustments'!I19</f>
        <v>805286.4500000003</v>
      </c>
      <c r="F20" s="194">
        <f t="shared" ref="F20:F56" si="2">IF(D20-E20&lt;0,0,D20-E20)</f>
        <v>0</v>
      </c>
      <c r="G20" s="195">
        <f>'Schedule 1C Adjustments'!L19</f>
        <v>2</v>
      </c>
      <c r="H20" s="178" t="str">
        <f>'Schedule 1C Adjustments'!M19</f>
        <v/>
      </c>
      <c r="I20" s="196" t="str">
        <f>'Schedule 1C Adjustments'!N19</f>
        <v>Vail Health SS Alloc</v>
      </c>
      <c r="J20" s="66"/>
      <c r="T20" s="67"/>
      <c r="U20" s="67"/>
      <c r="V20" s="67"/>
      <c r="W20" s="67"/>
      <c r="X20" s="67"/>
    </row>
    <row r="21" spans="1:24" s="4" customFormat="1" ht="15" customHeight="1" x14ac:dyDescent="0.35">
      <c r="A21" s="182">
        <f t="shared" si="1"/>
        <v>6</v>
      </c>
      <c r="B21" s="523" t="str">
        <f>'Schedule 1C Adjustments'!B20:C20</f>
        <v>22 - 8031 - Quality Resource Management</v>
      </c>
      <c r="C21" s="523"/>
      <c r="D21" s="180">
        <f>'Schedule 1C Adjustments'!F20</f>
        <v>47267.446812485439</v>
      </c>
      <c r="E21" s="180">
        <f>'Schedule 1C Adjustments'!I20</f>
        <v>1063747.7</v>
      </c>
      <c r="F21" s="194">
        <f t="shared" si="2"/>
        <v>0</v>
      </c>
      <c r="G21" s="195">
        <f>'Schedule 1C Adjustments'!L20</f>
        <v>2</v>
      </c>
      <c r="H21" s="178" t="str">
        <f>'Schedule 1C Adjustments'!M20</f>
        <v/>
      </c>
      <c r="I21" s="196" t="str">
        <f>'Schedule 1C Adjustments'!N20</f>
        <v>Vail Health SS Alloc</v>
      </c>
      <c r="J21" s="66"/>
      <c r="T21" s="67"/>
      <c r="U21" s="67"/>
      <c r="V21" s="67"/>
      <c r="W21" s="67"/>
      <c r="X21" s="67"/>
    </row>
    <row r="22" spans="1:24" s="4" customFormat="1" ht="15" customHeight="1" x14ac:dyDescent="0.35">
      <c r="A22" s="182">
        <f t="shared" si="1"/>
        <v>7</v>
      </c>
      <c r="B22" s="523" t="str">
        <f>'Schedule 1C Adjustments'!B21:C21</f>
        <v>22 - 8040 - Employee Health</v>
      </c>
      <c r="C22" s="523"/>
      <c r="D22" s="180">
        <f>'Schedule 1C Adjustments'!F21</f>
        <v>33980.231225469608</v>
      </c>
      <c r="E22" s="180">
        <f>'Schedule 1C Adjustments'!I21</f>
        <v>505584.74</v>
      </c>
      <c r="F22" s="194">
        <f t="shared" si="2"/>
        <v>0</v>
      </c>
      <c r="G22" s="195">
        <f>'Schedule 1C Adjustments'!L21</f>
        <v>2</v>
      </c>
      <c r="H22" s="178" t="str">
        <f>'Schedule 1C Adjustments'!M21</f>
        <v/>
      </c>
      <c r="I22" s="196" t="str">
        <f>'Schedule 1C Adjustments'!N21</f>
        <v>Vail Health SS Alloc</v>
      </c>
      <c r="J22" s="66"/>
      <c r="T22" s="67"/>
      <c r="U22" s="67"/>
      <c r="V22" s="67"/>
      <c r="W22" s="67"/>
      <c r="X22" s="67"/>
    </row>
    <row r="23" spans="1:24" s="4" customFormat="1" ht="15" customHeight="1" x14ac:dyDescent="0.35">
      <c r="A23" s="182">
        <f t="shared" si="1"/>
        <v>8</v>
      </c>
      <c r="B23" s="523" t="str">
        <f>'Schedule 1C Adjustments'!B22:C22</f>
        <v>22 - 8041 - Infection Control</v>
      </c>
      <c r="C23" s="523"/>
      <c r="D23" s="180">
        <f>'Schedule 1C Adjustments'!F22</f>
        <v>7153.0154720395803</v>
      </c>
      <c r="E23" s="180">
        <f>'Schedule 1C Adjustments'!I22</f>
        <v>165003.23000000001</v>
      </c>
      <c r="F23" s="194">
        <f t="shared" si="2"/>
        <v>0</v>
      </c>
      <c r="G23" s="195">
        <f>'Schedule 1C Adjustments'!L22</f>
        <v>5</v>
      </c>
      <c r="H23" s="178" t="str">
        <f>'Schedule 1C Adjustments'!M22</f>
        <v/>
      </c>
      <c r="I23" s="196" t="str">
        <f>'Schedule 1C Adjustments'!N22</f>
        <v>Vail Health SS Alloc</v>
      </c>
      <c r="J23" s="66"/>
      <c r="T23" s="67"/>
      <c r="U23" s="67"/>
      <c r="V23" s="67"/>
      <c r="W23" s="67"/>
      <c r="X23" s="67"/>
    </row>
    <row r="24" spans="1:24" s="4" customFormat="1" ht="15" customHeight="1" x14ac:dyDescent="0.35">
      <c r="A24" s="182">
        <f t="shared" si="1"/>
        <v>9</v>
      </c>
      <c r="B24" s="523" t="str">
        <f>'Schedule 1C Adjustments'!B23:C23</f>
        <v>22 - 8042 - Population Health</v>
      </c>
      <c r="C24" s="523"/>
      <c r="D24" s="180">
        <f>'Schedule 1C Adjustments'!F23</f>
        <v>44555.641522849328</v>
      </c>
      <c r="E24" s="180">
        <f>'Schedule 1C Adjustments'!I23</f>
        <v>1001087.7100000004</v>
      </c>
      <c r="F24" s="194">
        <f t="shared" si="2"/>
        <v>0</v>
      </c>
      <c r="G24" s="195">
        <f>'Schedule 1C Adjustments'!L23</f>
        <v>2</v>
      </c>
      <c r="H24" s="178" t="str">
        <f>'Schedule 1C Adjustments'!M23</f>
        <v/>
      </c>
      <c r="I24" s="196" t="str">
        <f>'Schedule 1C Adjustments'!N23</f>
        <v>Vail Health SS Alloc</v>
      </c>
      <c r="J24" s="66"/>
      <c r="T24" s="67"/>
      <c r="U24" s="67"/>
      <c r="V24" s="67"/>
      <c r="W24" s="67"/>
      <c r="X24" s="67"/>
    </row>
    <row r="25" spans="1:24" s="4" customFormat="1" ht="15" customHeight="1" x14ac:dyDescent="0.35">
      <c r="A25" s="182">
        <f t="shared" si="1"/>
        <v>10</v>
      </c>
      <c r="B25" s="523" t="str">
        <f>'Schedule 1C Adjustments'!B24:C24</f>
        <v>22 - 8071 - Facilities Department</v>
      </c>
      <c r="C25" s="523"/>
      <c r="D25" s="180">
        <f>'Schedule 1C Adjustments'!F24</f>
        <v>132064.30303375449</v>
      </c>
      <c r="E25" s="180">
        <f>'Schedule 1C Adjustments'!I24</f>
        <v>2092119.5100000002</v>
      </c>
      <c r="F25" s="194">
        <f t="shared" si="2"/>
        <v>0</v>
      </c>
      <c r="G25" s="195">
        <f>'Schedule 1C Adjustments'!L24</f>
        <v>2</v>
      </c>
      <c r="H25" s="178" t="str">
        <f>'Schedule 1C Adjustments'!M24</f>
        <v/>
      </c>
      <c r="I25" s="196" t="str">
        <f>'Schedule 1C Adjustments'!N24</f>
        <v>Vail Health SS Alloc</v>
      </c>
      <c r="J25" s="66"/>
      <c r="T25" s="67"/>
      <c r="U25" s="67"/>
      <c r="V25" s="67"/>
      <c r="W25" s="67"/>
      <c r="X25" s="67"/>
    </row>
    <row r="26" spans="1:24" s="4" customFormat="1" ht="15" customHeight="1" x14ac:dyDescent="0.35">
      <c r="A26" s="182">
        <f t="shared" si="1"/>
        <v>11</v>
      </c>
      <c r="B26" s="523" t="str">
        <f>'Schedule 1C Adjustments'!B25:C25</f>
        <v>22 - 8072 - Transportation</v>
      </c>
      <c r="C26" s="523"/>
      <c r="D26" s="180">
        <f>'Schedule 1C Adjustments'!F25</f>
        <v>142764.98742379269</v>
      </c>
      <c r="E26" s="180">
        <f>'Schedule 1C Adjustments'!I25</f>
        <v>2227903.11</v>
      </c>
      <c r="F26" s="194">
        <f t="shared" si="2"/>
        <v>0</v>
      </c>
      <c r="G26" s="195">
        <f>'Schedule 1C Adjustments'!L25</f>
        <v>2</v>
      </c>
      <c r="H26" s="178" t="str">
        <f>'Schedule 1C Adjustments'!M25</f>
        <v/>
      </c>
      <c r="I26" s="196" t="str">
        <f>'Schedule 1C Adjustments'!N25</f>
        <v>Vail Health SS Alloc</v>
      </c>
      <c r="J26" s="66"/>
      <c r="T26" s="67"/>
      <c r="U26" s="67"/>
      <c r="V26" s="67"/>
      <c r="W26" s="67"/>
      <c r="X26" s="67"/>
    </row>
    <row r="27" spans="1:24" s="4" customFormat="1" ht="15" customHeight="1" x14ac:dyDescent="0.35">
      <c r="A27" s="182">
        <f t="shared" si="1"/>
        <v>12</v>
      </c>
      <c r="B27" s="523" t="str">
        <f>'Schedule 1C Adjustments'!B26:C26</f>
        <v>22 - 8075 - Facilities Support</v>
      </c>
      <c r="C27" s="523"/>
      <c r="D27" s="180">
        <f>'Schedule 1C Adjustments'!F26</f>
        <v>22666.56554156464</v>
      </c>
      <c r="E27" s="180">
        <f>'Schedule 1C Adjustments'!I26</f>
        <v>359144.91999999993</v>
      </c>
      <c r="F27" s="194">
        <f t="shared" si="2"/>
        <v>0</v>
      </c>
      <c r="G27" s="195">
        <f>'Schedule 1C Adjustments'!L26</f>
        <v>2</v>
      </c>
      <c r="H27" s="178" t="str">
        <f>'Schedule 1C Adjustments'!M26</f>
        <v/>
      </c>
      <c r="I27" s="196" t="str">
        <f>'Schedule 1C Adjustments'!N26</f>
        <v>Vail Health SS Alloc</v>
      </c>
      <c r="J27" s="66"/>
      <c r="T27" s="67"/>
      <c r="U27" s="67"/>
      <c r="V27" s="67"/>
      <c r="W27" s="67"/>
      <c r="X27" s="67"/>
    </row>
    <row r="28" spans="1:24" s="4" customFormat="1" ht="15" customHeight="1" x14ac:dyDescent="0.35">
      <c r="A28" s="182">
        <f t="shared" si="1"/>
        <v>13</v>
      </c>
      <c r="B28" s="523" t="str">
        <f>'Schedule 1C Adjustments'!B27:C27</f>
        <v>22 - 8076 - Hospital Security</v>
      </c>
      <c r="C28" s="523"/>
      <c r="D28" s="180">
        <f>'Schedule 1C Adjustments'!F27</f>
        <v>96005.913992472371</v>
      </c>
      <c r="E28" s="180">
        <f>'Schedule 1C Adjustments'!I27</f>
        <v>1508577.2200000002</v>
      </c>
      <c r="F28" s="194">
        <f t="shared" si="2"/>
        <v>0</v>
      </c>
      <c r="G28" s="195">
        <f>'Schedule 1C Adjustments'!L27</f>
        <v>2</v>
      </c>
      <c r="H28" s="178" t="str">
        <f>'Schedule 1C Adjustments'!M27</f>
        <v/>
      </c>
      <c r="I28" s="196" t="str">
        <f>'Schedule 1C Adjustments'!N27</f>
        <v>Vail Health SS Alloc</v>
      </c>
      <c r="J28" s="66"/>
      <c r="T28" s="67"/>
      <c r="U28" s="67"/>
      <c r="V28" s="67"/>
      <c r="W28" s="67"/>
      <c r="X28" s="67"/>
    </row>
    <row r="29" spans="1:24" s="4" customFormat="1" ht="15" customHeight="1" x14ac:dyDescent="0.35">
      <c r="A29" s="182">
        <f t="shared" si="1"/>
        <v>14</v>
      </c>
      <c r="B29" s="523" t="str">
        <f>'Schedule 1C Adjustments'!B28:C28</f>
        <v>22 - 8085 - Construction</v>
      </c>
      <c r="C29" s="523"/>
      <c r="D29" s="180">
        <f>'Schedule 1C Adjustments'!F28</f>
        <v>68713.733942920197</v>
      </c>
      <c r="E29" s="180">
        <f>'Schedule 1C Adjustments'!I28</f>
        <v>1167907.4599999997</v>
      </c>
      <c r="F29" s="194">
        <f t="shared" si="2"/>
        <v>0</v>
      </c>
      <c r="G29" s="195">
        <f>'Schedule 1C Adjustments'!L28</f>
        <v>2</v>
      </c>
      <c r="H29" s="178" t="str">
        <f>'Schedule 1C Adjustments'!M28</f>
        <v/>
      </c>
      <c r="I29" s="196" t="str">
        <f>'Schedule 1C Adjustments'!N28</f>
        <v>Vail Health SS Alloc</v>
      </c>
      <c r="J29" s="66"/>
      <c r="T29" s="67"/>
      <c r="U29" s="67"/>
      <c r="V29" s="67"/>
      <c r="W29" s="67"/>
      <c r="X29" s="67"/>
    </row>
    <row r="30" spans="1:24" s="4" customFormat="1" ht="15" customHeight="1" x14ac:dyDescent="0.35">
      <c r="A30" s="182">
        <f t="shared" si="1"/>
        <v>15</v>
      </c>
      <c r="B30" s="523" t="str">
        <f>'Schedule 1C Adjustments'!B29:C29</f>
        <v>22 - 8097 - Sustainability</v>
      </c>
      <c r="C30" s="523"/>
      <c r="D30" s="180">
        <f>'Schedule 1C Adjustments'!F29</f>
        <v>37340.402677522288</v>
      </c>
      <c r="E30" s="180">
        <f>'Schedule 1C Adjustments'!I29</f>
        <v>635553.11</v>
      </c>
      <c r="F30" s="194">
        <f t="shared" si="2"/>
        <v>0</v>
      </c>
      <c r="G30" s="195">
        <f>'Schedule 1C Adjustments'!L29</f>
        <v>2</v>
      </c>
      <c r="H30" s="178" t="str">
        <f>'Schedule 1C Adjustments'!M29</f>
        <v/>
      </c>
      <c r="I30" s="196" t="str">
        <f>'Schedule 1C Adjustments'!N29</f>
        <v>Vail Health SS Alloc</v>
      </c>
      <c r="J30" s="66"/>
      <c r="T30" s="67"/>
      <c r="U30" s="67"/>
      <c r="V30" s="67"/>
      <c r="W30" s="67"/>
      <c r="X30" s="67"/>
    </row>
    <row r="31" spans="1:24" s="4" customFormat="1" ht="15" customHeight="1" x14ac:dyDescent="0.35">
      <c r="A31" s="182">
        <f t="shared" si="1"/>
        <v>16</v>
      </c>
      <c r="B31" s="523" t="str">
        <f>'Schedule 1C Adjustments'!B30:C30</f>
        <v>22 - 8200 - Decision Support</v>
      </c>
      <c r="C31" s="523"/>
      <c r="D31" s="180">
        <f>'Schedule 1C Adjustments'!F30</f>
        <v>99997.531514668037</v>
      </c>
      <c r="E31" s="180">
        <f>'Schedule 1C Adjustments'!I30</f>
        <v>1579696.7599999998</v>
      </c>
      <c r="F31" s="194">
        <f t="shared" si="2"/>
        <v>0</v>
      </c>
      <c r="G31" s="195">
        <f>'Schedule 1C Adjustments'!L30</f>
        <v>2</v>
      </c>
      <c r="H31" s="178" t="str">
        <f>'Schedule 1C Adjustments'!M30</f>
        <v/>
      </c>
      <c r="I31" s="196" t="str">
        <f>'Schedule 1C Adjustments'!N30</f>
        <v>Vail Health SS Alloc</v>
      </c>
      <c r="J31" s="66"/>
      <c r="T31" s="67"/>
      <c r="U31" s="67"/>
      <c r="V31" s="67"/>
      <c r="W31" s="67"/>
      <c r="X31" s="67"/>
    </row>
    <row r="32" spans="1:24" s="4" customFormat="1" ht="15" customHeight="1" x14ac:dyDescent="0.35">
      <c r="A32" s="182">
        <f t="shared" si="1"/>
        <v>17</v>
      </c>
      <c r="B32" s="523" t="str">
        <f>'Schedule 1C Adjustments'!B31:C31</f>
        <v>22 - 8212 - Accounting</v>
      </c>
      <c r="C32" s="523"/>
      <c r="D32" s="180">
        <f>'Schedule 1C Adjustments'!F31</f>
        <v>172143.58670998507</v>
      </c>
      <c r="E32" s="180">
        <f>'Schedule 1C Adjustments'!I31</f>
        <v>2717233.9500000007</v>
      </c>
      <c r="F32" s="194">
        <f t="shared" si="2"/>
        <v>0</v>
      </c>
      <c r="G32" s="195">
        <f>'Schedule 1C Adjustments'!L31</f>
        <v>2</v>
      </c>
      <c r="H32" s="178" t="str">
        <f>'Schedule 1C Adjustments'!M31</f>
        <v/>
      </c>
      <c r="I32" s="196" t="str">
        <f>'Schedule 1C Adjustments'!N31</f>
        <v>Vail Health SS Alloc</v>
      </c>
      <c r="J32" s="66"/>
      <c r="T32" s="67"/>
      <c r="U32" s="67"/>
      <c r="V32" s="67"/>
      <c r="W32" s="67"/>
      <c r="X32" s="67"/>
    </row>
    <row r="33" spans="1:24" s="4" customFormat="1" ht="15" customHeight="1" x14ac:dyDescent="0.35">
      <c r="A33" s="182">
        <f t="shared" si="1"/>
        <v>18</v>
      </c>
      <c r="B33" s="523" t="str">
        <f>'Schedule 1C Adjustments'!B32:C32</f>
        <v>22 - 8215 - Compliance</v>
      </c>
      <c r="C33" s="523"/>
      <c r="D33" s="180">
        <f>'Schedule 1C Adjustments'!F32</f>
        <v>47681.417245874167</v>
      </c>
      <c r="E33" s="180">
        <f>'Schedule 1C Adjustments'!I32</f>
        <v>805128.25000000012</v>
      </c>
      <c r="F33" s="194">
        <f t="shared" si="2"/>
        <v>0</v>
      </c>
      <c r="G33" s="195">
        <f>'Schedule 1C Adjustments'!L32</f>
        <v>2</v>
      </c>
      <c r="H33" s="178" t="str">
        <f>'Schedule 1C Adjustments'!M32</f>
        <v/>
      </c>
      <c r="I33" s="196" t="str">
        <f>'Schedule 1C Adjustments'!N32</f>
        <v>Vail Health SS Alloc</v>
      </c>
      <c r="J33" s="66"/>
      <c r="T33" s="67"/>
      <c r="U33" s="67"/>
      <c r="V33" s="67"/>
      <c r="W33" s="67"/>
      <c r="X33" s="67"/>
    </row>
    <row r="34" spans="1:24" s="4" customFormat="1" ht="15" customHeight="1" x14ac:dyDescent="0.35">
      <c r="A34" s="182">
        <f t="shared" si="1"/>
        <v>19</v>
      </c>
      <c r="B34" s="523" t="str">
        <f>'Schedule 1C Adjustments'!B33:C33</f>
        <v>22 - 8216 - Risk Management (includes BH Insurance)</v>
      </c>
      <c r="C34" s="523"/>
      <c r="D34" s="180">
        <f>'Schedule 1C Adjustments'!F33</f>
        <v>435954</v>
      </c>
      <c r="E34" s="180">
        <f>'Schedule 1C Adjustments'!I33</f>
        <v>7498183.4299999978</v>
      </c>
      <c r="F34" s="194">
        <f t="shared" si="2"/>
        <v>0</v>
      </c>
      <c r="G34" s="195">
        <f>'Schedule 1C Adjustments'!L33</f>
        <v>2</v>
      </c>
      <c r="H34" s="178" t="str">
        <f>'Schedule 1C Adjustments'!M33</f>
        <v/>
      </c>
      <c r="I34" s="196" t="str">
        <f>'Schedule 1C Adjustments'!N33</f>
        <v>Vail Health SS Alloc</v>
      </c>
      <c r="J34" s="66"/>
      <c r="T34" s="67"/>
      <c r="U34" s="67"/>
      <c r="V34" s="67"/>
      <c r="W34" s="67"/>
      <c r="X34" s="67"/>
    </row>
    <row r="35" spans="1:24" s="4" customFormat="1" ht="15" customHeight="1" x14ac:dyDescent="0.35">
      <c r="A35" s="182">
        <f t="shared" si="1"/>
        <v>20</v>
      </c>
      <c r="B35" s="523" t="str">
        <f>'Schedule 1C Adjustments'!B34:C34</f>
        <v>22 - 8217 - Human Research Protection Program</v>
      </c>
      <c r="C35" s="523"/>
      <c r="D35" s="180">
        <f>'Schedule 1C Adjustments'!F34</f>
        <v>20900.276441616199</v>
      </c>
      <c r="E35" s="180">
        <f>'Schedule 1C Adjustments'!I34</f>
        <v>482461.52000000014</v>
      </c>
      <c r="F35" s="194">
        <f t="shared" si="2"/>
        <v>0</v>
      </c>
      <c r="G35" s="195">
        <f>'Schedule 1C Adjustments'!L34</f>
        <v>5</v>
      </c>
      <c r="H35" s="178" t="str">
        <f>'Schedule 1C Adjustments'!M34</f>
        <v/>
      </c>
      <c r="I35" s="196" t="str">
        <f>'Schedule 1C Adjustments'!N34</f>
        <v>Vail Health SS Alloc</v>
      </c>
      <c r="J35" s="66"/>
      <c r="T35" s="67"/>
      <c r="U35" s="67"/>
      <c r="V35" s="67"/>
      <c r="W35" s="67"/>
      <c r="X35" s="67"/>
    </row>
    <row r="36" spans="1:24" s="4" customFormat="1" ht="15" customHeight="1" x14ac:dyDescent="0.35">
      <c r="A36" s="182">
        <f t="shared" si="1"/>
        <v>21</v>
      </c>
      <c r="B36" s="523" t="str">
        <f>'Schedule 1C Adjustments'!B35:C35</f>
        <v>22 - 8218 - ASC Mgmt Services</v>
      </c>
      <c r="C36" s="523"/>
      <c r="D36" s="180">
        <f>'Schedule 1C Adjustments'!F35</f>
        <v>0</v>
      </c>
      <c r="E36" s="180">
        <f>'Schedule 1C Adjustments'!I35</f>
        <v>0</v>
      </c>
      <c r="F36" s="194">
        <f t="shared" si="2"/>
        <v>0</v>
      </c>
      <c r="G36" s="195">
        <f>'Schedule 1C Adjustments'!L35</f>
        <v>2</v>
      </c>
      <c r="H36" s="178" t="str">
        <f>'Schedule 1C Adjustments'!M35</f>
        <v/>
      </c>
      <c r="I36" s="196" t="str">
        <f>'Schedule 1C Adjustments'!N35</f>
        <v>Vail Health SS Alloc</v>
      </c>
      <c r="J36" s="66"/>
      <c r="T36" s="67"/>
      <c r="U36" s="67"/>
      <c r="V36" s="67"/>
      <c r="W36" s="67"/>
      <c r="X36" s="67"/>
    </row>
    <row r="37" spans="1:24" s="4" customFormat="1" ht="15" customHeight="1" x14ac:dyDescent="0.35">
      <c r="A37" s="182">
        <f t="shared" si="1"/>
        <v>22</v>
      </c>
      <c r="B37" s="523" t="str">
        <f>'Schedule 1C Adjustments'!B36:C36</f>
        <v>22 - 8219 - Legal</v>
      </c>
      <c r="C37" s="523"/>
      <c r="D37" s="180">
        <f>'Schedule 1C Adjustments'!F36</f>
        <v>15098.747384341446</v>
      </c>
      <c r="E37" s="180">
        <f>'Schedule 1C Adjustments'!I36</f>
        <v>262389.53000000003</v>
      </c>
      <c r="F37" s="194">
        <f t="shared" si="2"/>
        <v>0</v>
      </c>
      <c r="G37" s="195">
        <f>'Schedule 1C Adjustments'!L36</f>
        <v>2</v>
      </c>
      <c r="H37" s="178" t="str">
        <f>'Schedule 1C Adjustments'!M36</f>
        <v/>
      </c>
      <c r="I37" s="196" t="str">
        <f>'Schedule 1C Adjustments'!N36</f>
        <v>Vail Health SS Alloc</v>
      </c>
      <c r="J37" s="66"/>
      <c r="T37" s="67"/>
      <c r="U37" s="67"/>
      <c r="V37" s="67"/>
      <c r="W37" s="67"/>
      <c r="X37" s="67"/>
    </row>
    <row r="38" spans="1:24" s="4" customFormat="1" ht="15" customHeight="1" x14ac:dyDescent="0.35">
      <c r="A38" s="182">
        <f t="shared" si="1"/>
        <v>23</v>
      </c>
      <c r="B38" s="523" t="str">
        <f>'Schedule 1C Adjustments'!B37:C37</f>
        <v>22 - 8221 - Patient Financial Services</v>
      </c>
      <c r="C38" s="523"/>
      <c r="D38" s="180">
        <f>'Schedule 1C Adjustments'!F37</f>
        <v>98748.179091005746</v>
      </c>
      <c r="E38" s="180">
        <f>'Schedule 1C Adjustments'!I37</f>
        <v>6149231.9000000004</v>
      </c>
      <c r="F38" s="194">
        <f t="shared" si="2"/>
        <v>0</v>
      </c>
      <c r="G38" s="195">
        <f>'Schedule 1C Adjustments'!L37</f>
        <v>2</v>
      </c>
      <c r="H38" s="178" t="str">
        <f>'Schedule 1C Adjustments'!M37</f>
        <v/>
      </c>
      <c r="I38" s="196" t="str">
        <f>'Schedule 1C Adjustments'!N37</f>
        <v>Vail Health SS Alloc</v>
      </c>
      <c r="J38" s="66"/>
      <c r="T38" s="67"/>
      <c r="U38" s="67"/>
      <c r="V38" s="67"/>
      <c r="W38" s="67"/>
      <c r="X38" s="67"/>
    </row>
    <row r="39" spans="1:24" s="4" customFormat="1" ht="15" customHeight="1" x14ac:dyDescent="0.35">
      <c r="A39" s="182">
        <f t="shared" si="1"/>
        <v>24</v>
      </c>
      <c r="B39" s="523" t="str">
        <f>'Schedule 1C Adjustments'!B38:C38</f>
        <v>22 - 8231 - Information Services</v>
      </c>
      <c r="C39" s="523"/>
      <c r="D39" s="180">
        <f>'Schedule 1C Adjustments'!F38</f>
        <v>1023380.8810798817</v>
      </c>
      <c r="E39" s="180">
        <f>'Schedule 1C Adjustments'!I38</f>
        <v>17115508.789999999</v>
      </c>
      <c r="F39" s="194">
        <f t="shared" si="2"/>
        <v>0</v>
      </c>
      <c r="G39" s="195">
        <f>'Schedule 1C Adjustments'!L38</f>
        <v>2</v>
      </c>
      <c r="H39" s="178" t="str">
        <f>'Schedule 1C Adjustments'!M38</f>
        <v/>
      </c>
      <c r="I39" s="196" t="str">
        <f>'Schedule 1C Adjustments'!N38</f>
        <v>Vail Health SS Alloc</v>
      </c>
      <c r="J39" s="66"/>
      <c r="T39" s="67"/>
      <c r="U39" s="67"/>
      <c r="V39" s="67"/>
      <c r="W39" s="67"/>
      <c r="X39" s="67"/>
    </row>
    <row r="40" spans="1:24" s="4" customFormat="1" ht="15" customHeight="1" x14ac:dyDescent="0.35">
      <c r="A40" s="182">
        <f t="shared" si="1"/>
        <v>25</v>
      </c>
      <c r="B40" s="523" t="str">
        <f>'Schedule 1C Adjustments'!B39:C39</f>
        <v>22 - 8232 - IT Applications</v>
      </c>
      <c r="C40" s="523"/>
      <c r="D40" s="180">
        <f>'Schedule 1C Adjustments'!F39</f>
        <v>129225.20015560267</v>
      </c>
      <c r="E40" s="180">
        <f>'Schedule 1C Adjustments'!I39</f>
        <v>7167603.46</v>
      </c>
      <c r="F40" s="194">
        <f t="shared" si="2"/>
        <v>0</v>
      </c>
      <c r="G40" s="195">
        <f>'Schedule 1C Adjustments'!L39</f>
        <v>2</v>
      </c>
      <c r="H40" s="178" t="str">
        <f>'Schedule 1C Adjustments'!M39</f>
        <v/>
      </c>
      <c r="I40" s="196" t="str">
        <f>'Schedule 1C Adjustments'!N39</f>
        <v>Vail Health SS Alloc</v>
      </c>
      <c r="J40" s="66"/>
      <c r="T40" s="67"/>
      <c r="U40" s="67"/>
      <c r="V40" s="67"/>
      <c r="W40" s="67"/>
      <c r="X40" s="67"/>
    </row>
    <row r="41" spans="1:24" s="4" customFormat="1" ht="15" customHeight="1" x14ac:dyDescent="0.35">
      <c r="A41" s="182">
        <f t="shared" si="1"/>
        <v>26</v>
      </c>
      <c r="B41" s="523" t="str">
        <f>'Schedule 1C Adjustments'!B40:C40</f>
        <v>22 - 8233 - Enterprise Project Management</v>
      </c>
      <c r="C41" s="523"/>
      <c r="D41" s="180">
        <f>'Schedule 1C Adjustments'!F40</f>
        <v>50992.383847364879</v>
      </c>
      <c r="E41" s="180">
        <f>'Schedule 1C Adjustments'!I40</f>
        <v>886157.46</v>
      </c>
      <c r="F41" s="194">
        <f t="shared" si="2"/>
        <v>0</v>
      </c>
      <c r="G41" s="195">
        <f>'Schedule 1C Adjustments'!L40</f>
        <v>2</v>
      </c>
      <c r="H41" s="178" t="str">
        <f>'Schedule 1C Adjustments'!M40</f>
        <v/>
      </c>
      <c r="I41" s="196" t="str">
        <f>'Schedule 1C Adjustments'!N40</f>
        <v>Vail Health SS Alloc</v>
      </c>
      <c r="J41" s="66"/>
      <c r="T41" s="67"/>
      <c r="U41" s="67"/>
      <c r="V41" s="67"/>
      <c r="W41" s="67"/>
      <c r="X41" s="67"/>
    </row>
    <row r="42" spans="1:24" s="4" customFormat="1" ht="15" customHeight="1" x14ac:dyDescent="0.35">
      <c r="A42" s="182">
        <f t="shared" si="1"/>
        <v>27</v>
      </c>
      <c r="B42" s="523" t="str">
        <f>'Schedule 1C Adjustments'!B41:C41</f>
        <v>22 - 8241 - Admitting Department</v>
      </c>
      <c r="C42" s="523"/>
      <c r="D42" s="180">
        <f>'Schedule 1C Adjustments'!F41</f>
        <v>44846.930606788017</v>
      </c>
      <c r="E42" s="180">
        <f>'Schedule 1C Adjustments'!I41</f>
        <v>2754852.7699999996</v>
      </c>
      <c r="F42" s="194">
        <f t="shared" si="2"/>
        <v>0</v>
      </c>
      <c r="G42" s="195">
        <f>'Schedule 1C Adjustments'!L41</f>
        <v>2</v>
      </c>
      <c r="H42" s="178" t="str">
        <f>'Schedule 1C Adjustments'!M41</f>
        <v/>
      </c>
      <c r="I42" s="196" t="str">
        <f>'Schedule 1C Adjustments'!N41</f>
        <v>Vail Health SS Alloc</v>
      </c>
      <c r="J42" s="66"/>
      <c r="T42" s="67"/>
      <c r="U42" s="67"/>
      <c r="V42" s="67"/>
      <c r="W42" s="67"/>
      <c r="X42" s="67"/>
    </row>
    <row r="43" spans="1:24" s="4" customFormat="1" ht="15" customHeight="1" x14ac:dyDescent="0.35">
      <c r="A43" s="182">
        <f t="shared" si="1"/>
        <v>28</v>
      </c>
      <c r="B43" s="523" t="str">
        <f>'Schedule 1C Adjustments'!B42:C42</f>
        <v>22 - 8242 - Insurance Verfication</v>
      </c>
      <c r="C43" s="523"/>
      <c r="D43" s="180">
        <f>'Schedule 1C Adjustments'!F42</f>
        <v>11939.792941856862</v>
      </c>
      <c r="E43" s="180">
        <f>'Schedule 1C Adjustments'!I42</f>
        <v>593137.52999999991</v>
      </c>
      <c r="F43" s="194">
        <f t="shared" si="2"/>
        <v>0</v>
      </c>
      <c r="G43" s="195">
        <f>'Schedule 1C Adjustments'!L42</f>
        <v>2</v>
      </c>
      <c r="H43" s="178" t="str">
        <f>'Schedule 1C Adjustments'!M42</f>
        <v/>
      </c>
      <c r="I43" s="196" t="str">
        <f>'Schedule 1C Adjustments'!N42</f>
        <v>Vail Health SS Alloc</v>
      </c>
      <c r="J43" s="66"/>
      <c r="T43" s="67"/>
      <c r="U43" s="67"/>
      <c r="V43" s="67"/>
      <c r="W43" s="67"/>
      <c r="X43" s="67"/>
    </row>
    <row r="44" spans="1:24" s="4" customFormat="1" ht="15" customHeight="1" x14ac:dyDescent="0.35">
      <c r="A44" s="182">
        <f t="shared" si="1"/>
        <v>29</v>
      </c>
      <c r="B44" s="523" t="str">
        <f>'Schedule 1C Adjustments'!B43:C43</f>
        <v>22 - 8311 - Administration</v>
      </c>
      <c r="C44" s="523"/>
      <c r="D44" s="180">
        <f>'Schedule 1C Adjustments'!F43</f>
        <v>872614.21</v>
      </c>
      <c r="E44" s="180">
        <f>'Schedule 1C Adjustments'!I43</f>
        <v>15547654.580000004</v>
      </c>
      <c r="F44" s="194">
        <f t="shared" si="2"/>
        <v>0</v>
      </c>
      <c r="G44" s="195">
        <f>'Schedule 1C Adjustments'!L43</f>
        <v>2</v>
      </c>
      <c r="H44" s="178" t="str">
        <f>'Schedule 1C Adjustments'!M43</f>
        <v/>
      </c>
      <c r="I44" s="196" t="str">
        <f>'Schedule 1C Adjustments'!N43</f>
        <v>Vail Health SS Alloc</v>
      </c>
      <c r="J44" s="66"/>
      <c r="T44" s="67"/>
      <c r="U44" s="67"/>
      <c r="V44" s="67"/>
      <c r="W44" s="67"/>
      <c r="X44" s="67"/>
    </row>
    <row r="45" spans="1:24" s="4" customFormat="1" ht="15" customHeight="1" x14ac:dyDescent="0.35">
      <c r="A45" s="182">
        <f t="shared" si="1"/>
        <v>30</v>
      </c>
      <c r="B45" s="523" t="str">
        <f>'Schedule 1C Adjustments'!B44:C44</f>
        <v>22 - 8315 - Marketing Public Relations</v>
      </c>
      <c r="C45" s="523"/>
      <c r="D45" s="180">
        <f>'Schedule 1C Adjustments'!F44</f>
        <v>84391.335740351496</v>
      </c>
      <c r="E45" s="180">
        <f>'Schedule 1C Adjustments'!I44</f>
        <v>1918099.7099999997</v>
      </c>
      <c r="F45" s="194">
        <f t="shared" si="2"/>
        <v>0</v>
      </c>
      <c r="G45" s="195">
        <f>'Schedule 1C Adjustments'!L44</f>
        <v>5</v>
      </c>
      <c r="H45" s="178" t="str">
        <f>'Schedule 1C Adjustments'!M44</f>
        <v/>
      </c>
      <c r="I45" s="196" t="str">
        <f>'Schedule 1C Adjustments'!N44</f>
        <v>Vail Health SS Alloc</v>
      </c>
      <c r="J45" s="66"/>
      <c r="T45" s="67"/>
      <c r="U45" s="67"/>
      <c r="V45" s="67"/>
      <c r="W45" s="67"/>
      <c r="X45" s="67"/>
    </row>
    <row r="46" spans="1:24" s="4" customFormat="1" ht="15" customHeight="1" x14ac:dyDescent="0.35">
      <c r="A46" s="182">
        <f t="shared" si="1"/>
        <v>31</v>
      </c>
      <c r="B46" s="523" t="str">
        <f>'Schedule 1C Adjustments'!B45:C45</f>
        <v>22 - 8316 - Development Department</v>
      </c>
      <c r="C46" s="523"/>
      <c r="D46" s="180">
        <f>'Schedule 1C Adjustments'!F45</f>
        <v>0</v>
      </c>
      <c r="E46" s="180">
        <f>'Schedule 1C Adjustments'!I45</f>
        <v>540566.77</v>
      </c>
      <c r="F46" s="194">
        <f t="shared" si="2"/>
        <v>0</v>
      </c>
      <c r="G46" s="195">
        <f>'Schedule 1C Adjustments'!L45</f>
        <v>2</v>
      </c>
      <c r="H46" s="178" t="str">
        <f>'Schedule 1C Adjustments'!M45</f>
        <v/>
      </c>
      <c r="I46" s="196" t="str">
        <f>'Schedule 1C Adjustments'!N45</f>
        <v>Vail Health SS Alloc</v>
      </c>
      <c r="J46" s="66"/>
      <c r="T46" s="67"/>
      <c r="U46" s="67"/>
      <c r="V46" s="67"/>
      <c r="W46" s="67"/>
      <c r="X46" s="67"/>
    </row>
    <row r="47" spans="1:24" s="4" customFormat="1" ht="15" customHeight="1" x14ac:dyDescent="0.35">
      <c r="A47" s="182">
        <f t="shared" si="1"/>
        <v>32</v>
      </c>
      <c r="B47" s="523" t="str">
        <f>'Schedule 1C Adjustments'!B46:C46</f>
        <v>22 - 8331 - Materials Management</v>
      </c>
      <c r="C47" s="523"/>
      <c r="D47" s="180">
        <f>'Schedule 1C Adjustments'!F46</f>
        <v>10929.889176652785</v>
      </c>
      <c r="E47" s="180">
        <f>'Schedule 1C Adjustments'!I46</f>
        <v>3311317.9200000009</v>
      </c>
      <c r="F47" s="194">
        <f t="shared" si="2"/>
        <v>0</v>
      </c>
      <c r="G47" s="195">
        <f>'Schedule 1C Adjustments'!L46</f>
        <v>2</v>
      </c>
      <c r="H47" s="178" t="str">
        <f>'Schedule 1C Adjustments'!M46</f>
        <v/>
      </c>
      <c r="I47" s="196" t="str">
        <f>'Schedule 1C Adjustments'!N46</f>
        <v>Vail Health SS Alloc</v>
      </c>
      <c r="J47" s="66"/>
      <c r="T47" s="67"/>
      <c r="U47" s="67"/>
      <c r="V47" s="67"/>
      <c r="W47" s="67"/>
      <c r="X47" s="67"/>
    </row>
    <row r="48" spans="1:24" s="4" customFormat="1" ht="15" customHeight="1" x14ac:dyDescent="0.35">
      <c r="A48" s="182">
        <f t="shared" si="1"/>
        <v>33</v>
      </c>
      <c r="B48" s="523" t="str">
        <f>'Schedule 1C Adjustments'!B47:C47</f>
        <v>22 - 8371 - Human Resources</v>
      </c>
      <c r="C48" s="523"/>
      <c r="D48" s="180">
        <f>'Schedule 1C Adjustments'!F47</f>
        <v>351929.33096154855</v>
      </c>
      <c r="E48" s="180">
        <f>'Schedule 1C Adjustments'!I47</f>
        <v>4861850.919999999</v>
      </c>
      <c r="F48" s="194">
        <f t="shared" si="2"/>
        <v>0</v>
      </c>
      <c r="G48" s="195">
        <f>'Schedule 1C Adjustments'!L47</f>
        <v>2</v>
      </c>
      <c r="H48" s="178" t="str">
        <f>'Schedule 1C Adjustments'!M47</f>
        <v/>
      </c>
      <c r="I48" s="196" t="str">
        <f>'Schedule 1C Adjustments'!N47</f>
        <v>Vail Health SS Alloc</v>
      </c>
      <c r="J48" s="66"/>
      <c r="T48" s="67"/>
      <c r="U48" s="67"/>
      <c r="V48" s="67"/>
      <c r="W48" s="67"/>
      <c r="X48" s="67"/>
    </row>
    <row r="49" spans="1:24" s="4" customFormat="1" ht="15" customHeight="1" x14ac:dyDescent="0.35">
      <c r="A49" s="182">
        <f t="shared" si="1"/>
        <v>34</v>
      </c>
      <c r="B49" s="523" t="str">
        <f>'Schedule 1C Adjustments'!B48:C48</f>
        <v>22 - 8372 - Property Management</v>
      </c>
      <c r="C49" s="523"/>
      <c r="D49" s="180">
        <f>'Schedule 1C Adjustments'!F48</f>
        <v>88983.460894614007</v>
      </c>
      <c r="E49" s="180">
        <f>'Schedule 1C Adjustments'!I48</f>
        <v>1553733.4900000002</v>
      </c>
      <c r="F49" s="194">
        <f t="shared" si="2"/>
        <v>0</v>
      </c>
      <c r="G49" s="195">
        <f>'Schedule 1C Adjustments'!L48</f>
        <v>5</v>
      </c>
      <c r="H49" s="178" t="str">
        <f>'Schedule 1C Adjustments'!M48</f>
        <v/>
      </c>
      <c r="I49" s="196" t="str">
        <f>'Schedule 1C Adjustments'!N48</f>
        <v>Vail Health SS Alloc</v>
      </c>
      <c r="J49" s="66"/>
      <c r="T49" s="67"/>
      <c r="U49" s="67"/>
      <c r="V49" s="67"/>
      <c r="W49" s="67"/>
      <c r="X49" s="67"/>
    </row>
    <row r="50" spans="1:24" s="4" customFormat="1" ht="15" customHeight="1" x14ac:dyDescent="0.35">
      <c r="A50" s="182">
        <f t="shared" si="1"/>
        <v>35</v>
      </c>
      <c r="B50" s="523" t="str">
        <f>'Schedule 1C Adjustments'!B49:C49</f>
        <v>22 - 8379 - Property Management Dillon</v>
      </c>
      <c r="C50" s="523"/>
      <c r="D50" s="180">
        <f>'Schedule 1C Adjustments'!F49</f>
        <v>4486.4616833330811</v>
      </c>
      <c r="E50" s="180">
        <f>'Schedule 1C Adjustments'!I49</f>
        <v>69697.179999999993</v>
      </c>
      <c r="F50" s="194">
        <f t="shared" si="2"/>
        <v>0</v>
      </c>
      <c r="G50" s="195">
        <f>'Schedule 1C Adjustments'!L49</f>
        <v>2</v>
      </c>
      <c r="H50" s="178" t="str">
        <f>'Schedule 1C Adjustments'!M49</f>
        <v/>
      </c>
      <c r="I50" s="196" t="str">
        <f>'Schedule 1C Adjustments'!N49</f>
        <v>Vail Health SS Alloc</v>
      </c>
      <c r="J50" s="66"/>
      <c r="T50" s="67"/>
      <c r="U50" s="67"/>
      <c r="V50" s="67"/>
      <c r="W50" s="67"/>
      <c r="X50" s="67"/>
    </row>
    <row r="51" spans="1:24" s="4" customFormat="1" ht="15" customHeight="1" x14ac:dyDescent="0.35">
      <c r="A51" s="182">
        <f t="shared" si="1"/>
        <v>36</v>
      </c>
      <c r="B51" s="523" t="str">
        <f>'Schedule 1C Adjustments'!B50:C50</f>
        <v>22 - 8380 - Benefits Department</v>
      </c>
      <c r="C51" s="523"/>
      <c r="D51" s="180">
        <f>'Schedule 1C Adjustments'!F50</f>
        <v>-37991.806491262752</v>
      </c>
      <c r="E51" s="180">
        <f>'Schedule 1C Adjustments'!I50</f>
        <v>-568055.21</v>
      </c>
      <c r="F51" s="194">
        <f>IF(E51-D51&lt;0,0,E51-D51)</f>
        <v>0</v>
      </c>
      <c r="G51" s="195">
        <f>'Schedule 1C Adjustments'!L50</f>
        <v>2</v>
      </c>
      <c r="H51" s="178" t="str">
        <f>'Schedule 1C Adjustments'!M50</f>
        <v/>
      </c>
      <c r="I51" s="196" t="str">
        <f>'Schedule 1C Adjustments'!N50</f>
        <v>Vail Health SS Alloc</v>
      </c>
      <c r="J51" s="66"/>
      <c r="T51" s="67"/>
      <c r="U51" s="67"/>
      <c r="V51" s="67"/>
      <c r="W51" s="67"/>
      <c r="X51" s="67"/>
    </row>
    <row r="52" spans="1:24" s="4" customFormat="1" ht="15" customHeight="1" x14ac:dyDescent="0.35">
      <c r="A52" s="182">
        <f t="shared" si="1"/>
        <v>37</v>
      </c>
      <c r="B52" s="523" t="str">
        <f>'Schedule 1C Adjustments'!B51:C51</f>
        <v/>
      </c>
      <c r="C52" s="523"/>
      <c r="D52" s="180">
        <f>'Schedule 1C Adjustments'!F51</f>
        <v>0</v>
      </c>
      <c r="E52" s="180">
        <f>'Schedule 1C Adjustments'!I51</f>
        <v>0</v>
      </c>
      <c r="F52" s="194">
        <f t="shared" si="2"/>
        <v>0</v>
      </c>
      <c r="G52" s="195">
        <f>'Schedule 1C Adjustments'!L51</f>
        <v>2</v>
      </c>
      <c r="H52" s="178" t="str">
        <f>'Schedule 1C Adjustments'!M51</f>
        <v/>
      </c>
      <c r="I52" s="196" t="str">
        <f>'Schedule 1C Adjustments'!N51</f>
        <v>Vail Health SS Alloc</v>
      </c>
      <c r="J52" s="66"/>
      <c r="T52" s="67"/>
      <c r="U52" s="67"/>
      <c r="V52" s="67"/>
      <c r="W52" s="67"/>
      <c r="X52" s="67"/>
    </row>
    <row r="53" spans="1:24" s="4" customFormat="1" ht="15" customHeight="1" x14ac:dyDescent="0.35">
      <c r="A53" s="182">
        <f t="shared" si="1"/>
        <v>38</v>
      </c>
      <c r="B53" s="523" t="str">
        <f>'Schedule 1C Adjustments'!B52:C52</f>
        <v>EVBH Executive Director Salary Reallocation to Direct Pay</v>
      </c>
      <c r="C53" s="523"/>
      <c r="D53" s="180">
        <f>'Schedule 1C Adjustments'!F52</f>
        <v>118703</v>
      </c>
      <c r="E53" s="180">
        <f>'Schedule 1C Adjustments'!I52</f>
        <v>118703</v>
      </c>
      <c r="F53" s="194">
        <f>IF(E53-D53&lt;0,0,E53-D53)</f>
        <v>0</v>
      </c>
      <c r="G53" s="195">
        <f>'Schedule 1C Adjustments'!L52</f>
        <v>2</v>
      </c>
      <c r="H53" s="178" t="str">
        <f>'Schedule 1C Adjustments'!M52</f>
        <v/>
      </c>
      <c r="I53" s="196" t="str">
        <f>'Schedule 1C Adjustments'!N52</f>
        <v>Vail Health SS Alloc</v>
      </c>
      <c r="J53" s="66"/>
      <c r="T53" s="67"/>
      <c r="U53" s="67"/>
      <c r="V53" s="67"/>
      <c r="W53" s="67"/>
      <c r="X53" s="67"/>
    </row>
    <row r="54" spans="1:24" s="4" customFormat="1" ht="15" customHeight="1" x14ac:dyDescent="0.35">
      <c r="A54" s="182">
        <f t="shared" si="1"/>
        <v>39</v>
      </c>
      <c r="B54" s="523"/>
      <c r="C54" s="523"/>
      <c r="D54" s="180">
        <f>'Schedule 1C Adjustments'!F53</f>
        <v>0</v>
      </c>
      <c r="E54" s="180">
        <f>'Schedule 1C Adjustments'!I53</f>
        <v>0</v>
      </c>
      <c r="F54" s="194">
        <f t="shared" si="2"/>
        <v>0</v>
      </c>
      <c r="G54" s="195"/>
      <c r="H54" s="178" t="str">
        <f>'Schedule 1C Adjustments'!M53</f>
        <v/>
      </c>
      <c r="I54" s="196" t="str">
        <f>'Schedule 1C Adjustments'!N53</f>
        <v/>
      </c>
      <c r="J54" s="66"/>
      <c r="T54" s="67"/>
      <c r="U54" s="67"/>
      <c r="V54" s="67"/>
      <c r="W54" s="67"/>
      <c r="X54" s="67"/>
    </row>
    <row r="55" spans="1:24" s="4" customFormat="1" ht="15" customHeight="1" x14ac:dyDescent="0.35">
      <c r="A55" s="182">
        <f t="shared" si="1"/>
        <v>40</v>
      </c>
      <c r="B55" s="523" t="str">
        <f>'Schedule 1C Adjustments'!B54:C54</f>
        <v/>
      </c>
      <c r="C55" s="523"/>
      <c r="D55" s="180">
        <f>'Schedule 1C Adjustments'!F54</f>
        <v>0</v>
      </c>
      <c r="E55" s="180">
        <f>'Schedule 1C Adjustments'!I54</f>
        <v>0</v>
      </c>
      <c r="F55" s="194">
        <f t="shared" si="2"/>
        <v>0</v>
      </c>
      <c r="G55" s="195" t="str">
        <f>'Schedule 1C Adjustments'!L54</f>
        <v/>
      </c>
      <c r="H55" s="178" t="str">
        <f>'Schedule 1C Adjustments'!M54</f>
        <v/>
      </c>
      <c r="I55" s="196" t="str">
        <f>'Schedule 1C Adjustments'!N54</f>
        <v/>
      </c>
      <c r="J55" s="66"/>
      <c r="T55" s="67"/>
      <c r="U55" s="67"/>
      <c r="V55" s="67"/>
      <c r="W55" s="67"/>
      <c r="X55" s="67"/>
    </row>
    <row r="56" spans="1:24" s="4" customFormat="1" ht="15" customHeight="1" x14ac:dyDescent="0.35">
      <c r="A56" s="182">
        <f t="shared" si="1"/>
        <v>41</v>
      </c>
      <c r="B56" s="523" t="str">
        <f>'Schedule 1C Adjustments'!B55:C55</f>
        <v/>
      </c>
      <c r="C56" s="523"/>
      <c r="D56" s="180">
        <f>'Schedule 1C Adjustments'!F55</f>
        <v>0</v>
      </c>
      <c r="E56" s="180">
        <f>'Schedule 1C Adjustments'!I55</f>
        <v>0</v>
      </c>
      <c r="F56" s="194">
        <f t="shared" si="2"/>
        <v>0</v>
      </c>
      <c r="G56" s="195" t="str">
        <f>'Schedule 1C Adjustments'!L55</f>
        <v/>
      </c>
      <c r="H56" s="178" t="str">
        <f>'Schedule 1C Adjustments'!M55</f>
        <v/>
      </c>
      <c r="I56" s="196" t="str">
        <f>'Schedule 1C Adjustments'!N55</f>
        <v/>
      </c>
      <c r="J56" s="66"/>
      <c r="T56" s="67"/>
      <c r="U56" s="67"/>
      <c r="V56" s="67"/>
      <c r="W56" s="67"/>
      <c r="X56" s="67"/>
    </row>
    <row r="57" spans="1:24" s="4" customFormat="1" ht="15" customHeight="1" x14ac:dyDescent="0.35">
      <c r="A57" s="182">
        <f t="shared" si="1"/>
        <v>42</v>
      </c>
      <c r="B57" s="523" t="str">
        <f>'Schedule 1C Adjustments'!B56:C56</f>
        <v/>
      </c>
      <c r="C57" s="523"/>
      <c r="D57" s="180">
        <f>'Schedule 1C Adjustments'!F56</f>
        <v>0</v>
      </c>
      <c r="E57" s="180">
        <f>'Schedule 1C Adjustments'!I56</f>
        <v>0</v>
      </c>
      <c r="F57" s="194">
        <f t="shared" si="0"/>
        <v>0</v>
      </c>
      <c r="G57" s="195" t="str">
        <f>'Schedule 1C Adjustments'!L56</f>
        <v/>
      </c>
      <c r="H57" s="178" t="str">
        <f>'Schedule 1C Adjustments'!M56</f>
        <v/>
      </c>
      <c r="I57" s="196" t="str">
        <f>'Schedule 1C Adjustments'!N56</f>
        <v/>
      </c>
      <c r="J57" s="66"/>
      <c r="T57" s="67"/>
      <c r="U57" s="67"/>
      <c r="V57" s="67"/>
      <c r="W57" s="67"/>
      <c r="X57" s="67"/>
    </row>
    <row r="58" spans="1:24" s="4" customFormat="1" ht="15" customHeight="1" x14ac:dyDescent="0.35">
      <c r="A58" s="182">
        <f t="shared" si="1"/>
        <v>43</v>
      </c>
      <c r="B58" s="523" t="str">
        <f>'Schedule 1C Adjustments'!B57:C57</f>
        <v/>
      </c>
      <c r="C58" s="523"/>
      <c r="D58" s="180">
        <f>'Schedule 1C Adjustments'!F57</f>
        <v>0</v>
      </c>
      <c r="E58" s="180">
        <f>'Schedule 1C Adjustments'!I57</f>
        <v>0</v>
      </c>
      <c r="F58" s="194">
        <f t="shared" si="0"/>
        <v>0</v>
      </c>
      <c r="G58" s="195" t="str">
        <f>'Schedule 1C Adjustments'!L57</f>
        <v/>
      </c>
      <c r="H58" s="178" t="str">
        <f>'Schedule 1C Adjustments'!M57</f>
        <v/>
      </c>
      <c r="I58" s="196" t="str">
        <f>'Schedule 1C Adjustments'!N57</f>
        <v/>
      </c>
      <c r="J58" s="66"/>
      <c r="T58" s="67"/>
      <c r="U58" s="67"/>
      <c r="V58" s="67"/>
      <c r="W58" s="67"/>
      <c r="X58" s="67"/>
    </row>
    <row r="59" spans="1:24" s="4" customFormat="1" ht="15" customHeight="1" x14ac:dyDescent="0.35">
      <c r="A59" s="182">
        <f t="shared" si="1"/>
        <v>44</v>
      </c>
      <c r="B59" s="523" t="str">
        <f>'Schedule 1C Adjustments'!B58:C58</f>
        <v/>
      </c>
      <c r="C59" s="523"/>
      <c r="D59" s="180">
        <f>'Schedule 1C Adjustments'!F58</f>
        <v>0</v>
      </c>
      <c r="E59" s="180">
        <f>'Schedule 1C Adjustments'!I58</f>
        <v>0</v>
      </c>
      <c r="F59" s="194">
        <f t="shared" si="0"/>
        <v>0</v>
      </c>
      <c r="G59" s="195" t="str">
        <f>'Schedule 1C Adjustments'!L58</f>
        <v/>
      </c>
      <c r="H59" s="178" t="str">
        <f>'Schedule 1C Adjustments'!M58</f>
        <v/>
      </c>
      <c r="I59" s="196" t="str">
        <f>'Schedule 1C Adjustments'!N58</f>
        <v/>
      </c>
      <c r="J59" s="66"/>
      <c r="T59" s="67"/>
      <c r="U59" s="67"/>
      <c r="V59" s="67"/>
      <c r="W59" s="67"/>
      <c r="X59" s="67"/>
    </row>
    <row r="60" spans="1:24" s="4" customFormat="1" ht="15" customHeight="1" x14ac:dyDescent="0.35">
      <c r="A60" s="182">
        <f t="shared" si="1"/>
        <v>45</v>
      </c>
      <c r="B60" s="523" t="str">
        <f>'Schedule 1C Adjustments'!B59:C59</f>
        <v/>
      </c>
      <c r="C60" s="523"/>
      <c r="D60" s="180">
        <f>'Schedule 1C Adjustments'!F59</f>
        <v>0</v>
      </c>
      <c r="E60" s="180">
        <f>'Schedule 1C Adjustments'!I59</f>
        <v>0</v>
      </c>
      <c r="F60" s="194">
        <f t="shared" si="0"/>
        <v>0</v>
      </c>
      <c r="G60" s="195" t="str">
        <f>'Schedule 1C Adjustments'!L59</f>
        <v/>
      </c>
      <c r="H60" s="178" t="str">
        <f>'Schedule 1C Adjustments'!M59</f>
        <v/>
      </c>
      <c r="I60" s="196" t="str">
        <f>'Schedule 1C Adjustments'!N59</f>
        <v/>
      </c>
      <c r="J60" s="66"/>
      <c r="T60" s="67"/>
      <c r="U60" s="67"/>
      <c r="V60" s="67"/>
      <c r="W60" s="67"/>
      <c r="X60" s="67"/>
    </row>
    <row r="61" spans="1:24" s="4" customFormat="1" ht="15" customHeight="1" x14ac:dyDescent="0.35">
      <c r="A61" s="182">
        <f t="shared" si="1"/>
        <v>46</v>
      </c>
      <c r="B61" s="523" t="str">
        <f>'Schedule 1C Adjustments'!B60:C60</f>
        <v>Net of Unallowed</v>
      </c>
      <c r="C61" s="523"/>
      <c r="D61" s="180">
        <f>'Schedule 1C Adjustments'!F60</f>
        <v>3944690.7862894782</v>
      </c>
      <c r="E61" s="180">
        <f>'Schedule 1C Adjustments'!I60</f>
        <v>83915059.960000008</v>
      </c>
      <c r="F61" s="194">
        <f t="shared" si="0"/>
        <v>0</v>
      </c>
      <c r="G61" s="195" t="str">
        <f>'Schedule 1C Adjustments'!L60</f>
        <v/>
      </c>
      <c r="H61" s="178" t="str">
        <f>'Schedule 1C Adjustments'!M60</f>
        <v/>
      </c>
      <c r="I61" s="196" t="str">
        <f>'Schedule 1C Adjustments'!N60</f>
        <v/>
      </c>
      <c r="J61" s="66"/>
      <c r="T61" s="67"/>
      <c r="U61" s="67"/>
      <c r="V61" s="67"/>
      <c r="W61" s="67"/>
      <c r="X61" s="67"/>
    </row>
    <row r="62" spans="1:24" s="4" customFormat="1" ht="15" customHeight="1" x14ac:dyDescent="0.35">
      <c r="A62" s="182">
        <f t="shared" si="1"/>
        <v>47</v>
      </c>
      <c r="B62" s="318" t="s">
        <v>598</v>
      </c>
      <c r="C62" s="191"/>
      <c r="D62" s="197"/>
      <c r="E62" s="191"/>
      <c r="F62" s="185">
        <f>SUM(F16:F61)</f>
        <v>0</v>
      </c>
      <c r="G62" s="191"/>
      <c r="H62" s="198"/>
      <c r="I62" s="191"/>
      <c r="J62" s="66"/>
      <c r="T62" s="67"/>
      <c r="U62" s="67"/>
      <c r="V62" s="67"/>
      <c r="W62" s="67"/>
      <c r="X62" s="67"/>
    </row>
    <row r="63" spans="1:24" s="4" customFormat="1" ht="15" customHeight="1" x14ac:dyDescent="0.35">
      <c r="A63" s="199"/>
      <c r="B63" s="191"/>
      <c r="C63" s="191"/>
      <c r="D63" s="197"/>
      <c r="E63" s="191"/>
      <c r="F63" s="191"/>
      <c r="G63" s="191"/>
      <c r="H63" s="198"/>
      <c r="I63" s="191"/>
      <c r="J63" s="66"/>
      <c r="T63" s="67"/>
      <c r="U63" s="67"/>
      <c r="V63" s="67"/>
      <c r="W63" s="67"/>
      <c r="X63" s="67"/>
    </row>
    <row r="64" spans="1:24" x14ac:dyDescent="0.35">
      <c r="A64" s="182">
        <f>A62+1</f>
        <v>48</v>
      </c>
      <c r="B64" s="100"/>
      <c r="C64" s="100"/>
      <c r="D64" s="100"/>
      <c r="E64" s="184" t="s">
        <v>184</v>
      </c>
      <c r="F64" s="185">
        <f>SUMIF($G$16:$G$61,2,$F$16:$F$61)</f>
        <v>0</v>
      </c>
      <c r="G64" s="191"/>
      <c r="H64" s="100"/>
      <c r="I64" s="100"/>
    </row>
    <row r="65" spans="1:24" x14ac:dyDescent="0.35">
      <c r="A65" s="182">
        <f t="shared" ref="A65:A67" si="3">A63+1</f>
        <v>1</v>
      </c>
      <c r="B65" s="100"/>
      <c r="C65" s="100"/>
      <c r="D65" s="100"/>
      <c r="E65" s="184" t="s">
        <v>182</v>
      </c>
      <c r="F65" s="185">
        <f>SUMIF($G$16:$G$61,3,$F$16:$F$61)</f>
        <v>0</v>
      </c>
      <c r="G65" s="191"/>
      <c r="H65" s="100"/>
      <c r="I65" s="100"/>
    </row>
    <row r="66" spans="1:24" x14ac:dyDescent="0.35">
      <c r="A66" s="182">
        <f t="shared" si="3"/>
        <v>49</v>
      </c>
      <c r="B66" s="100"/>
      <c r="C66" s="100"/>
      <c r="D66" s="100"/>
      <c r="E66" s="184" t="s">
        <v>183</v>
      </c>
      <c r="F66" s="185">
        <f>SUMIF($G$16:$G$61,4,$F$16:$F$61)</f>
        <v>0</v>
      </c>
      <c r="G66" s="191"/>
      <c r="H66" s="100"/>
      <c r="I66" s="100"/>
    </row>
    <row r="67" spans="1:24" x14ac:dyDescent="0.35">
      <c r="A67" s="182">
        <f t="shared" si="3"/>
        <v>2</v>
      </c>
      <c r="B67" s="100"/>
      <c r="C67" s="100"/>
      <c r="D67" s="100"/>
      <c r="E67" s="184" t="s">
        <v>185</v>
      </c>
      <c r="F67" s="185">
        <f>SUMIF($G$16:$G$61,5,$F$16:$F$61)</f>
        <v>0</v>
      </c>
      <c r="G67" s="191"/>
      <c r="H67" s="100"/>
      <c r="I67" s="100"/>
    </row>
    <row r="68" spans="1:24" x14ac:dyDescent="0.35">
      <c r="A68" s="100"/>
      <c r="B68" s="100"/>
      <c r="C68" s="100"/>
      <c r="D68" s="100"/>
      <c r="E68" s="100"/>
      <c r="F68" s="186" t="str">
        <f>IF(SUM(F64:F67)&lt;&gt;F62,"error","")</f>
        <v/>
      </c>
      <c r="G68" s="191"/>
      <c r="H68" s="100"/>
      <c r="I68" s="100"/>
    </row>
    <row r="69" spans="1:24" ht="15.65" customHeight="1" x14ac:dyDescent="0.35">
      <c r="A69" s="100"/>
      <c r="B69" s="187"/>
      <c r="C69" s="187"/>
      <c r="D69" s="187"/>
      <c r="E69" s="187"/>
      <c r="F69" s="188" t="s">
        <v>271</v>
      </c>
      <c r="G69" s="188"/>
      <c r="H69" s="187"/>
      <c r="I69" s="187"/>
      <c r="J69" s="64"/>
      <c r="T69" s="65"/>
      <c r="U69" s="65"/>
      <c r="V69" s="65"/>
      <c r="W69" s="65"/>
      <c r="X69" s="65"/>
    </row>
    <row r="70" spans="1:24" x14ac:dyDescent="0.35">
      <c r="A70" s="200"/>
      <c r="B70" s="201"/>
      <c r="C70" s="201"/>
      <c r="D70" s="202"/>
      <c r="E70" s="201"/>
      <c r="F70" s="201"/>
      <c r="G70" s="201"/>
      <c r="H70" s="203"/>
      <c r="I70" s="201"/>
      <c r="J70" s="64"/>
      <c r="T70" s="65"/>
      <c r="U70" s="65"/>
      <c r="V70" s="65"/>
      <c r="W70" s="65"/>
      <c r="X70" s="65"/>
    </row>
    <row r="71" spans="1:24" ht="15.65" customHeight="1" x14ac:dyDescent="0.35">
      <c r="A71" s="534" t="s">
        <v>923</v>
      </c>
      <c r="B71" s="534"/>
      <c r="C71" s="534"/>
      <c r="D71" s="534"/>
      <c r="E71" s="534"/>
      <c r="F71" s="534"/>
      <c r="G71" s="534"/>
      <c r="H71" s="534"/>
      <c r="I71" s="534"/>
      <c r="J71" s="64"/>
      <c r="T71" s="65"/>
      <c r="U71" s="65"/>
      <c r="V71" s="65"/>
      <c r="W71" s="65"/>
      <c r="X71" s="65"/>
    </row>
    <row r="72" spans="1:24" x14ac:dyDescent="0.35">
      <c r="A72" s="534"/>
      <c r="B72" s="534"/>
      <c r="C72" s="534"/>
      <c r="D72" s="534"/>
      <c r="E72" s="534"/>
      <c r="F72" s="534"/>
      <c r="G72" s="534"/>
      <c r="H72" s="534"/>
      <c r="I72" s="534"/>
      <c r="J72" s="64"/>
      <c r="T72" s="65"/>
      <c r="U72" s="65"/>
      <c r="V72" s="65"/>
      <c r="W72" s="65"/>
      <c r="X72" s="65"/>
    </row>
    <row r="73" spans="1:24" x14ac:dyDescent="0.35">
      <c r="A73" s="534"/>
      <c r="B73" s="534"/>
      <c r="C73" s="534"/>
      <c r="D73" s="534"/>
      <c r="E73" s="534"/>
      <c r="F73" s="534"/>
      <c r="G73" s="534"/>
      <c r="H73" s="534"/>
      <c r="I73" s="534"/>
      <c r="J73" s="64"/>
      <c r="T73" s="65"/>
      <c r="U73" s="65"/>
      <c r="V73" s="65"/>
      <c r="W73" s="65"/>
      <c r="X73" s="65"/>
    </row>
    <row r="74" spans="1:24" x14ac:dyDescent="0.35">
      <c r="A74" s="534"/>
      <c r="B74" s="534"/>
      <c r="C74" s="534"/>
      <c r="D74" s="534"/>
      <c r="E74" s="534"/>
      <c r="F74" s="534"/>
      <c r="G74" s="534"/>
      <c r="H74" s="534"/>
      <c r="I74" s="534"/>
      <c r="J74" s="64"/>
      <c r="T74" s="65"/>
      <c r="U74" s="65"/>
      <c r="V74" s="65"/>
      <c r="W74" s="65"/>
      <c r="X74" s="65"/>
    </row>
    <row r="75" spans="1:24" x14ac:dyDescent="0.35">
      <c r="A75" s="534"/>
      <c r="B75" s="534"/>
      <c r="C75" s="534"/>
      <c r="D75" s="534"/>
      <c r="E75" s="534"/>
      <c r="F75" s="534"/>
      <c r="G75" s="534"/>
      <c r="H75" s="534"/>
      <c r="I75" s="534"/>
      <c r="J75" s="64"/>
      <c r="T75" s="65"/>
      <c r="U75" s="65"/>
      <c r="V75" s="65"/>
      <c r="W75" s="65"/>
      <c r="X75" s="65"/>
    </row>
    <row r="76" spans="1:24" x14ac:dyDescent="0.35">
      <c r="A76" s="534"/>
      <c r="B76" s="534"/>
      <c r="C76" s="534"/>
      <c r="D76" s="534"/>
      <c r="E76" s="534"/>
      <c r="F76" s="534"/>
      <c r="G76" s="534"/>
      <c r="H76" s="534"/>
      <c r="I76" s="534"/>
      <c r="J76" s="64"/>
      <c r="T76" s="65"/>
      <c r="U76" s="65"/>
      <c r="V76" s="65"/>
      <c r="W76" s="65"/>
      <c r="X76" s="65"/>
    </row>
    <row r="77" spans="1:24" ht="14.25" customHeight="1" x14ac:dyDescent="0.35">
      <c r="A77" s="100"/>
      <c r="B77" s="100"/>
      <c r="C77" s="100"/>
      <c r="D77" s="100"/>
      <c r="E77" s="100"/>
      <c r="F77" s="100"/>
      <c r="G77" s="100"/>
      <c r="H77" s="113"/>
      <c r="I77" s="100"/>
    </row>
    <row r="78" spans="1:24" x14ac:dyDescent="0.35">
      <c r="A78" s="100"/>
      <c r="B78" s="100"/>
      <c r="C78" s="100"/>
      <c r="D78" s="100"/>
      <c r="E78" s="100"/>
      <c r="F78" s="100"/>
      <c r="G78" s="100"/>
      <c r="H78" s="113"/>
      <c r="I78" s="100"/>
    </row>
    <row r="79" spans="1:24" x14ac:dyDescent="0.35">
      <c r="A79" s="100"/>
      <c r="B79" s="100"/>
      <c r="C79" s="100"/>
      <c r="D79" s="100"/>
      <c r="E79" s="100"/>
      <c r="F79" s="100"/>
      <c r="G79" s="100"/>
      <c r="H79" s="113"/>
      <c r="I79" s="100"/>
    </row>
    <row r="80" spans="1:24"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89" spans="1:9" x14ac:dyDescent="0.35">
      <c r="A89" s="100"/>
      <c r="B89" s="100"/>
      <c r="C89" s="100"/>
      <c r="D89" s="100"/>
      <c r="E89" s="100"/>
      <c r="F89" s="100"/>
      <c r="G89" s="100"/>
      <c r="H89" s="113"/>
      <c r="I89" s="100"/>
    </row>
    <row r="90" spans="1:9" x14ac:dyDescent="0.35">
      <c r="A90" s="100"/>
      <c r="B90" s="100"/>
      <c r="C90" s="100"/>
      <c r="D90" s="100"/>
      <c r="E90" s="100"/>
      <c r="F90" s="100"/>
      <c r="G90" s="100"/>
      <c r="H90" s="113"/>
      <c r="I90" s="100"/>
    </row>
    <row r="91" spans="1:9" x14ac:dyDescent="0.35">
      <c r="A91" s="100"/>
      <c r="B91" s="100"/>
      <c r="C91" s="100"/>
      <c r="D91" s="100"/>
      <c r="E91" s="100"/>
      <c r="F91" s="100"/>
      <c r="G91" s="100"/>
      <c r="H91" s="113"/>
      <c r="I91" s="100"/>
    </row>
    <row r="92" spans="1:9" x14ac:dyDescent="0.35">
      <c r="A92" s="100"/>
      <c r="B92" s="100"/>
      <c r="C92" s="100"/>
      <c r="D92" s="100"/>
      <c r="E92" s="100"/>
      <c r="F92" s="100"/>
      <c r="G92" s="100"/>
      <c r="H92" s="113"/>
      <c r="I92" s="100"/>
    </row>
    <row r="93" spans="1:9" x14ac:dyDescent="0.35">
      <c r="A93" s="100"/>
      <c r="B93" s="100"/>
      <c r="C93" s="100"/>
      <c r="D93" s="100"/>
      <c r="E93" s="100"/>
      <c r="F93" s="100"/>
      <c r="G93" s="100"/>
      <c r="H93" s="113"/>
      <c r="I93" s="100"/>
    </row>
    <row r="94" spans="1:9" x14ac:dyDescent="0.35">
      <c r="A94" s="100"/>
      <c r="B94" s="100"/>
      <c r="C94" s="100"/>
      <c r="D94" s="100"/>
      <c r="E94" s="100"/>
      <c r="F94" s="100"/>
      <c r="G94" s="100"/>
      <c r="H94" s="113"/>
      <c r="I94" s="100"/>
    </row>
    <row r="95" spans="1:9" x14ac:dyDescent="0.35">
      <c r="A95" s="100"/>
      <c r="B95" s="100"/>
      <c r="C95" s="100"/>
      <c r="D95" s="100"/>
      <c r="E95" s="100"/>
      <c r="F95" s="100"/>
      <c r="G95" s="100"/>
      <c r="H95" s="113"/>
      <c r="I95" s="100"/>
    </row>
    <row r="96" spans="1:9" x14ac:dyDescent="0.35">
      <c r="A96" s="100"/>
      <c r="B96" s="100"/>
      <c r="C96" s="100"/>
      <c r="D96" s="100"/>
      <c r="E96" s="100"/>
      <c r="F96" s="100"/>
      <c r="G96" s="100"/>
      <c r="H96" s="113"/>
      <c r="I96" s="100"/>
    </row>
    <row r="97" spans="1:9" x14ac:dyDescent="0.35">
      <c r="A97" s="100"/>
      <c r="B97" s="100"/>
      <c r="C97" s="100"/>
      <c r="D97" s="100"/>
      <c r="E97" s="100"/>
      <c r="F97" s="100"/>
      <c r="G97" s="100"/>
      <c r="H97" s="113"/>
      <c r="I97" s="100"/>
    </row>
    <row r="98" spans="1:9" x14ac:dyDescent="0.35">
      <c r="A98" s="100"/>
      <c r="B98" s="100"/>
      <c r="C98" s="100"/>
      <c r="D98" s="100"/>
      <c r="E98" s="100"/>
      <c r="F98" s="100"/>
      <c r="G98" s="100"/>
      <c r="H98" s="113"/>
      <c r="I98" s="100"/>
    </row>
    <row r="99" spans="1:9" x14ac:dyDescent="0.35">
      <c r="A99" s="100"/>
      <c r="B99" s="100"/>
      <c r="C99" s="100"/>
      <c r="D99" s="100"/>
      <c r="E99" s="100"/>
      <c r="F99" s="100"/>
      <c r="G99" s="100"/>
      <c r="H99" s="113"/>
      <c r="I99" s="100"/>
    </row>
    <row r="100" spans="1:9" x14ac:dyDescent="0.35">
      <c r="A100" s="100"/>
      <c r="B100" s="100"/>
      <c r="C100" s="100"/>
      <c r="D100" s="100"/>
      <c r="E100" s="100"/>
      <c r="F100" s="100"/>
      <c r="G100" s="100"/>
      <c r="H100" s="113"/>
      <c r="I100" s="100"/>
    </row>
    <row r="101" spans="1:9" x14ac:dyDescent="0.35">
      <c r="A101" s="100"/>
      <c r="B101" s="100"/>
      <c r="C101" s="100"/>
      <c r="D101" s="100"/>
      <c r="E101" s="100"/>
      <c r="F101" s="100"/>
      <c r="G101" s="100"/>
      <c r="H101" s="113"/>
      <c r="I101" s="100"/>
    </row>
    <row r="102" spans="1:9" x14ac:dyDescent="0.35">
      <c r="A102" s="100"/>
      <c r="B102" s="100"/>
      <c r="C102" s="100"/>
      <c r="D102" s="100"/>
      <c r="E102" s="100"/>
      <c r="F102" s="100"/>
      <c r="G102" s="100"/>
      <c r="H102" s="113"/>
      <c r="I102" s="100"/>
    </row>
    <row r="103" spans="1:9" x14ac:dyDescent="0.35">
      <c r="A103" s="100"/>
      <c r="B103" s="100"/>
      <c r="C103" s="100"/>
      <c r="D103" s="100"/>
      <c r="E103" s="100"/>
      <c r="F103" s="100"/>
      <c r="G103" s="100"/>
      <c r="H103" s="113"/>
      <c r="I103" s="100"/>
    </row>
    <row r="104" spans="1:9" x14ac:dyDescent="0.35">
      <c r="A104" s="100"/>
      <c r="B104" s="100"/>
      <c r="C104" s="100"/>
      <c r="D104" s="100"/>
      <c r="E104" s="100"/>
      <c r="F104" s="100"/>
      <c r="G104" s="100"/>
      <c r="H104" s="113"/>
      <c r="I104" s="100"/>
    </row>
    <row r="105" spans="1:9" x14ac:dyDescent="0.35">
      <c r="A105" s="100"/>
      <c r="B105" s="100"/>
      <c r="C105" s="100"/>
      <c r="D105" s="100"/>
      <c r="E105" s="100"/>
      <c r="F105" s="100"/>
      <c r="G105" s="100"/>
      <c r="H105" s="113"/>
      <c r="I105" s="100"/>
    </row>
    <row r="106" spans="1:9" x14ac:dyDescent="0.35">
      <c r="A106" s="100"/>
      <c r="B106" s="100"/>
      <c r="C106" s="100"/>
      <c r="D106" s="100"/>
      <c r="E106" s="100"/>
      <c r="F106" s="100"/>
      <c r="G106" s="100"/>
      <c r="H106" s="113"/>
      <c r="I106" s="100"/>
    </row>
    <row r="107" spans="1:9" x14ac:dyDescent="0.35">
      <c r="A107" s="100"/>
      <c r="B107" s="100"/>
      <c r="C107" s="100"/>
      <c r="D107" s="100"/>
      <c r="E107" s="100"/>
      <c r="F107" s="100"/>
      <c r="G107" s="100"/>
      <c r="H107" s="113"/>
      <c r="I107" s="100"/>
    </row>
    <row r="108" spans="1:9" x14ac:dyDescent="0.35">
      <c r="A108" s="100"/>
      <c r="B108" s="100"/>
      <c r="C108" s="100"/>
      <c r="D108" s="100"/>
      <c r="E108" s="100"/>
      <c r="F108" s="100"/>
      <c r="G108" s="100"/>
      <c r="H108" s="113"/>
      <c r="I108" s="100"/>
    </row>
    <row r="109" spans="1:9" x14ac:dyDescent="0.35">
      <c r="A109" s="100"/>
      <c r="B109" s="100"/>
      <c r="C109" s="100"/>
      <c r="D109" s="100"/>
      <c r="E109" s="100"/>
      <c r="F109" s="100"/>
      <c r="G109" s="100"/>
      <c r="H109" s="113"/>
      <c r="I109" s="100"/>
    </row>
    <row r="110" spans="1:9" x14ac:dyDescent="0.35">
      <c r="A110" s="100"/>
      <c r="B110" s="100"/>
      <c r="C110" s="100"/>
      <c r="D110" s="100"/>
      <c r="E110" s="100"/>
      <c r="F110" s="100"/>
      <c r="G110" s="100"/>
      <c r="H110" s="113"/>
      <c r="I110" s="100"/>
    </row>
    <row r="111" spans="1:9" x14ac:dyDescent="0.35">
      <c r="A111" s="100"/>
      <c r="B111" s="100"/>
      <c r="C111" s="100"/>
      <c r="D111" s="100"/>
      <c r="E111" s="100"/>
      <c r="F111" s="100"/>
      <c r="G111" s="100"/>
      <c r="H111" s="113"/>
      <c r="I111" s="100"/>
    </row>
    <row r="112" spans="1:9" x14ac:dyDescent="0.35">
      <c r="A112" s="100"/>
      <c r="B112" s="100"/>
      <c r="C112" s="100"/>
      <c r="D112" s="100"/>
      <c r="E112" s="100"/>
      <c r="F112" s="100"/>
      <c r="G112" s="100"/>
      <c r="H112" s="113"/>
      <c r="I112" s="100"/>
    </row>
    <row r="113" spans="1:9" x14ac:dyDescent="0.35">
      <c r="A113" s="100"/>
      <c r="B113" s="100"/>
      <c r="C113" s="100"/>
      <c r="D113" s="100"/>
      <c r="E113" s="100"/>
      <c r="F113" s="100"/>
      <c r="G113" s="100"/>
      <c r="H113" s="113"/>
      <c r="I113" s="100"/>
    </row>
    <row r="114" spans="1:9" x14ac:dyDescent="0.35">
      <c r="A114" s="100"/>
      <c r="B114" s="100"/>
      <c r="C114" s="100"/>
      <c r="D114" s="100"/>
      <c r="E114" s="100"/>
      <c r="F114" s="100"/>
      <c r="G114" s="100"/>
      <c r="H114" s="113"/>
      <c r="I114" s="100"/>
    </row>
    <row r="115" spans="1:9" x14ac:dyDescent="0.35">
      <c r="A115" s="100"/>
      <c r="B115" s="100"/>
      <c r="C115" s="100"/>
      <c r="D115" s="100"/>
      <c r="E115" s="100"/>
      <c r="F115" s="100"/>
      <c r="G115" s="100"/>
      <c r="H115" s="113"/>
      <c r="I115" s="100"/>
    </row>
    <row r="116" spans="1:9" x14ac:dyDescent="0.35">
      <c r="A116" s="100"/>
      <c r="B116" s="100"/>
      <c r="C116" s="100"/>
      <c r="D116" s="100"/>
      <c r="E116" s="100"/>
      <c r="F116" s="100"/>
      <c r="G116" s="100"/>
      <c r="H116" s="113"/>
      <c r="I116" s="100"/>
    </row>
    <row r="117" spans="1:9" x14ac:dyDescent="0.35">
      <c r="A117" s="100"/>
      <c r="B117" s="100"/>
      <c r="C117" s="100"/>
      <c r="D117" s="100"/>
      <c r="E117" s="100"/>
      <c r="F117" s="100"/>
      <c r="G117" s="100"/>
      <c r="H117" s="113"/>
      <c r="I117" s="100"/>
    </row>
    <row r="118" spans="1:9" x14ac:dyDescent="0.35">
      <c r="A118" s="100"/>
      <c r="B118" s="100"/>
      <c r="C118" s="100"/>
      <c r="D118" s="100"/>
      <c r="E118" s="100"/>
      <c r="F118" s="100"/>
      <c r="G118" s="100"/>
      <c r="H118" s="113"/>
      <c r="I118" s="100"/>
    </row>
    <row r="119" spans="1:9" x14ac:dyDescent="0.35">
      <c r="A119" s="100"/>
      <c r="B119" s="100"/>
      <c r="C119" s="100"/>
      <c r="D119" s="100"/>
      <c r="E119" s="100"/>
      <c r="F119" s="100"/>
      <c r="G119" s="100"/>
      <c r="H119" s="113"/>
      <c r="I119" s="100"/>
    </row>
    <row r="120" spans="1:9" x14ac:dyDescent="0.35">
      <c r="A120" s="100"/>
      <c r="B120" s="100"/>
      <c r="C120" s="100"/>
      <c r="D120" s="100"/>
      <c r="E120" s="100"/>
      <c r="F120" s="100"/>
      <c r="G120" s="100"/>
      <c r="H120" s="113"/>
      <c r="I120" s="100"/>
    </row>
    <row r="121" spans="1:9" x14ac:dyDescent="0.35">
      <c r="A121" s="100"/>
      <c r="B121" s="100"/>
      <c r="C121" s="100"/>
      <c r="D121" s="100"/>
      <c r="E121" s="100"/>
      <c r="F121" s="100"/>
      <c r="G121" s="100"/>
      <c r="H121" s="113"/>
      <c r="I121" s="100"/>
    </row>
    <row r="122" spans="1:9" x14ac:dyDescent="0.35">
      <c r="A122" s="100"/>
      <c r="B122" s="100"/>
      <c r="C122" s="100"/>
      <c r="D122" s="100"/>
      <c r="E122" s="100"/>
      <c r="F122" s="100"/>
      <c r="G122" s="100"/>
      <c r="H122" s="113"/>
      <c r="I122" s="100"/>
    </row>
    <row r="123" spans="1:9" x14ac:dyDescent="0.35">
      <c r="A123" s="100"/>
      <c r="B123" s="100"/>
      <c r="C123" s="100"/>
      <c r="D123" s="100"/>
      <c r="E123" s="100"/>
      <c r="F123" s="100"/>
      <c r="G123" s="100"/>
      <c r="H123" s="113"/>
      <c r="I123" s="100"/>
    </row>
    <row r="124" spans="1:9" x14ac:dyDescent="0.35">
      <c r="A124" s="100"/>
      <c r="B124" s="100"/>
      <c r="C124" s="100"/>
      <c r="D124" s="100"/>
      <c r="E124" s="100"/>
      <c r="F124" s="100"/>
      <c r="G124" s="100"/>
      <c r="H124" s="113"/>
      <c r="I124" s="100"/>
    </row>
    <row r="133" spans="7:7" hidden="1" x14ac:dyDescent="0.35">
      <c r="G133">
        <v>2</v>
      </c>
    </row>
    <row r="134" spans="7:7" hidden="1" x14ac:dyDescent="0.35">
      <c r="G134">
        <v>3</v>
      </c>
    </row>
    <row r="135" spans="7:7" hidden="1" x14ac:dyDescent="0.35">
      <c r="G135">
        <v>4</v>
      </c>
    </row>
    <row r="136" spans="7:7" hidden="1" x14ac:dyDescent="0.35">
      <c r="G136">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50">
    <mergeCell ref="B45:C45"/>
    <mergeCell ref="B46:C46"/>
    <mergeCell ref="B47:C47"/>
    <mergeCell ref="B57:C57"/>
    <mergeCell ref="B48:C48"/>
    <mergeCell ref="B49:C49"/>
    <mergeCell ref="B50:C50"/>
    <mergeCell ref="B51:C51"/>
    <mergeCell ref="B54:C54"/>
    <mergeCell ref="B55:C55"/>
    <mergeCell ref="B52:C52"/>
    <mergeCell ref="B53:C53"/>
    <mergeCell ref="B56:C56"/>
    <mergeCell ref="B40:C40"/>
    <mergeCell ref="B41:C41"/>
    <mergeCell ref="B42:C42"/>
    <mergeCell ref="B43:C43"/>
    <mergeCell ref="B44:C44"/>
    <mergeCell ref="B60:C60"/>
    <mergeCell ref="B61:C61"/>
    <mergeCell ref="A71:I76"/>
    <mergeCell ref="B17:C17"/>
    <mergeCell ref="B18:C18"/>
    <mergeCell ref="B19:C19"/>
    <mergeCell ref="B58:C58"/>
    <mergeCell ref="B20:C20"/>
    <mergeCell ref="B21:C21"/>
    <mergeCell ref="B22:C22"/>
    <mergeCell ref="B23:C23"/>
    <mergeCell ref="B24:C24"/>
    <mergeCell ref="B25:C25"/>
    <mergeCell ref="B26:C26"/>
    <mergeCell ref="B38:C38"/>
    <mergeCell ref="B39:C39"/>
    <mergeCell ref="B16:C16"/>
    <mergeCell ref="A10:I12"/>
    <mergeCell ref="B14:C14"/>
    <mergeCell ref="B15:C15"/>
    <mergeCell ref="B59:C59"/>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774</v>
      </c>
    </row>
    <row r="2" spans="1:10" ht="21" x14ac:dyDescent="0.5">
      <c r="A2" s="2" t="s">
        <v>772</v>
      </c>
    </row>
    <row r="3" spans="1:10" ht="25" customHeight="1" x14ac:dyDescent="0.5">
      <c r="A3" s="524" t="s">
        <v>681</v>
      </c>
      <c r="B3" s="524"/>
      <c r="C3" s="524"/>
      <c r="D3" s="524"/>
      <c r="E3" s="524"/>
      <c r="F3" s="524"/>
      <c r="G3" s="524"/>
      <c r="H3" s="524"/>
      <c r="I3" s="524"/>
      <c r="J3" s="524"/>
    </row>
    <row r="4" spans="1:10" ht="25" customHeight="1" x14ac:dyDescent="0.5">
      <c r="A4" s="243" t="str">
        <f>Results!A4</f>
        <v>Final Adjustments</v>
      </c>
      <c r="B4" s="361"/>
      <c r="C4" s="361"/>
      <c r="D4" s="361"/>
      <c r="E4" s="361"/>
      <c r="F4" s="361"/>
      <c r="G4" s="361"/>
      <c r="H4" s="361"/>
      <c r="I4" s="361"/>
      <c r="J4" s="361"/>
    </row>
    <row r="6" spans="1:10" x14ac:dyDescent="0.35">
      <c r="A6" s="1" t="s">
        <v>773</v>
      </c>
      <c r="C6" s="421" t="str">
        <f>Results!$C$6</f>
        <v>Eagle Valley Behavioral Health</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35">
        <v>1</v>
      </c>
      <c r="C11" s="535"/>
      <c r="D11" s="23">
        <v>2</v>
      </c>
      <c r="E11" s="23">
        <v>3</v>
      </c>
      <c r="F11" s="23">
        <v>4</v>
      </c>
      <c r="G11" s="23">
        <v>5</v>
      </c>
      <c r="H11" s="23">
        <v>6</v>
      </c>
      <c r="I11" s="23">
        <v>7</v>
      </c>
    </row>
    <row r="12" spans="1:10" x14ac:dyDescent="0.35">
      <c r="B12" s="536" t="s">
        <v>178</v>
      </c>
      <c r="C12" s="536"/>
      <c r="D12" s="537" t="s">
        <v>180</v>
      </c>
      <c r="E12" s="538" t="s">
        <v>207</v>
      </c>
      <c r="F12" s="539"/>
      <c r="G12" s="538" t="s">
        <v>210</v>
      </c>
      <c r="H12" s="539"/>
      <c r="I12" s="536" t="s">
        <v>218</v>
      </c>
    </row>
    <row r="13" spans="1:10" ht="30" customHeight="1" x14ac:dyDescent="0.35">
      <c r="B13" s="536"/>
      <c r="C13" s="536"/>
      <c r="D13" s="537"/>
      <c r="E13" s="10" t="s">
        <v>687</v>
      </c>
      <c r="F13" s="10" t="s">
        <v>688</v>
      </c>
      <c r="G13" s="10" t="s">
        <v>687</v>
      </c>
      <c r="H13" s="10" t="s">
        <v>688</v>
      </c>
      <c r="I13" s="536"/>
    </row>
    <row r="14" spans="1:10" x14ac:dyDescent="0.35">
      <c r="A14" s="425" t="s">
        <v>838</v>
      </c>
      <c r="B14" s="204"/>
      <c r="C14" s="204"/>
      <c r="D14" s="204"/>
      <c r="E14" s="204"/>
      <c r="F14" s="204"/>
      <c r="G14" s="204"/>
      <c r="H14" s="204"/>
      <c r="I14" s="204"/>
    </row>
    <row r="15" spans="1:10" x14ac:dyDescent="0.35">
      <c r="A15" s="24">
        <v>1</v>
      </c>
      <c r="B15" s="540" t="s">
        <v>211</v>
      </c>
      <c r="C15" s="540"/>
      <c r="D15" s="24" t="s">
        <v>12</v>
      </c>
      <c r="E15" s="26">
        <f>'Adjusted Schedule 2A'!F74</f>
        <v>1035770</v>
      </c>
      <c r="F15" s="26">
        <f>'Adjusted Schedule 2A'!G74</f>
        <v>572486.19320724497</v>
      </c>
      <c r="G15" s="26">
        <f>'Adjusted Schedule 2A'!J74</f>
        <v>175900</v>
      </c>
      <c r="H15" s="26">
        <f>'Adjusted Schedule 2A'!K74</f>
        <v>97222.666600842276</v>
      </c>
      <c r="I15" s="68">
        <f>SUM(E15:H15)</f>
        <v>1881378.8598080871</v>
      </c>
    </row>
    <row r="16" spans="1:10" x14ac:dyDescent="0.35">
      <c r="A16" s="24">
        <v>2</v>
      </c>
      <c r="B16" s="540" t="s">
        <v>213</v>
      </c>
      <c r="C16" s="540"/>
      <c r="D16" s="24" t="s">
        <v>13</v>
      </c>
      <c r="E16" s="26">
        <f>'Adjusted Schedule 2B'!$F$74</f>
        <v>0</v>
      </c>
      <c r="F16" s="26">
        <f>'Adjusted Schedule 2B'!G74</f>
        <v>0</v>
      </c>
      <c r="G16" s="26">
        <f>'Adjusted Schedule 2B'!$J$74</f>
        <v>2402433.1100000003</v>
      </c>
      <c r="H16" s="26">
        <f>'Adjusted Schedule 2B'!K74</f>
        <v>1327862.1562498841</v>
      </c>
      <c r="I16" s="68">
        <f>SUM(E16:H16)</f>
        <v>3730295.2662498844</v>
      </c>
    </row>
    <row r="17" spans="1:11" x14ac:dyDescent="0.35">
      <c r="A17" s="24">
        <v>3</v>
      </c>
      <c r="B17" s="540" t="s">
        <v>201</v>
      </c>
      <c r="C17" s="540"/>
      <c r="D17" s="24" t="s">
        <v>14</v>
      </c>
      <c r="E17" s="26">
        <f>'Adjusted Schedule 2C'!$F$74</f>
        <v>9484169.4443220906</v>
      </c>
      <c r="F17" s="26">
        <f>'Adjusted Schedule 2C'!G74</f>
        <v>5242048.0038159313</v>
      </c>
      <c r="G17" s="26">
        <f>'Adjusted Schedule 2C'!$J$74</f>
        <v>558058.83179404528</v>
      </c>
      <c r="H17" s="26">
        <f>'Adjusted Schedule 2C'!K74</f>
        <v>308447.79844893678</v>
      </c>
      <c r="I17" s="68">
        <f>SUM(E17:H17)</f>
        <v>15592724.078381004</v>
      </c>
      <c r="K17" s="48"/>
    </row>
    <row r="18" spans="1:11" x14ac:dyDescent="0.35">
      <c r="A18" s="24">
        <v>4</v>
      </c>
      <c r="B18" s="540" t="s">
        <v>212</v>
      </c>
      <c r="C18" s="540"/>
      <c r="D18" s="24" t="s">
        <v>179</v>
      </c>
      <c r="E18" s="26">
        <f>'Adjusted Schedule 2D'!$F$74</f>
        <v>630793</v>
      </c>
      <c r="F18" s="26">
        <f>'Adjusted Schedule 2D'!G74</f>
        <v>348649.10479332064</v>
      </c>
      <c r="G18" s="26">
        <f>'Adjusted Schedule 2D'!$J$74</f>
        <v>30000</v>
      </c>
      <c r="H18" s="26">
        <f>'Adjusted Schedule 2D'!K74</f>
        <v>16581.466731240864</v>
      </c>
      <c r="I18" s="68">
        <f>SUM(E18:H18)</f>
        <v>1026023.5715245615</v>
      </c>
    </row>
    <row r="19" spans="1:11" x14ac:dyDescent="0.35">
      <c r="A19" s="425" t="s">
        <v>791</v>
      </c>
      <c r="B19" s="204"/>
      <c r="C19" s="204"/>
      <c r="D19" s="204"/>
      <c r="E19" s="204"/>
      <c r="F19" s="204"/>
      <c r="G19" s="204"/>
      <c r="H19" s="204"/>
      <c r="I19" s="204"/>
      <c r="J19" s="100"/>
      <c r="K19" s="48"/>
    </row>
    <row r="20" spans="1:11" x14ac:dyDescent="0.35">
      <c r="A20" s="155">
        <v>5</v>
      </c>
      <c r="B20" s="541" t="s">
        <v>792</v>
      </c>
      <c r="C20" s="541"/>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41" t="s">
        <v>794</v>
      </c>
      <c r="C21" s="541"/>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41" t="s">
        <v>796</v>
      </c>
      <c r="C22" s="541"/>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41" t="s">
        <v>798</v>
      </c>
      <c r="C23" s="541"/>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41" t="s">
        <v>800</v>
      </c>
      <c r="C24" s="541"/>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41" t="s">
        <v>802</v>
      </c>
      <c r="C25" s="541"/>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41" t="s">
        <v>804</v>
      </c>
      <c r="C26" s="541"/>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41" t="s">
        <v>806</v>
      </c>
      <c r="C27" s="541"/>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42" t="s">
        <v>808</v>
      </c>
      <c r="C28" s="542"/>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11150732.444322091</v>
      </c>
      <c r="F29" s="18">
        <f t="shared" ref="F29:H29" si="1">SUM(F15:F28)</f>
        <v>6163183.301816497</v>
      </c>
      <c r="G29" s="18">
        <f>SUM(G15:G28)</f>
        <v>3166391.9417940457</v>
      </c>
      <c r="H29" s="18">
        <f t="shared" si="1"/>
        <v>1750114.0880309041</v>
      </c>
    </row>
    <row r="30" spans="1:11" s="57" customFormat="1" ht="12" x14ac:dyDescent="0.3">
      <c r="D30" s="76" t="s">
        <v>216</v>
      </c>
      <c r="E30" s="58">
        <f>'Adjusted Schedule 1'!F92</f>
        <v>11150732.444322091</v>
      </c>
      <c r="G30" s="58">
        <f>'Adjusted Schedule 1'!H92</f>
        <v>3166391.7784607117</v>
      </c>
    </row>
    <row r="31" spans="1:11" s="57" customFormat="1" ht="12" x14ac:dyDescent="0.3">
      <c r="D31" s="76" t="s">
        <v>10</v>
      </c>
      <c r="E31" s="59">
        <f>E29-E30</f>
        <v>0</v>
      </c>
      <c r="G31" s="59">
        <f>G29-G30</f>
        <v>0.16333333402872086</v>
      </c>
    </row>
    <row r="32" spans="1:11" s="57" customFormat="1" ht="12" x14ac:dyDescent="0.3">
      <c r="D32" s="76"/>
      <c r="E32" s="59"/>
      <c r="G32" s="59"/>
    </row>
    <row r="34" spans="1:10" x14ac:dyDescent="0.35">
      <c r="E34" s="10" t="s">
        <v>218</v>
      </c>
    </row>
    <row r="35" spans="1:10" x14ac:dyDescent="0.35">
      <c r="A35" s="24">
        <v>6</v>
      </c>
      <c r="B35" s="540" t="s">
        <v>219</v>
      </c>
      <c r="C35" s="540"/>
      <c r="D35" s="24" t="s">
        <v>110</v>
      </c>
      <c r="E35" s="26">
        <f>'Adjusted Schedule 3'!M168</f>
        <v>298666.89258698194</v>
      </c>
      <c r="I35" s="18">
        <f>SUM(I15:I28)+E35</f>
        <v>22529088.668550521</v>
      </c>
      <c r="J35" s="71" t="s">
        <v>3</v>
      </c>
    </row>
    <row r="36" spans="1:10" ht="12.75" customHeight="1" x14ac:dyDescent="0.35">
      <c r="D36" s="76" t="s">
        <v>217</v>
      </c>
      <c r="E36" s="58">
        <f>'Adjusted Schedule 1'!G96</f>
        <v>298666.89258698188</v>
      </c>
    </row>
    <row r="37" spans="1:10" ht="12.75" customHeight="1" x14ac:dyDescent="0.35">
      <c r="D37" s="76" t="s">
        <v>10</v>
      </c>
      <c r="E37" s="59">
        <f>E35-E36</f>
        <v>0</v>
      </c>
    </row>
    <row r="39" spans="1:10" x14ac:dyDescent="0.35">
      <c r="B39" s="4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524" t="s">
        <v>682</v>
      </c>
      <c r="B3" s="524"/>
      <c r="C3" s="524"/>
      <c r="D3" s="524"/>
      <c r="E3" s="524"/>
      <c r="F3" s="524"/>
    </row>
    <row r="4" spans="1:19" ht="25" customHeight="1" x14ac:dyDescent="0.5">
      <c r="A4" s="243" t="str">
        <f>Results!A4</f>
        <v>Final Adjustments</v>
      </c>
      <c r="B4" s="361"/>
      <c r="C4" s="361"/>
      <c r="D4" s="361"/>
      <c r="E4" s="361"/>
      <c r="F4" s="361"/>
    </row>
    <row r="5" spans="1:19" x14ac:dyDescent="0.35">
      <c r="A5" s="48"/>
    </row>
    <row r="6" spans="1:19" x14ac:dyDescent="0.35">
      <c r="A6" s="1" t="s">
        <v>773</v>
      </c>
      <c r="C6" s="421" t="str">
        <f>Results!$C$6</f>
        <v>Eagle Valley Behavioral Health</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35">
        <v>1</v>
      </c>
      <c r="C13" s="535"/>
      <c r="D13" s="535"/>
      <c r="F13" s="23">
        <v>2</v>
      </c>
      <c r="G13" s="23">
        <v>3</v>
      </c>
      <c r="H13" s="23">
        <v>4</v>
      </c>
      <c r="J13" s="23">
        <v>5</v>
      </c>
      <c r="K13" s="23">
        <v>6</v>
      </c>
      <c r="L13" s="23">
        <v>7</v>
      </c>
      <c r="N13" s="23">
        <v>8</v>
      </c>
      <c r="O13" s="23">
        <v>9</v>
      </c>
      <c r="Q13" s="40"/>
      <c r="R13" s="40"/>
      <c r="S13" s="40"/>
    </row>
    <row r="14" spans="1:19" x14ac:dyDescent="0.35">
      <c r="B14" s="544" t="s">
        <v>612</v>
      </c>
      <c r="C14" s="545"/>
      <c r="D14" s="546"/>
      <c r="F14" s="538" t="s">
        <v>261</v>
      </c>
      <c r="G14" s="550"/>
      <c r="H14" s="539"/>
      <c r="J14" s="538" t="s">
        <v>262</v>
      </c>
      <c r="K14" s="550"/>
      <c r="L14" s="539"/>
      <c r="N14" s="551" t="s">
        <v>692</v>
      </c>
      <c r="O14" s="551" t="s">
        <v>693</v>
      </c>
      <c r="Q14" s="40"/>
      <c r="R14" s="40"/>
      <c r="S14" s="40"/>
    </row>
    <row r="15" spans="1:19" ht="56.25" customHeight="1" x14ac:dyDescent="0.35">
      <c r="B15" s="547"/>
      <c r="C15" s="548"/>
      <c r="D15" s="549"/>
      <c r="F15" s="10" t="s">
        <v>689</v>
      </c>
      <c r="G15" s="151" t="s">
        <v>690</v>
      </c>
      <c r="H15" s="151" t="s">
        <v>691</v>
      </c>
      <c r="I15" s="100"/>
      <c r="J15" s="10" t="s">
        <v>689</v>
      </c>
      <c r="K15" s="151" t="s">
        <v>690</v>
      </c>
      <c r="L15" s="151" t="s">
        <v>691</v>
      </c>
      <c r="N15" s="552"/>
      <c r="O15" s="552"/>
    </row>
    <row r="16" spans="1:19" x14ac:dyDescent="0.35">
      <c r="A16" s="24">
        <v>1</v>
      </c>
      <c r="B16" s="543" t="str">
        <f>'Schedule 2A Adjustments'!B15:D15</f>
        <v>YHC Mobile Crisis Co-Response Team (labor &amp; non-wage) - 24/7 crisis line, provide cirisis support need anwhere any time</v>
      </c>
      <c r="C16" s="543"/>
      <c r="D16" s="543"/>
      <c r="F16" s="117">
        <f>'Schedule 2A Adjustments'!H15</f>
        <v>1035770</v>
      </c>
      <c r="G16" s="68">
        <f>'Schedule 2A Adjustments'!J15</f>
        <v>572486.19320724497</v>
      </c>
      <c r="H16" s="68">
        <f>SUM(F16:G16)</f>
        <v>1608256.1932072449</v>
      </c>
      <c r="J16" s="117">
        <f>'Schedule 2A Adjustments'!P15</f>
        <v>0</v>
      </c>
      <c r="K16" s="68">
        <f>'Schedule 2A Adjustments'!R15</f>
        <v>0</v>
      </c>
      <c r="L16" s="68">
        <f>SUM(J16:K16)</f>
        <v>0</v>
      </c>
      <c r="N16" s="120">
        <f>'Schedule 2A Adjustments'!X15</f>
        <v>8.11</v>
      </c>
      <c r="O16" s="120">
        <f>'Schedule 2A Adjustments'!AA15</f>
        <v>802</v>
      </c>
    </row>
    <row r="17" spans="1:15" x14ac:dyDescent="0.35">
      <c r="A17" s="24">
        <v>2</v>
      </c>
      <c r="B17" s="543" t="str">
        <f>'Schedule 2A Adjustments'!B16:D16</f>
        <v/>
      </c>
      <c r="C17" s="543"/>
      <c r="D17" s="543"/>
      <c r="F17" s="117">
        <f>'Schedule 2A Adjustments'!H16</f>
        <v>0</v>
      </c>
      <c r="G17" s="68">
        <f>'Schedule 2A Adjustments'!J16</f>
        <v>0</v>
      </c>
      <c r="H17" s="68">
        <f t="shared" ref="H17:H73" si="0">SUM(F17:G17)</f>
        <v>0</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43" t="str">
        <f>'Schedule 2A Adjustments'!B17:D17</f>
        <v/>
      </c>
      <c r="C18" s="543"/>
      <c r="D18" s="543"/>
      <c r="F18" s="117">
        <f>'Schedule 2A Adjustments'!H17</f>
        <v>0</v>
      </c>
      <c r="G18" s="68">
        <f>'Schedule 2A Adjustments'!J17</f>
        <v>0</v>
      </c>
      <c r="H18" s="68">
        <f t="shared" si="0"/>
        <v>0</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43" t="str">
        <f>'Schedule 2A Adjustments'!B18:D18</f>
        <v/>
      </c>
      <c r="C19" s="543"/>
      <c r="D19" s="543"/>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43" t="str">
        <f>'Schedule 2A Adjustments'!B19:D19</f>
        <v>Victims First Care - Bright Future Foundation</v>
      </c>
      <c r="C20" s="543"/>
      <c r="D20" s="543"/>
      <c r="F20" s="117">
        <f>'Schedule 2A Adjustments'!H19</f>
        <v>0</v>
      </c>
      <c r="G20" s="68">
        <f>'Schedule 2A Adjustments'!J19</f>
        <v>0</v>
      </c>
      <c r="H20" s="68">
        <f t="shared" si="0"/>
        <v>0</v>
      </c>
      <c r="J20" s="117">
        <f>'Schedule 2A Adjustments'!P19</f>
        <v>175900</v>
      </c>
      <c r="K20" s="68">
        <f>'Schedule 2A Adjustments'!R19</f>
        <v>97222.666600842276</v>
      </c>
      <c r="L20" s="68">
        <f t="shared" si="1"/>
        <v>273122.66660084226</v>
      </c>
      <c r="N20" s="120">
        <f>'Schedule 2A Adjustments'!X19</f>
        <v>0</v>
      </c>
      <c r="O20" s="120">
        <f>'Schedule 2A Adjustments'!AA19</f>
        <v>0</v>
      </c>
    </row>
    <row r="21" spans="1:15" x14ac:dyDescent="0.35">
      <c r="A21" s="24">
        <v>6</v>
      </c>
      <c r="B21" s="543" t="str">
        <f>'Schedule 2A Adjustments'!B20:D20</f>
        <v/>
      </c>
      <c r="C21" s="543"/>
      <c r="D21" s="543"/>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43" t="str">
        <f>'Schedule 2A Adjustments'!B21:D21</f>
        <v/>
      </c>
      <c r="C22" s="543"/>
      <c r="D22" s="543"/>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43" t="str">
        <f>'Schedule 2A Adjustments'!B22:D22</f>
        <v/>
      </c>
      <c r="C23" s="543"/>
      <c r="D23" s="543"/>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43" t="str">
        <f>'Schedule 2A Adjustments'!B23:D23</f>
        <v/>
      </c>
      <c r="C24" s="543"/>
      <c r="D24" s="543"/>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43" t="str">
        <f>'Schedule 2A Adjustments'!B24:D24</f>
        <v/>
      </c>
      <c r="C25" s="543"/>
      <c r="D25" s="543"/>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43" t="str">
        <f>'Schedule 2A Adjustments'!B25:D25</f>
        <v/>
      </c>
      <c r="C26" s="543"/>
      <c r="D26" s="543"/>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43" t="str">
        <f>'Schedule 2A Adjustments'!B26:D26</f>
        <v/>
      </c>
      <c r="C27" s="543"/>
      <c r="D27" s="543"/>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43" t="str">
        <f>'Schedule 2A Adjustments'!B27:D27</f>
        <v/>
      </c>
      <c r="C28" s="543"/>
      <c r="D28" s="543"/>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43" t="str">
        <f>'Schedule 2A Adjustments'!B28:D28</f>
        <v/>
      </c>
      <c r="C29" s="543"/>
      <c r="D29" s="543"/>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43" t="str">
        <f>'Schedule 2A Adjustments'!B29:D29</f>
        <v/>
      </c>
      <c r="C30" s="543"/>
      <c r="D30" s="543"/>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43" t="str">
        <f>'Schedule 2A Adjustments'!B30:D30</f>
        <v/>
      </c>
      <c r="C31" s="543"/>
      <c r="D31" s="543"/>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43" t="str">
        <f>'Schedule 2A Adjustments'!B31:D31</f>
        <v/>
      </c>
      <c r="C32" s="543"/>
      <c r="D32" s="543"/>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43" t="str">
        <f>'Schedule 2A Adjustments'!B32:D32</f>
        <v/>
      </c>
      <c r="C33" s="543"/>
      <c r="D33" s="543"/>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43" t="str">
        <f>'Schedule 2A Adjustments'!B33:D33</f>
        <v/>
      </c>
      <c r="C34" s="543"/>
      <c r="D34" s="543"/>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43" t="str">
        <f>'Schedule 2A Adjustments'!B34:D34</f>
        <v/>
      </c>
      <c r="C35" s="543"/>
      <c r="D35" s="543"/>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43" t="str">
        <f>'Schedule 2A Adjustments'!B35:D35</f>
        <v/>
      </c>
      <c r="C36" s="543"/>
      <c r="D36" s="543"/>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43" t="str">
        <f>'Schedule 2A Adjustments'!B36:D36</f>
        <v/>
      </c>
      <c r="C37" s="543"/>
      <c r="D37" s="543"/>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43" t="str">
        <f>'Schedule 2A Adjustments'!B37:D37</f>
        <v/>
      </c>
      <c r="C38" s="543"/>
      <c r="D38" s="543"/>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43" t="str">
        <f>'Schedule 2A Adjustments'!B38:D38</f>
        <v/>
      </c>
      <c r="C39" s="543"/>
      <c r="D39" s="543"/>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43" t="str">
        <f>'Schedule 2A Adjustments'!B39:D39</f>
        <v/>
      </c>
      <c r="C40" s="543"/>
      <c r="D40" s="543"/>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43" t="str">
        <f>'Schedule 2A Adjustments'!B40:D40</f>
        <v/>
      </c>
      <c r="C41" s="543"/>
      <c r="D41" s="543"/>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43" t="str">
        <f>'Schedule 2A Adjustments'!B41:D41</f>
        <v/>
      </c>
      <c r="C42" s="543"/>
      <c r="D42" s="543"/>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43" t="str">
        <f>'Schedule 2A Adjustments'!B42:D42</f>
        <v/>
      </c>
      <c r="C43" s="543"/>
      <c r="D43" s="543"/>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43" t="str">
        <f>'Schedule 2A Adjustments'!B43:D43</f>
        <v/>
      </c>
      <c r="C44" s="543"/>
      <c r="D44" s="543"/>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43" t="str">
        <f>'Schedule 2A Adjustments'!B44:D44</f>
        <v/>
      </c>
      <c r="C45" s="543"/>
      <c r="D45" s="543"/>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43" t="str">
        <f>'Schedule 2A Adjustments'!B45:D45</f>
        <v/>
      </c>
      <c r="C46" s="543"/>
      <c r="D46" s="543"/>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43" t="str">
        <f>'Schedule 2A Adjustments'!B46:D46</f>
        <v/>
      </c>
      <c r="C47" s="543"/>
      <c r="D47" s="543"/>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43" t="str">
        <f>'Schedule 2A Adjustments'!B47:D47</f>
        <v/>
      </c>
      <c r="C48" s="543"/>
      <c r="D48" s="543"/>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43" t="str">
        <f>'Schedule 2A Adjustments'!B48:D48</f>
        <v/>
      </c>
      <c r="C49" s="543"/>
      <c r="D49" s="543"/>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43" t="str">
        <f>'Schedule 2A Adjustments'!B49:D49</f>
        <v/>
      </c>
      <c r="C50" s="543"/>
      <c r="D50" s="543"/>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43" t="str">
        <f>'Schedule 2A Adjustments'!B50:D50</f>
        <v/>
      </c>
      <c r="C51" s="543"/>
      <c r="D51" s="543"/>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43" t="str">
        <f>'Schedule 2A Adjustments'!B51:D51</f>
        <v/>
      </c>
      <c r="C52" s="543"/>
      <c r="D52" s="543"/>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43" t="str">
        <f>'Schedule 2A Adjustments'!B52:D52</f>
        <v/>
      </c>
      <c r="C53" s="543"/>
      <c r="D53" s="543"/>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43" t="str">
        <f>'Schedule 2A Adjustments'!B53:D53</f>
        <v/>
      </c>
      <c r="C54" s="543"/>
      <c r="D54" s="543"/>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43" t="str">
        <f>'Schedule 2A Adjustments'!B54:D54</f>
        <v/>
      </c>
      <c r="C55" s="543"/>
      <c r="D55" s="543"/>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43" t="str">
        <f>'Schedule 2A Adjustments'!B55:D55</f>
        <v/>
      </c>
      <c r="C56" s="543"/>
      <c r="D56" s="543"/>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43" t="str">
        <f>'Schedule 2A Adjustments'!B56:D56</f>
        <v/>
      </c>
      <c r="C57" s="543"/>
      <c r="D57" s="543"/>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43" t="str">
        <f>'Schedule 2A Adjustments'!B57:D57</f>
        <v/>
      </c>
      <c r="C58" s="543"/>
      <c r="D58" s="543"/>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43" t="str">
        <f>'Schedule 2A Adjustments'!B58:D58</f>
        <v/>
      </c>
      <c r="C59" s="543"/>
      <c r="D59" s="543"/>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43" t="str">
        <f>'Schedule 2A Adjustments'!B59:D59</f>
        <v/>
      </c>
      <c r="C60" s="543"/>
      <c r="D60" s="543"/>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43" t="str">
        <f>'Schedule 2A Adjustments'!B60:D60</f>
        <v/>
      </c>
      <c r="C61" s="543"/>
      <c r="D61" s="543"/>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43" t="str">
        <f>'Schedule 2A Adjustments'!B61:D61</f>
        <v/>
      </c>
      <c r="C62" s="543"/>
      <c r="D62" s="543"/>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43" t="str">
        <f>'Schedule 2A Adjustments'!B62:D62</f>
        <v/>
      </c>
      <c r="C63" s="543"/>
      <c r="D63" s="543"/>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43" t="str">
        <f>'Schedule 2A Adjustments'!B63:D63</f>
        <v/>
      </c>
      <c r="C64" s="543"/>
      <c r="D64" s="543"/>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43" t="str">
        <f>'Schedule 2A Adjustments'!B64:D64</f>
        <v/>
      </c>
      <c r="C65" s="543"/>
      <c r="D65" s="543"/>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43" t="str">
        <f>'Schedule 2A Adjustments'!B65:D65</f>
        <v/>
      </c>
      <c r="C66" s="543"/>
      <c r="D66" s="543"/>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43" t="str">
        <f>'Schedule 2A Adjustments'!B66:D66</f>
        <v/>
      </c>
      <c r="C67" s="543"/>
      <c r="D67" s="543"/>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43" t="str">
        <f>'Schedule 2A Adjustments'!B67:D67</f>
        <v/>
      </c>
      <c r="C68" s="543"/>
      <c r="D68" s="543"/>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43" t="str">
        <f>'Schedule 2A Adjustments'!B68:D68</f>
        <v/>
      </c>
      <c r="C69" s="543"/>
      <c r="D69" s="543"/>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43" t="str">
        <f>'Schedule 2A Adjustments'!B69:D69</f>
        <v/>
      </c>
      <c r="C70" s="543"/>
      <c r="D70" s="543"/>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43" t="str">
        <f>'Schedule 2A Adjustments'!B70:D70</f>
        <v/>
      </c>
      <c r="C71" s="543"/>
      <c r="D71" s="543"/>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43" t="str">
        <f>'Schedule 2A Adjustments'!B71:D71</f>
        <v/>
      </c>
      <c r="C72" s="543"/>
      <c r="D72" s="543"/>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43" t="str">
        <f>'Schedule 2A Adjustments'!B72:D72</f>
        <v/>
      </c>
      <c r="C73" s="543"/>
      <c r="D73" s="543"/>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1035770</v>
      </c>
      <c r="G74" s="18">
        <f t="shared" ref="G74" si="2">SUM(G16:G73)</f>
        <v>572486.19320724497</v>
      </c>
      <c r="H74" s="18">
        <f>SUM(H16:H73)</f>
        <v>1608256.1932072449</v>
      </c>
      <c r="J74" s="18">
        <f>SUM(J16:J73)</f>
        <v>175900</v>
      </c>
      <c r="K74" s="18">
        <f t="shared" ref="K74:L74" si="3">SUM(K16:K73)</f>
        <v>97222.666600842276</v>
      </c>
      <c r="L74" s="18">
        <f t="shared" si="3"/>
        <v>273122.66660084226</v>
      </c>
      <c r="O74" s="83" t="s">
        <v>313</v>
      </c>
    </row>
    <row r="75" spans="1:15" ht="15" thickBot="1" x14ac:dyDescent="0.4">
      <c r="H75" s="37" t="s">
        <v>257</v>
      </c>
      <c r="L75" s="37" t="s">
        <v>258</v>
      </c>
    </row>
    <row r="76" spans="1:15" ht="16" thickBot="1" x14ac:dyDescent="0.4">
      <c r="A76" s="24">
        <v>60</v>
      </c>
      <c r="B76" s="143" t="s">
        <v>463</v>
      </c>
      <c r="C76" s="72"/>
      <c r="E76" s="72"/>
      <c r="F76" s="75">
        <f>H74+L74</f>
        <v>1881378.8598080871</v>
      </c>
      <c r="I76" s="74"/>
      <c r="J76" s="74"/>
      <c r="K76" s="74"/>
      <c r="L76" s="74"/>
      <c r="N76" s="72"/>
      <c r="O76" s="72"/>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774</v>
      </c>
    </row>
    <row r="2" spans="1:15" ht="21" x14ac:dyDescent="0.5">
      <c r="A2" s="2" t="s">
        <v>772</v>
      </c>
    </row>
    <row r="3" spans="1:15" ht="25" customHeight="1" x14ac:dyDescent="0.5">
      <c r="A3" s="524" t="s">
        <v>694</v>
      </c>
      <c r="B3" s="524"/>
      <c r="C3" s="524"/>
      <c r="D3" s="524"/>
      <c r="E3" s="524"/>
      <c r="F3" s="524"/>
      <c r="G3" s="524"/>
      <c r="H3" s="524"/>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2B Adjustments'!B15:D15</f>
        <v>YHC Clinical Director: law enforcement trainings</v>
      </c>
      <c r="C16" s="543"/>
      <c r="D16" s="543"/>
      <c r="F16" s="117">
        <f>'Schedule 2B Adjustments'!H15</f>
        <v>0</v>
      </c>
      <c r="G16" s="181">
        <f>'Schedule 2B Adjustments'!J15</f>
        <v>0</v>
      </c>
      <c r="H16" s="181">
        <f>SUM(F16:G16)</f>
        <v>0</v>
      </c>
      <c r="I16" s="100"/>
      <c r="J16" s="180">
        <f>'Schedule 2B Adjustments'!P15</f>
        <v>539</v>
      </c>
      <c r="K16" s="181">
        <f>'Schedule 2B Adjustments'!R15</f>
        <v>297.91368560462752</v>
      </c>
      <c r="L16" s="68">
        <f>SUM(J16:K16)</f>
        <v>836.91368560462752</v>
      </c>
      <c r="N16" s="120">
        <f>'Schedule 2B Adjustments'!X15</f>
        <v>0.01</v>
      </c>
      <c r="O16" s="120">
        <f>'Schedule 2B Adjustments'!AA15</f>
        <v>38</v>
      </c>
    </row>
    <row r="17" spans="1:15" x14ac:dyDescent="0.35">
      <c r="A17" s="24">
        <v>2</v>
      </c>
      <c r="B17" s="543" t="str">
        <f>'Schedule 2B Adjustments'!B16:D16</f>
        <v xml:space="preserve">YHC Tragedy Response - Grief Support </v>
      </c>
      <c r="C17" s="543"/>
      <c r="D17" s="543"/>
      <c r="F17" s="117">
        <f>'Schedule 2B Adjustments'!H16</f>
        <v>0</v>
      </c>
      <c r="G17" s="181">
        <f>'Schedule 2B Adjustments'!J16</f>
        <v>0</v>
      </c>
      <c r="H17" s="68">
        <f t="shared" ref="H17:H73" si="0">SUM(F17:G17)</f>
        <v>0</v>
      </c>
      <c r="J17" s="180">
        <f>'Schedule 2B Adjustments'!P16</f>
        <v>1148</v>
      </c>
      <c r="K17" s="181">
        <f>'Schedule 2B Adjustments'!R16</f>
        <v>634.51746024881709</v>
      </c>
      <c r="L17" s="68">
        <f t="shared" ref="L17:L73" si="1">SUM(J17:K17)</f>
        <v>1782.5174602488171</v>
      </c>
      <c r="N17" s="120">
        <f>'Schedule 2B Adjustments'!X16</f>
        <v>0.01</v>
      </c>
      <c r="O17" s="120">
        <f>'Schedule 2B Adjustments'!AA16</f>
        <v>41</v>
      </c>
    </row>
    <row r="18" spans="1:15" x14ac:dyDescent="0.35">
      <c r="A18" s="24">
        <v>3</v>
      </c>
      <c r="B18" s="543" t="str">
        <f>'Schedule 2B Adjustments'!B17:D17</f>
        <v/>
      </c>
      <c r="C18" s="543"/>
      <c r="D18" s="543"/>
      <c r="F18" s="117">
        <f>'Schedule 2B Adjustments'!H17</f>
        <v>0</v>
      </c>
      <c r="G18" s="181">
        <f>'Schedule 2B Adjustments'!J17</f>
        <v>0</v>
      </c>
      <c r="H18" s="68">
        <f t="shared" si="0"/>
        <v>0</v>
      </c>
      <c r="J18" s="180">
        <f>'Schedule 2B Adjustments'!P17</f>
        <v>0</v>
      </c>
      <c r="K18" s="181">
        <f>'Schedule 2B Adjustments'!R17</f>
        <v>0</v>
      </c>
      <c r="L18" s="68">
        <f t="shared" si="1"/>
        <v>0</v>
      </c>
      <c r="N18" s="120">
        <f>'Schedule 2B Adjustments'!X17</f>
        <v>0</v>
      </c>
      <c r="O18" s="120">
        <f>'Schedule 2B Adjustments'!AA17</f>
        <v>0</v>
      </c>
    </row>
    <row r="19" spans="1:15" x14ac:dyDescent="0.35">
      <c r="A19" s="24">
        <v>4</v>
      </c>
      <c r="B19" s="543" t="str">
        <f>'Schedule 2B Adjustments'!B18:D18</f>
        <v/>
      </c>
      <c r="C19" s="543"/>
      <c r="D19" s="543"/>
      <c r="F19" s="117">
        <f>'Schedule 2B Adjustments'!H18</f>
        <v>0</v>
      </c>
      <c r="G19" s="181">
        <f>'Schedule 2B Adjustments'!J18</f>
        <v>0</v>
      </c>
      <c r="H19" s="68">
        <f t="shared" si="0"/>
        <v>0</v>
      </c>
      <c r="J19" s="180">
        <f>'Schedule 2B Adjustments'!P18</f>
        <v>0</v>
      </c>
      <c r="K19" s="181">
        <f>'Schedule 2B Adjustments'!R18</f>
        <v>0</v>
      </c>
      <c r="L19" s="68">
        <f t="shared" si="1"/>
        <v>0</v>
      </c>
      <c r="N19" s="120">
        <f>'Schedule 2B Adjustments'!X18</f>
        <v>0</v>
      </c>
      <c r="O19" s="120">
        <f>'Schedule 2B Adjustments'!AA18</f>
        <v>0</v>
      </c>
    </row>
    <row r="20" spans="1:15" x14ac:dyDescent="0.35">
      <c r="A20" s="24">
        <v>5</v>
      </c>
      <c r="B20" s="543" t="str">
        <f>'Schedule 2B Adjustments'!B19:D19</f>
        <v xml:space="preserve">Youth mentorship and after school programming - 
</v>
      </c>
      <c r="C20" s="543"/>
      <c r="D20" s="543"/>
      <c r="F20" s="117">
        <f>'Schedule 2B Adjustments'!H19</f>
        <v>0</v>
      </c>
      <c r="G20" s="181">
        <f>'Schedule 2B Adjustments'!J19</f>
        <v>0</v>
      </c>
      <c r="H20" s="68">
        <f t="shared" si="0"/>
        <v>0</v>
      </c>
      <c r="J20" s="180">
        <f>'Schedule 2B Adjustments'!P19</f>
        <v>252666</v>
      </c>
      <c r="K20" s="181">
        <f>'Schedule 2B Adjustments'!R19</f>
        <v>139652.42910385682</v>
      </c>
      <c r="L20" s="68">
        <f t="shared" si="1"/>
        <v>392318.42910385679</v>
      </c>
      <c r="N20" s="120">
        <f>'Schedule 2B Adjustments'!X19</f>
        <v>0</v>
      </c>
      <c r="O20" s="120">
        <f>'Schedule 2B Adjustments'!AA19</f>
        <v>0</v>
      </c>
    </row>
    <row r="21" spans="1:15" x14ac:dyDescent="0.35">
      <c r="A21" s="24">
        <v>6</v>
      </c>
      <c r="B21" s="543" t="str">
        <f>'Schedule 2B Adjustments'!B20:D20</f>
        <v xml:space="preserve">Suicide Prevention Training and Community Outreach 
</v>
      </c>
      <c r="C21" s="543"/>
      <c r="D21" s="543"/>
      <c r="F21" s="117">
        <f>'Schedule 2B Adjustments'!H20</f>
        <v>0</v>
      </c>
      <c r="G21" s="181">
        <f>'Schedule 2B Adjustments'!J20</f>
        <v>0</v>
      </c>
      <c r="H21" s="68">
        <f t="shared" si="0"/>
        <v>0</v>
      </c>
      <c r="J21" s="180">
        <f>'Schedule 2B Adjustments'!P20</f>
        <v>466666.66666666669</v>
      </c>
      <c r="K21" s="181">
        <f>'Schedule 2B Adjustments'!R20</f>
        <v>257933.92693041347</v>
      </c>
      <c r="L21" s="68">
        <f t="shared" si="1"/>
        <v>724600.59359708009</v>
      </c>
      <c r="N21" s="120">
        <f>'Schedule 2B Adjustments'!X20</f>
        <v>0</v>
      </c>
      <c r="O21" s="120">
        <f>'Schedule 2B Adjustments'!AA20</f>
        <v>0</v>
      </c>
    </row>
    <row r="22" spans="1:15" x14ac:dyDescent="0.35">
      <c r="A22" s="24">
        <v>7</v>
      </c>
      <c r="B22" s="543" t="str">
        <f>'Schedule 2B Adjustments'!B21:D21</f>
        <v xml:space="preserve">Behavioral Health Support and Consultation for Young Children and Families
</v>
      </c>
      <c r="C22" s="543"/>
      <c r="D22" s="543"/>
      <c r="F22" s="117">
        <f>'Schedule 2B Adjustments'!H21</f>
        <v>0</v>
      </c>
      <c r="G22" s="181">
        <f>'Schedule 2B Adjustments'!J21</f>
        <v>0</v>
      </c>
      <c r="H22" s="68">
        <f t="shared" si="0"/>
        <v>0</v>
      </c>
      <c r="J22" s="180">
        <f>'Schedule 2B Adjustments'!P21</f>
        <v>75000</v>
      </c>
      <c r="K22" s="181">
        <f>'Schedule 2B Adjustments'!R21</f>
        <v>41453.666828102163</v>
      </c>
      <c r="L22" s="68">
        <f t="shared" si="1"/>
        <v>116453.66682810217</v>
      </c>
      <c r="N22" s="120">
        <f>'Schedule 2B Adjustments'!X21</f>
        <v>0</v>
      </c>
      <c r="O22" s="120">
        <f>'Schedule 2B Adjustments'!AA21</f>
        <v>0</v>
      </c>
    </row>
    <row r="23" spans="1:15" x14ac:dyDescent="0.35">
      <c r="A23" s="24">
        <v>8</v>
      </c>
      <c r="B23" s="543" t="str">
        <f>'Schedule 2B Adjustments'!B22:D22</f>
        <v>Outdoor BH Community engagement program</v>
      </c>
      <c r="C23" s="543"/>
      <c r="D23" s="543"/>
      <c r="F23" s="117">
        <f>'Schedule 2B Adjustments'!H22</f>
        <v>0</v>
      </c>
      <c r="G23" s="181">
        <f>'Schedule 2B Adjustments'!J22</f>
        <v>0</v>
      </c>
      <c r="H23" s="68">
        <f t="shared" si="0"/>
        <v>0</v>
      </c>
      <c r="J23" s="180">
        <f>'Schedule 2B Adjustments'!P22</f>
        <v>59334.11</v>
      </c>
      <c r="K23" s="181">
        <f>'Schedule 2B Adjustments'!R22</f>
        <v>32794.885699759529</v>
      </c>
      <c r="L23" s="68">
        <f t="shared" si="1"/>
        <v>92128.995699759529</v>
      </c>
      <c r="N23" s="120">
        <f>'Schedule 2B Adjustments'!X22</f>
        <v>0</v>
      </c>
      <c r="O23" s="120">
        <f>'Schedule 2B Adjustments'!AA22</f>
        <v>0</v>
      </c>
    </row>
    <row r="24" spans="1:15" x14ac:dyDescent="0.35">
      <c r="A24" s="24">
        <v>9</v>
      </c>
      <c r="B24" s="543" t="str">
        <f>'Schedule 2B Adjustments'!B23:D23</f>
        <v>Behavioral Health Support for Eagle County Aging Adults &amp; Caregivers</v>
      </c>
      <c r="C24" s="543"/>
      <c r="D24" s="543"/>
      <c r="F24" s="117">
        <f>'Schedule 2B Adjustments'!H23</f>
        <v>0</v>
      </c>
      <c r="G24" s="181">
        <f>'Schedule 2B Adjustments'!J23</f>
        <v>0</v>
      </c>
      <c r="H24" s="68">
        <f t="shared" si="0"/>
        <v>0</v>
      </c>
      <c r="J24" s="180">
        <f>'Schedule 2B Adjustments'!P23</f>
        <v>70000</v>
      </c>
      <c r="K24" s="181">
        <f>'Schedule 2B Adjustments'!R23</f>
        <v>38690.089039562015</v>
      </c>
      <c r="L24" s="68">
        <f t="shared" si="1"/>
        <v>108690.08903956201</v>
      </c>
      <c r="N24" s="120">
        <f>'Schedule 2B Adjustments'!X23</f>
        <v>0</v>
      </c>
      <c r="O24" s="120">
        <f>'Schedule 2B Adjustments'!AA23</f>
        <v>0</v>
      </c>
    </row>
    <row r="25" spans="1:15" x14ac:dyDescent="0.35">
      <c r="A25" s="24">
        <v>10</v>
      </c>
      <c r="B25" s="543" t="str">
        <f>'Schedule 2B Adjustments'!B24:D24</f>
        <v>Educational and consultative programs for LGBTIQA</v>
      </c>
      <c r="C25" s="543"/>
      <c r="D25" s="543"/>
      <c r="F25" s="117">
        <f>'Schedule 2B Adjustments'!H24</f>
        <v>0</v>
      </c>
      <c r="G25" s="181">
        <f>'Schedule 2B Adjustments'!J24</f>
        <v>0</v>
      </c>
      <c r="H25" s="68">
        <f t="shared" si="0"/>
        <v>0</v>
      </c>
      <c r="J25" s="180">
        <f>'Schedule 2B Adjustments'!P24</f>
        <v>50000</v>
      </c>
      <c r="K25" s="181">
        <f>'Schedule 2B Adjustments'!R24</f>
        <v>27635.77788540144</v>
      </c>
      <c r="L25" s="68">
        <f t="shared" si="1"/>
        <v>77635.777885401447</v>
      </c>
      <c r="N25" s="120">
        <f>'Schedule 2B Adjustments'!X24</f>
        <v>0</v>
      </c>
      <c r="O25" s="120">
        <f>'Schedule 2B Adjustments'!AA24</f>
        <v>0</v>
      </c>
    </row>
    <row r="26" spans="1:15" x14ac:dyDescent="0.35">
      <c r="A26" s="24">
        <v>11</v>
      </c>
      <c r="B26" s="543" t="str">
        <f>'Schedule 2B Adjustments'!B25:D25</f>
        <v>Eat, Chat, Parent Series - English and Spanish</v>
      </c>
      <c r="C26" s="543"/>
      <c r="D26" s="543"/>
      <c r="F26" s="117">
        <f>'Schedule 2B Adjustments'!H25</f>
        <v>0</v>
      </c>
      <c r="G26" s="181">
        <f>'Schedule 2B Adjustments'!J25</f>
        <v>0</v>
      </c>
      <c r="H26" s="68">
        <f t="shared" si="0"/>
        <v>0</v>
      </c>
      <c r="J26" s="180">
        <f>'Schedule 2B Adjustments'!P25</f>
        <v>16627</v>
      </c>
      <c r="K26" s="181">
        <f>'Schedule 2B Adjustments'!R25</f>
        <v>9190.0015780113954</v>
      </c>
      <c r="L26" s="68">
        <f t="shared" si="1"/>
        <v>25817.001578011397</v>
      </c>
      <c r="N26" s="120">
        <f>'Schedule 2B Adjustments'!X25</f>
        <v>0</v>
      </c>
      <c r="O26" s="120">
        <f>'Schedule 2B Adjustments'!AA25</f>
        <v>0</v>
      </c>
    </row>
    <row r="27" spans="1:15" x14ac:dyDescent="0.35">
      <c r="A27" s="24">
        <v>12</v>
      </c>
      <c r="B27" s="543" t="str">
        <f>'Schedule 2B Adjustments'!B26:D26</f>
        <v xml:space="preserve">Equine Assisted Learning Services </v>
      </c>
      <c r="C27" s="543"/>
      <c r="D27" s="543"/>
      <c r="F27" s="117">
        <f>'Schedule 2B Adjustments'!H26</f>
        <v>0</v>
      </c>
      <c r="G27" s="181">
        <f>'Schedule 2B Adjustments'!J26</f>
        <v>0</v>
      </c>
      <c r="H27" s="68">
        <f t="shared" si="0"/>
        <v>0</v>
      </c>
      <c r="J27" s="180">
        <f>'Schedule 2B Adjustments'!P26</f>
        <v>10500</v>
      </c>
      <c r="K27" s="181">
        <f>'Schedule 2B Adjustments'!R26</f>
        <v>5803.513355934303</v>
      </c>
      <c r="L27" s="68">
        <f t="shared" si="1"/>
        <v>16303.513355934303</v>
      </c>
      <c r="N27" s="120">
        <f>'Schedule 2B Adjustments'!X26</f>
        <v>0</v>
      </c>
      <c r="O27" s="120">
        <f>'Schedule 2B Adjustments'!AA26</f>
        <v>0</v>
      </c>
    </row>
    <row r="28" spans="1:15" x14ac:dyDescent="0.35">
      <c r="A28" s="24">
        <v>13</v>
      </c>
      <c r="B28" s="543" t="str">
        <f>'Schedule 2B Adjustments'!B27:D27</f>
        <v>Bright Future Foundation Community Outreach</v>
      </c>
      <c r="C28" s="543"/>
      <c r="D28" s="543"/>
      <c r="F28" s="117">
        <f>'Schedule 2B Adjustments'!H27</f>
        <v>0</v>
      </c>
      <c r="G28" s="181">
        <f>'Schedule 2B Adjustments'!J27</f>
        <v>0</v>
      </c>
      <c r="H28" s="68">
        <f t="shared" si="0"/>
        <v>0</v>
      </c>
      <c r="J28" s="180">
        <f>'Schedule 2B Adjustments'!P27</f>
        <v>58633.333333333336</v>
      </c>
      <c r="K28" s="181">
        <f>'Schedule 2B Adjustments'!R27</f>
        <v>32407.555533614093</v>
      </c>
      <c r="L28" s="68">
        <f t="shared" si="1"/>
        <v>91040.888866947425</v>
      </c>
      <c r="N28" s="120">
        <f>'Schedule 2B Adjustments'!X27</f>
        <v>0</v>
      </c>
      <c r="O28" s="120">
        <f>'Schedule 2B Adjustments'!AA27</f>
        <v>0</v>
      </c>
    </row>
    <row r="29" spans="1:15" x14ac:dyDescent="0.35">
      <c r="A29" s="24">
        <v>14</v>
      </c>
      <c r="B29" s="543" t="str">
        <f>'Schedule 2B Adjustments'!B28:D28</f>
        <v>Reconnected Foundation</v>
      </c>
      <c r="C29" s="543"/>
      <c r="D29" s="543"/>
      <c r="F29" s="117">
        <f>'Schedule 2B Adjustments'!H28</f>
        <v>0</v>
      </c>
      <c r="G29" s="181">
        <f>'Schedule 2B Adjustments'!J28</f>
        <v>0</v>
      </c>
      <c r="H29" s="68">
        <f t="shared" si="0"/>
        <v>0</v>
      </c>
      <c r="J29" s="180">
        <f>'Schedule 2B Adjustments'!P28</f>
        <v>80000</v>
      </c>
      <c r="K29" s="181">
        <f>'Schedule 2B Adjustments'!R28</f>
        <v>44217.244616642303</v>
      </c>
      <c r="L29" s="68">
        <f t="shared" si="1"/>
        <v>124217.2446166423</v>
      </c>
      <c r="N29" s="120">
        <f>'Schedule 2B Adjustments'!X28</f>
        <v>0</v>
      </c>
      <c r="O29" s="120">
        <f>'Schedule 2B Adjustments'!AA28</f>
        <v>0</v>
      </c>
    </row>
    <row r="30" spans="1:15" x14ac:dyDescent="0.35">
      <c r="A30" s="24">
        <v>15</v>
      </c>
      <c r="B30" s="543" t="str">
        <f>'Schedule 2B Adjustments'!B29:D29</f>
        <v>Eagle County School District - SEL Curriculum</v>
      </c>
      <c r="C30" s="543"/>
      <c r="D30" s="543"/>
      <c r="F30" s="117">
        <f>'Schedule 2B Adjustments'!H29</f>
        <v>0</v>
      </c>
      <c r="G30" s="181">
        <f>'Schedule 2B Adjustments'!J29</f>
        <v>0</v>
      </c>
      <c r="H30" s="68">
        <f t="shared" si="0"/>
        <v>0</v>
      </c>
      <c r="J30" s="180">
        <f>'Schedule 2B Adjustments'!P29</f>
        <v>95000</v>
      </c>
      <c r="K30" s="181">
        <f>'Schedule 2B Adjustments'!R29</f>
        <v>52507.977982262739</v>
      </c>
      <c r="L30" s="68">
        <f t="shared" si="1"/>
        <v>147507.97798226273</v>
      </c>
      <c r="N30" s="120">
        <f>'Schedule 2B Adjustments'!X29</f>
        <v>0</v>
      </c>
      <c r="O30" s="120">
        <f>'Schedule 2B Adjustments'!AA29</f>
        <v>0</v>
      </c>
    </row>
    <row r="31" spans="1:15" x14ac:dyDescent="0.35">
      <c r="A31" s="24">
        <v>16</v>
      </c>
      <c r="B31" s="543" t="str">
        <f>'Schedule 2B Adjustments'!B30:D30</f>
        <v/>
      </c>
      <c r="C31" s="543"/>
      <c r="D31" s="543"/>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43" t="str">
        <f>'Schedule 2B Adjustments'!B31:D31</f>
        <v>Grant Expense for non EVBH/YHC subrecipients</v>
      </c>
      <c r="C32" s="543"/>
      <c r="D32" s="543"/>
      <c r="F32" s="117">
        <f>'Schedule 2B Adjustments'!H31</f>
        <v>0</v>
      </c>
      <c r="G32" s="181">
        <f>'Schedule 2B Adjustments'!J31</f>
        <v>0</v>
      </c>
      <c r="H32" s="68">
        <f t="shared" si="0"/>
        <v>0</v>
      </c>
      <c r="J32" s="180">
        <f>'Schedule 2B Adjustments'!P31</f>
        <v>1166319</v>
      </c>
      <c r="K32" s="181">
        <f>'Schedule 2B Adjustments'!R31</f>
        <v>644642.65655047051</v>
      </c>
      <c r="L32" s="68">
        <f t="shared" si="1"/>
        <v>1810961.6565504705</v>
      </c>
      <c r="N32" s="120">
        <f>'Schedule 2B Adjustments'!X31</f>
        <v>0</v>
      </c>
      <c r="O32" s="120">
        <f>'Schedule 2B Adjustments'!AA31</f>
        <v>0</v>
      </c>
    </row>
    <row r="33" spans="1:15" x14ac:dyDescent="0.35">
      <c r="A33" s="24">
        <v>18</v>
      </c>
      <c r="B33" s="543" t="str">
        <f>'Schedule 2B Adjustments'!B32:D32</f>
        <v/>
      </c>
      <c r="C33" s="543"/>
      <c r="D33" s="543"/>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43" t="str">
        <f>'Schedule 2B Adjustments'!B33:D33</f>
        <v/>
      </c>
      <c r="C34" s="543"/>
      <c r="D34" s="543"/>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43" t="str">
        <f>'Schedule 2B Adjustments'!B34:D34</f>
        <v/>
      </c>
      <c r="C35" s="543"/>
      <c r="D35" s="543"/>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43" t="str">
        <f>'Schedule 2B Adjustments'!B35:D35</f>
        <v/>
      </c>
      <c r="C36" s="543"/>
      <c r="D36" s="543"/>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43" t="str">
        <f>'Schedule 2B Adjustments'!B36:D36</f>
        <v/>
      </c>
      <c r="C37" s="543"/>
      <c r="D37" s="543"/>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43" t="str">
        <f>'Schedule 2B Adjustments'!B37:D37</f>
        <v/>
      </c>
      <c r="C38" s="543"/>
      <c r="D38" s="543"/>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43" t="str">
        <f>'Schedule 2B Adjustments'!B38:D38</f>
        <v/>
      </c>
      <c r="C39" s="543"/>
      <c r="D39" s="543"/>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43" t="str">
        <f>'Schedule 2B Adjustments'!B39:D39</f>
        <v/>
      </c>
      <c r="C40" s="543"/>
      <c r="D40" s="543"/>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43" t="str">
        <f>'Schedule 2B Adjustments'!B40:D40</f>
        <v/>
      </c>
      <c r="C41" s="543"/>
      <c r="D41" s="543"/>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43" t="str">
        <f>'Schedule 2B Adjustments'!B41:D41</f>
        <v/>
      </c>
      <c r="C42" s="543"/>
      <c r="D42" s="543"/>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43" t="str">
        <f>'Schedule 2B Adjustments'!B42:D42</f>
        <v/>
      </c>
      <c r="C43" s="543"/>
      <c r="D43" s="543"/>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43" t="str">
        <f>'Schedule 2B Adjustments'!B43:D43</f>
        <v/>
      </c>
      <c r="C44" s="543"/>
      <c r="D44" s="543"/>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43" t="str">
        <f>'Schedule 2B Adjustments'!B44:D44</f>
        <v/>
      </c>
      <c r="C45" s="543"/>
      <c r="D45" s="543"/>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43" t="str">
        <f>'Schedule 2B Adjustments'!B45:D45</f>
        <v/>
      </c>
      <c r="C46" s="543"/>
      <c r="D46" s="543"/>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43" t="str">
        <f>'Schedule 2B Adjustments'!B46:D46</f>
        <v/>
      </c>
      <c r="C47" s="543"/>
      <c r="D47" s="543"/>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43" t="str">
        <f>'Schedule 2B Adjustments'!B47:D47</f>
        <v/>
      </c>
      <c r="C48" s="543"/>
      <c r="D48" s="543"/>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43" t="str">
        <f>'Schedule 2B Adjustments'!B48:D48</f>
        <v/>
      </c>
      <c r="C49" s="543"/>
      <c r="D49" s="543"/>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43" t="str">
        <f>'Schedule 2B Adjustments'!B49:D49</f>
        <v/>
      </c>
      <c r="C50" s="543"/>
      <c r="D50" s="543"/>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43" t="str">
        <f>'Schedule 2B Adjustments'!B50:D50</f>
        <v/>
      </c>
      <c r="C51" s="543"/>
      <c r="D51" s="543"/>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43" t="str">
        <f>'Schedule 2B Adjustments'!B51:D51</f>
        <v/>
      </c>
      <c r="C52" s="543"/>
      <c r="D52" s="543"/>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43" t="str">
        <f>'Schedule 2B Adjustments'!B52:D52</f>
        <v/>
      </c>
      <c r="C53" s="543"/>
      <c r="D53" s="543"/>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43" t="str">
        <f>'Schedule 2B Adjustments'!B53:D53</f>
        <v/>
      </c>
      <c r="C54" s="543"/>
      <c r="D54" s="543"/>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43" t="str">
        <f>'Schedule 2B Adjustments'!B54:D54</f>
        <v/>
      </c>
      <c r="C55" s="543"/>
      <c r="D55" s="543"/>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43" t="str">
        <f>'Schedule 2B Adjustments'!B55:D55</f>
        <v/>
      </c>
      <c r="C56" s="543"/>
      <c r="D56" s="543"/>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43" t="str">
        <f>'Schedule 2B Adjustments'!B56:D56</f>
        <v/>
      </c>
      <c r="C57" s="543"/>
      <c r="D57" s="543"/>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43" t="str">
        <f>'Schedule 2B Adjustments'!B57:D57</f>
        <v/>
      </c>
      <c r="C58" s="543"/>
      <c r="D58" s="543"/>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43" t="str">
        <f>'Schedule 2B Adjustments'!B58:D58</f>
        <v/>
      </c>
      <c r="C59" s="543"/>
      <c r="D59" s="543"/>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43" t="str">
        <f>'Schedule 2B Adjustments'!B59:D59</f>
        <v/>
      </c>
      <c r="C60" s="543"/>
      <c r="D60" s="543"/>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43" t="str">
        <f>'Schedule 2B Adjustments'!B60:D60</f>
        <v/>
      </c>
      <c r="C61" s="543"/>
      <c r="D61" s="543"/>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43" t="str">
        <f>'Schedule 2B Adjustments'!B61:D61</f>
        <v/>
      </c>
      <c r="C62" s="543"/>
      <c r="D62" s="543"/>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43" t="str">
        <f>'Schedule 2B Adjustments'!B62:D62</f>
        <v/>
      </c>
      <c r="C63" s="543"/>
      <c r="D63" s="543"/>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43" t="str">
        <f>'Schedule 2B Adjustments'!B63:D63</f>
        <v/>
      </c>
      <c r="C64" s="543"/>
      <c r="D64" s="543"/>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43" t="str">
        <f>'Schedule 2B Adjustments'!B64:D64</f>
        <v/>
      </c>
      <c r="C65" s="543"/>
      <c r="D65" s="543"/>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43" t="str">
        <f>'Schedule 2B Adjustments'!B65:D65</f>
        <v/>
      </c>
      <c r="C66" s="543"/>
      <c r="D66" s="543"/>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43" t="str">
        <f>'Schedule 2B Adjustments'!B66:D66</f>
        <v/>
      </c>
      <c r="C67" s="543"/>
      <c r="D67" s="543"/>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43" t="str">
        <f>'Schedule 2B Adjustments'!B67:D67</f>
        <v/>
      </c>
      <c r="C68" s="543"/>
      <c r="D68" s="543"/>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43" t="str">
        <f>'Schedule 2B Adjustments'!B68:D68</f>
        <v/>
      </c>
      <c r="C69" s="543"/>
      <c r="D69" s="543"/>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43" t="str">
        <f>'Schedule 2B Adjustments'!B69:D69</f>
        <v/>
      </c>
      <c r="C70" s="543"/>
      <c r="D70" s="543"/>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43" t="str">
        <f>'Schedule 2B Adjustments'!B70:D70</f>
        <v/>
      </c>
      <c r="C71" s="543"/>
      <c r="D71" s="543"/>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43" t="str">
        <f>'Schedule 2B Adjustments'!B71:D71</f>
        <v/>
      </c>
      <c r="C72" s="543"/>
      <c r="D72" s="543"/>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43" t="str">
        <f>'Schedule 2B Adjustments'!B72:D72</f>
        <v/>
      </c>
      <c r="C73" s="543"/>
      <c r="D73" s="543"/>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0</v>
      </c>
      <c r="G74" s="18">
        <f t="shared" ref="G74:H74" si="2">SUM(G16:G73)</f>
        <v>0</v>
      </c>
      <c r="H74" s="18">
        <f t="shared" si="2"/>
        <v>0</v>
      </c>
      <c r="J74" s="18">
        <f>SUM(J16:J73)</f>
        <v>2402433.1100000003</v>
      </c>
      <c r="K74" s="18">
        <f t="shared" ref="K74:L74" si="3">SUM(K16:K73)</f>
        <v>1327862.1562498841</v>
      </c>
      <c r="L74" s="18">
        <f t="shared" si="3"/>
        <v>3730295.2662498839</v>
      </c>
      <c r="O74" s="83" t="s">
        <v>313</v>
      </c>
    </row>
    <row r="75" spans="1:15" ht="15" thickBot="1" x14ac:dyDescent="0.4">
      <c r="H75" s="37" t="s">
        <v>257</v>
      </c>
      <c r="L75" s="37" t="s">
        <v>258</v>
      </c>
    </row>
    <row r="76" spans="1:15" s="72" customFormat="1" ht="16" thickBot="1" x14ac:dyDescent="0.4">
      <c r="A76" s="24">
        <v>60</v>
      </c>
      <c r="B76" s="73" t="s">
        <v>460</v>
      </c>
      <c r="F76" s="75">
        <f>H74+L74</f>
        <v>3730295.2662498839</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774</v>
      </c>
    </row>
    <row r="2" spans="1:15" ht="21" x14ac:dyDescent="0.5">
      <c r="A2" s="2" t="s">
        <v>772</v>
      </c>
    </row>
    <row r="3" spans="1:15" ht="25" customHeight="1" x14ac:dyDescent="0.5">
      <c r="A3" s="524" t="s">
        <v>695</v>
      </c>
      <c r="B3" s="524"/>
      <c r="C3" s="524"/>
      <c r="D3" s="524"/>
      <c r="E3" s="524"/>
      <c r="F3" s="524"/>
      <c r="G3" s="524"/>
      <c r="H3" s="524"/>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2C Adjustments'!B15:D15</f>
        <v>YHC School-Based Cllinicians - offices in 18 school providing theraputic services to students throughout the school day</v>
      </c>
      <c r="C16" s="543"/>
      <c r="D16" s="543"/>
      <c r="F16" s="117">
        <f>'Schedule 2C Adjustments'!H15</f>
        <v>1876628</v>
      </c>
      <c r="G16" s="68">
        <f>'Schedule 2C Adjustments'!J15</f>
        <v>1037241.4916305027</v>
      </c>
      <c r="H16" s="68">
        <f>SUM(F16:G16)</f>
        <v>2913869.491630503</v>
      </c>
      <c r="J16" s="117">
        <f>'Schedule 2C Adjustments'!P15</f>
        <v>0</v>
      </c>
      <c r="K16" s="68">
        <f>'Schedule 2C Adjustments'!R15</f>
        <v>0</v>
      </c>
      <c r="L16" s="68">
        <f>SUM(J16:K16)</f>
        <v>0</v>
      </c>
      <c r="N16" s="120">
        <f>'Schedule 2C Adjustments'!X15</f>
        <v>18.940000000000001</v>
      </c>
      <c r="O16" s="120">
        <f>'Schedule 2C Adjustments'!AA15</f>
        <v>1000</v>
      </c>
    </row>
    <row r="17" spans="1:15" x14ac:dyDescent="0.35">
      <c r="A17" s="24">
        <v>2</v>
      </c>
      <c r="B17" s="543" t="str">
        <f>'Schedule 2C Adjustments'!B16:D16</f>
        <v/>
      </c>
      <c r="C17" s="543"/>
      <c r="D17" s="543"/>
      <c r="F17" s="117">
        <f>'Schedule 2C Adjustments'!H16</f>
        <v>0</v>
      </c>
      <c r="G17" s="68">
        <f>'Schedule 2C Adjustments'!J16</f>
        <v>0</v>
      </c>
      <c r="H17" s="68">
        <f t="shared" ref="H17:H73" si="0">SUM(F17:G17)</f>
        <v>0</v>
      </c>
      <c r="J17" s="117">
        <f>'Schedule 2C Adjustments'!P16</f>
        <v>0</v>
      </c>
      <c r="K17" s="68">
        <f>'Schedule 2C Adjustments'!R16</f>
        <v>0</v>
      </c>
      <c r="L17" s="68">
        <f t="shared" ref="L17:L73" si="1">SUM(J17:K17)</f>
        <v>0</v>
      </c>
      <c r="N17" s="120">
        <f>'Schedule 2C Adjustments'!X16</f>
        <v>0</v>
      </c>
      <c r="O17" s="120">
        <f>'Schedule 2C Adjustments'!AA16</f>
        <v>0</v>
      </c>
    </row>
    <row r="18" spans="1:15" x14ac:dyDescent="0.35">
      <c r="A18" s="24">
        <v>3</v>
      </c>
      <c r="B18" s="543" t="str">
        <f>'Schedule 2C Adjustments'!B17:D17</f>
        <v/>
      </c>
      <c r="C18" s="543"/>
      <c r="D18" s="543"/>
      <c r="F18" s="117">
        <f>'Schedule 2C Adjustments'!H17</f>
        <v>0</v>
      </c>
      <c r="G18" s="68">
        <f>'Schedule 2C Adjustments'!J17</f>
        <v>0</v>
      </c>
      <c r="H18" s="68">
        <f t="shared" si="0"/>
        <v>0</v>
      </c>
      <c r="J18" s="117">
        <f>'Schedule 2C Adjustments'!P17</f>
        <v>0</v>
      </c>
      <c r="K18" s="68">
        <f>'Schedule 2C Adjustments'!R17</f>
        <v>0</v>
      </c>
      <c r="L18" s="68">
        <f t="shared" si="1"/>
        <v>0</v>
      </c>
      <c r="N18" s="120">
        <f>'Schedule 2C Adjustments'!X17</f>
        <v>0</v>
      </c>
      <c r="O18" s="120">
        <f>'Schedule 2C Adjustments'!AA17</f>
        <v>0</v>
      </c>
    </row>
    <row r="19" spans="1:15" x14ac:dyDescent="0.35">
      <c r="A19" s="24">
        <v>4</v>
      </c>
      <c r="B19" s="543" t="str">
        <f>'Schedule 2C Adjustments'!B18:D18</f>
        <v/>
      </c>
      <c r="C19" s="543"/>
      <c r="D19" s="543"/>
      <c r="F19" s="117">
        <f>'Schedule 2C Adjustments'!H18</f>
        <v>0</v>
      </c>
      <c r="G19" s="68">
        <f>'Schedule 2C Adjustments'!J18</f>
        <v>0</v>
      </c>
      <c r="H19" s="68">
        <f t="shared" si="0"/>
        <v>0</v>
      </c>
      <c r="J19" s="117">
        <f>'Schedule 2C Adjustments'!P18</f>
        <v>0</v>
      </c>
      <c r="K19" s="68">
        <f>'Schedule 2C Adjustments'!R18</f>
        <v>0</v>
      </c>
      <c r="L19" s="68">
        <f t="shared" si="1"/>
        <v>0</v>
      </c>
      <c r="N19" s="120">
        <f>'Schedule 2C Adjustments'!X18</f>
        <v>0</v>
      </c>
      <c r="O19" s="120">
        <f>'Schedule 2C Adjustments'!AA18</f>
        <v>0</v>
      </c>
    </row>
    <row r="20" spans="1:15" x14ac:dyDescent="0.35">
      <c r="A20" s="24">
        <v>5</v>
      </c>
      <c r="B20" s="543" t="str">
        <f>'Schedule 2C Adjustments'!B19:D19</f>
        <v>EVBH therapy, case management, &amp; Indirct CMHC mgt.</v>
      </c>
      <c r="C20" s="543"/>
      <c r="D20" s="543"/>
      <c r="F20" s="117">
        <f>'Schedule 2C Adjustments'!H19</f>
        <v>7607541.4443220915</v>
      </c>
      <c r="G20" s="68">
        <f>'Schedule 2C Adjustments'!J19</f>
        <v>4204806.5121854283</v>
      </c>
      <c r="H20" s="68">
        <f t="shared" si="0"/>
        <v>11812347.956507519</v>
      </c>
      <c r="J20" s="117">
        <f>'Schedule 2C Adjustments'!P19</f>
        <v>0</v>
      </c>
      <c r="K20" s="68">
        <f>'Schedule 2C Adjustments'!R19</f>
        <v>0</v>
      </c>
      <c r="L20" s="68">
        <f t="shared" si="1"/>
        <v>0</v>
      </c>
      <c r="N20" s="120">
        <f>'Schedule 2C Adjustments'!X19</f>
        <v>44.11</v>
      </c>
      <c r="O20" s="120">
        <f>'Schedule 2C Adjustments'!AA19</f>
        <v>4078</v>
      </c>
    </row>
    <row r="21" spans="1:15" x14ac:dyDescent="0.35">
      <c r="A21" s="24">
        <v>6</v>
      </c>
      <c r="B21" s="543" t="str">
        <f>'Schedule 2C Adjustments'!B20:D20</f>
        <v>EVBH Community Care Coordination</v>
      </c>
      <c r="C21" s="543"/>
      <c r="D21" s="543"/>
      <c r="F21" s="117">
        <f>'Schedule 2C Adjustments'!H20</f>
        <v>0</v>
      </c>
      <c r="G21" s="68">
        <f>'Schedule 2C Adjustments'!J20</f>
        <v>0</v>
      </c>
      <c r="H21" s="68">
        <f t="shared" si="0"/>
        <v>0</v>
      </c>
      <c r="J21" s="117">
        <f>'Schedule 2C Adjustments'!P20</f>
        <v>140925.49846071191</v>
      </c>
      <c r="K21" s="68">
        <f>'Schedule 2C Adjustments'!R20</f>
        <v>77891.715476994344</v>
      </c>
      <c r="L21" s="68">
        <f t="shared" si="1"/>
        <v>218817.21393770626</v>
      </c>
      <c r="N21" s="120">
        <f>'Schedule 2C Adjustments'!X20</f>
        <v>2.83</v>
      </c>
      <c r="O21" s="120">
        <f>'Schedule 2C Adjustments'!AA20</f>
        <v>0</v>
      </c>
    </row>
    <row r="22" spans="1:15" x14ac:dyDescent="0.35">
      <c r="A22" s="24">
        <v>7</v>
      </c>
      <c r="B22" s="543" t="str">
        <f>'Schedule 2C Adjustments'!B21:D21</f>
        <v/>
      </c>
      <c r="C22" s="543"/>
      <c r="D22" s="543"/>
      <c r="F22" s="117">
        <f>'Schedule 2C Adjustments'!H21</f>
        <v>0</v>
      </c>
      <c r="G22" s="68">
        <f>'Schedule 2C Adjustments'!J21</f>
        <v>0</v>
      </c>
      <c r="H22" s="68">
        <f t="shared" si="0"/>
        <v>0</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43" t="str">
        <f>'Schedule 2C Adjustments'!B22:D22</f>
        <v>Case mgt for older adults and their caregivers - Caregiver Connections</v>
      </c>
      <c r="C23" s="543"/>
      <c r="D23" s="543"/>
      <c r="F23" s="117">
        <f>'Schedule 2C Adjustments'!H22</f>
        <v>0</v>
      </c>
      <c r="G23" s="68">
        <f>'Schedule 2C Adjustments'!J22</f>
        <v>0</v>
      </c>
      <c r="H23" s="68">
        <f t="shared" si="0"/>
        <v>0</v>
      </c>
      <c r="J23" s="117">
        <f>'Schedule 2C Adjustments'!P22</f>
        <v>23333.333333333336</v>
      </c>
      <c r="K23" s="68">
        <f>'Schedule 2C Adjustments'!R22</f>
        <v>12896.696346520674</v>
      </c>
      <c r="L23" s="68">
        <f t="shared" si="1"/>
        <v>36230.029679854008</v>
      </c>
      <c r="N23" s="120">
        <f>'Schedule 2C Adjustments'!X22</f>
        <v>0</v>
      </c>
      <c r="O23" s="120">
        <f>'Schedule 2C Adjustments'!AA22</f>
        <v>0</v>
      </c>
    </row>
    <row r="24" spans="1:15" x14ac:dyDescent="0.35">
      <c r="A24" s="24">
        <v>9</v>
      </c>
      <c r="B24" s="543" t="str">
        <f>'Schedule 2C Adjustments'!B23:D23</f>
        <v>Equine Assisted Learning Services - Trio Health Partners</v>
      </c>
      <c r="C24" s="543"/>
      <c r="D24" s="543"/>
      <c r="F24" s="117">
        <f>'Schedule 2C Adjustments'!H23</f>
        <v>0</v>
      </c>
      <c r="G24" s="68">
        <f>'Schedule 2C Adjustments'!J23</f>
        <v>0</v>
      </c>
      <c r="H24" s="68">
        <f t="shared" si="0"/>
        <v>0</v>
      </c>
      <c r="J24" s="117">
        <f>'Schedule 2C Adjustments'!P23</f>
        <v>42000</v>
      </c>
      <c r="K24" s="68">
        <f>'Schedule 2C Adjustments'!R23</f>
        <v>23214.053423737212</v>
      </c>
      <c r="L24" s="68">
        <f t="shared" si="1"/>
        <v>65214.053423737212</v>
      </c>
      <c r="N24" s="120">
        <f>'Schedule 2C Adjustments'!X23</f>
        <v>0</v>
      </c>
      <c r="O24" s="120">
        <f>'Schedule 2C Adjustments'!AA23</f>
        <v>0</v>
      </c>
    </row>
    <row r="25" spans="1:15" x14ac:dyDescent="0.35">
      <c r="A25" s="24">
        <v>10</v>
      </c>
      <c r="B25" s="543" t="str">
        <f>'Schedule 2C Adjustments'!B24:D24</f>
        <v>BFF Case Mgt. &amp; Direct Clinical</v>
      </c>
      <c r="C25" s="543"/>
      <c r="D25" s="543"/>
      <c r="F25" s="117">
        <f>'Schedule 2C Adjustments'!H24</f>
        <v>0</v>
      </c>
      <c r="G25" s="68">
        <f>'Schedule 2C Adjustments'!J24</f>
        <v>0</v>
      </c>
      <c r="H25" s="68">
        <f t="shared" si="0"/>
        <v>0</v>
      </c>
      <c r="J25" s="117">
        <f>'Schedule 2C Adjustments'!P24</f>
        <v>351800</v>
      </c>
      <c r="K25" s="68">
        <f>'Schedule 2C Adjustments'!R24</f>
        <v>194445.33320168455</v>
      </c>
      <c r="L25" s="68">
        <f t="shared" si="1"/>
        <v>546245.33320168452</v>
      </c>
      <c r="N25" s="120">
        <f>'Schedule 2C Adjustments'!X24</f>
        <v>0</v>
      </c>
      <c r="O25" s="120">
        <f>'Schedule 2C Adjustments'!AA24</f>
        <v>0</v>
      </c>
    </row>
    <row r="26" spans="1:15" x14ac:dyDescent="0.35">
      <c r="A26" s="24">
        <v>11</v>
      </c>
      <c r="B26" s="543" t="str">
        <f>'Schedule 2C Adjustments'!B25:D25</f>
        <v xml:space="preserve">Eagle County Schoold District </v>
      </c>
      <c r="C26" s="543"/>
      <c r="D26" s="543"/>
      <c r="F26" s="117">
        <f>'Schedule 2C Adjustments'!H25</f>
        <v>0</v>
      </c>
      <c r="G26" s="68">
        <f>'Schedule 2C Adjustments'!J25</f>
        <v>0</v>
      </c>
      <c r="H26" s="68">
        <f t="shared" si="0"/>
        <v>0</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43" t="str">
        <f>'Schedule 2C Adjustments'!B26:D26</f>
        <v/>
      </c>
      <c r="C27" s="543"/>
      <c r="D27" s="543"/>
      <c r="F27" s="117">
        <f>'Schedule 2C Adjustments'!H26</f>
        <v>0</v>
      </c>
      <c r="G27" s="68">
        <f>'Schedule 2C Adjustments'!J26</f>
        <v>0</v>
      </c>
      <c r="H27" s="68">
        <f t="shared" si="0"/>
        <v>0</v>
      </c>
      <c r="J27" s="117">
        <f>'Schedule 2C Adjustments'!P26</f>
        <v>0</v>
      </c>
      <c r="K27" s="68">
        <f>'Schedule 2C Adjustments'!R26</f>
        <v>0</v>
      </c>
      <c r="L27" s="68">
        <f t="shared" si="1"/>
        <v>0</v>
      </c>
      <c r="N27" s="120">
        <f>'Schedule 2C Adjustments'!X26</f>
        <v>0</v>
      </c>
      <c r="O27" s="120">
        <f>'Schedule 2C Adjustments'!AA26</f>
        <v>0</v>
      </c>
    </row>
    <row r="28" spans="1:15" x14ac:dyDescent="0.35">
      <c r="A28" s="24">
        <v>13</v>
      </c>
      <c r="B28" s="543" t="str">
        <f>'Schedule 2C Adjustments'!B27:D27</f>
        <v/>
      </c>
      <c r="C28" s="543"/>
      <c r="D28" s="543"/>
      <c r="F28" s="117">
        <f>'Schedule 2C Adjustments'!H27</f>
        <v>0</v>
      </c>
      <c r="G28" s="68">
        <f>'Schedule 2C Adjustments'!J27</f>
        <v>0</v>
      </c>
      <c r="H28" s="68">
        <f t="shared" si="0"/>
        <v>0</v>
      </c>
      <c r="J28" s="117">
        <f>'Schedule 2C Adjustments'!P27</f>
        <v>0</v>
      </c>
      <c r="K28" s="68">
        <f>'Schedule 2C Adjustments'!R27</f>
        <v>0</v>
      </c>
      <c r="L28" s="68">
        <f t="shared" si="1"/>
        <v>0</v>
      </c>
      <c r="N28" s="120">
        <f>'Schedule 2C Adjustments'!X27</f>
        <v>0</v>
      </c>
      <c r="O28" s="120">
        <f>'Schedule 2C Adjustments'!AA27</f>
        <v>0</v>
      </c>
    </row>
    <row r="29" spans="1:15" x14ac:dyDescent="0.35">
      <c r="A29" s="24">
        <v>14</v>
      </c>
      <c r="B29" s="543" t="str">
        <f>'Schedule 2C Adjustments'!B28:D28</f>
        <v/>
      </c>
      <c r="C29" s="543"/>
      <c r="D29" s="543"/>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43" t="str">
        <f>'Schedule 2C Adjustments'!B29:D29</f>
        <v/>
      </c>
      <c r="C30" s="543"/>
      <c r="D30" s="543"/>
      <c r="F30" s="117">
        <f>'Schedule 2C Adjustments'!H29</f>
        <v>0</v>
      </c>
      <c r="G30" s="68">
        <f>'Schedule 2C Adjustments'!J29</f>
        <v>0</v>
      </c>
      <c r="H30" s="68">
        <f t="shared" si="0"/>
        <v>0</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43" t="str">
        <f>'Schedule 2C Adjustments'!B30:D30</f>
        <v/>
      </c>
      <c r="C31" s="543"/>
      <c r="D31" s="543"/>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43" t="str">
        <f>'Schedule 2C Adjustments'!B31:D31</f>
        <v/>
      </c>
      <c r="C32" s="543"/>
      <c r="D32" s="543"/>
      <c r="F32" s="117">
        <f>'Schedule 2C Adjustments'!H31</f>
        <v>0</v>
      </c>
      <c r="G32" s="68">
        <f>'Schedule 2C Adjustments'!J31</f>
        <v>0</v>
      </c>
      <c r="H32" s="68">
        <f t="shared" si="0"/>
        <v>0</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43" t="str">
        <f>'Schedule 2C Adjustments'!B32:D32</f>
        <v/>
      </c>
      <c r="C33" s="543"/>
      <c r="D33" s="543"/>
      <c r="F33" s="117">
        <f>'Schedule 2C Adjustments'!H32</f>
        <v>0</v>
      </c>
      <c r="G33" s="68">
        <f>'Schedule 2C Adjustments'!J32</f>
        <v>0</v>
      </c>
      <c r="H33" s="68">
        <f t="shared" si="0"/>
        <v>0</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43" t="str">
        <f>'Schedule 2C Adjustments'!B33:D33</f>
        <v/>
      </c>
      <c r="C34" s="543"/>
      <c r="D34" s="543"/>
      <c r="F34" s="117">
        <f>'Schedule 2C Adjustments'!H33</f>
        <v>0</v>
      </c>
      <c r="G34" s="68">
        <f>'Schedule 2C Adjustments'!J33</f>
        <v>0</v>
      </c>
      <c r="H34" s="68">
        <f t="shared" si="0"/>
        <v>0</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43" t="str">
        <f>'Schedule 2C Adjustments'!B34:D34</f>
        <v/>
      </c>
      <c r="C35" s="543"/>
      <c r="D35" s="543"/>
      <c r="F35" s="117">
        <f>'Schedule 2C Adjustments'!H34</f>
        <v>0</v>
      </c>
      <c r="G35" s="68">
        <f>'Schedule 2C Adjustments'!J34</f>
        <v>0</v>
      </c>
      <c r="H35" s="68">
        <f t="shared" si="0"/>
        <v>0</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43" t="str">
        <f>'Schedule 2C Adjustments'!B35:D35</f>
        <v/>
      </c>
      <c r="C36" s="543"/>
      <c r="D36" s="543"/>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43" t="str">
        <f>'Schedule 2C Adjustments'!B36:D36</f>
        <v/>
      </c>
      <c r="C37" s="543"/>
      <c r="D37" s="543"/>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43" t="str">
        <f>'Schedule 2C Adjustments'!B37:D37</f>
        <v/>
      </c>
      <c r="C38" s="543"/>
      <c r="D38" s="543"/>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43" t="str">
        <f>'Schedule 2C Adjustments'!B38:D38</f>
        <v/>
      </c>
      <c r="C39" s="543"/>
      <c r="D39" s="543"/>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43" t="str">
        <f>'Schedule 2C Adjustments'!B39:D39</f>
        <v/>
      </c>
      <c r="C40" s="543"/>
      <c r="D40" s="543"/>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43" t="str">
        <f>'Schedule 2C Adjustments'!B40:D40</f>
        <v/>
      </c>
      <c r="C41" s="543"/>
      <c r="D41" s="543"/>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43" t="str">
        <f>'Schedule 2C Adjustments'!B41:D41</f>
        <v/>
      </c>
      <c r="C42" s="543"/>
      <c r="D42" s="543"/>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43" t="str">
        <f>'Schedule 2C Adjustments'!B42:D42</f>
        <v/>
      </c>
      <c r="C43" s="543"/>
      <c r="D43" s="543"/>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43" t="str">
        <f>'Schedule 2C Adjustments'!B43:D43</f>
        <v/>
      </c>
      <c r="C44" s="543"/>
      <c r="D44" s="543"/>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43" t="str">
        <f>'Schedule 2C Adjustments'!B44:D44</f>
        <v/>
      </c>
      <c r="C45" s="543"/>
      <c r="D45" s="543"/>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43" t="str">
        <f>'Schedule 2C Adjustments'!B45:D45</f>
        <v/>
      </c>
      <c r="C46" s="543"/>
      <c r="D46" s="543"/>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43" t="str">
        <f>'Schedule 2C Adjustments'!B46:D46</f>
        <v/>
      </c>
      <c r="C47" s="543"/>
      <c r="D47" s="543"/>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43" t="str">
        <f>'Schedule 2C Adjustments'!B47:D47</f>
        <v/>
      </c>
      <c r="C48" s="543"/>
      <c r="D48" s="543"/>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43" t="str">
        <f>'Schedule 2C Adjustments'!B48:D48</f>
        <v/>
      </c>
      <c r="C49" s="543"/>
      <c r="D49" s="543"/>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43" t="str">
        <f>'Schedule 2C Adjustments'!B49:D49</f>
        <v/>
      </c>
      <c r="C50" s="543"/>
      <c r="D50" s="543"/>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43" t="str">
        <f>'Schedule 2C Adjustments'!B50:D50</f>
        <v/>
      </c>
      <c r="C51" s="543"/>
      <c r="D51" s="543"/>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43" t="str">
        <f>'Schedule 2C Adjustments'!B51:D51</f>
        <v/>
      </c>
      <c r="C52" s="543"/>
      <c r="D52" s="543"/>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43" t="str">
        <f>'Schedule 2C Adjustments'!B52:D52</f>
        <v/>
      </c>
      <c r="C53" s="543"/>
      <c r="D53" s="543"/>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43" t="str">
        <f>'Schedule 2C Adjustments'!B53:D53</f>
        <v/>
      </c>
      <c r="C54" s="543"/>
      <c r="D54" s="543"/>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43" t="str">
        <f>'Schedule 2C Adjustments'!B54:D54</f>
        <v/>
      </c>
      <c r="C55" s="543"/>
      <c r="D55" s="543"/>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43" t="str">
        <f>'Schedule 2C Adjustments'!B55:D55</f>
        <v/>
      </c>
      <c r="C56" s="543"/>
      <c r="D56" s="543"/>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43" t="str">
        <f>'Schedule 2C Adjustments'!B56:D56</f>
        <v/>
      </c>
      <c r="C57" s="543"/>
      <c r="D57" s="543"/>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43" t="str">
        <f>'Schedule 2C Adjustments'!B57:D57</f>
        <v/>
      </c>
      <c r="C58" s="543"/>
      <c r="D58" s="543"/>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43" t="str">
        <f>'Schedule 2C Adjustments'!B58:D58</f>
        <v/>
      </c>
      <c r="C59" s="543"/>
      <c r="D59" s="543"/>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43" t="str">
        <f>'Schedule 2C Adjustments'!B59:D59</f>
        <v/>
      </c>
      <c r="C60" s="543"/>
      <c r="D60" s="543"/>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43" t="str">
        <f>'Schedule 2C Adjustments'!B60:D60</f>
        <v/>
      </c>
      <c r="C61" s="543"/>
      <c r="D61" s="543"/>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43" t="str">
        <f>'Schedule 2C Adjustments'!B61:D61</f>
        <v/>
      </c>
      <c r="C62" s="543"/>
      <c r="D62" s="543"/>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43" t="str">
        <f>'Schedule 2C Adjustments'!B62:D62</f>
        <v/>
      </c>
      <c r="C63" s="543"/>
      <c r="D63" s="543"/>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43" t="str">
        <f>'Schedule 2C Adjustments'!B63:D63</f>
        <v/>
      </c>
      <c r="C64" s="543"/>
      <c r="D64" s="543"/>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43" t="str">
        <f>'Schedule 2C Adjustments'!B64:D64</f>
        <v/>
      </c>
      <c r="C65" s="543"/>
      <c r="D65" s="543"/>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43" t="str">
        <f>'Schedule 2C Adjustments'!B65:D65</f>
        <v/>
      </c>
      <c r="C66" s="543"/>
      <c r="D66" s="543"/>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43" t="str">
        <f>'Schedule 2C Adjustments'!B66:D66</f>
        <v/>
      </c>
      <c r="C67" s="543"/>
      <c r="D67" s="543"/>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43" t="str">
        <f>'Schedule 2C Adjustments'!B67:D67</f>
        <v/>
      </c>
      <c r="C68" s="543"/>
      <c r="D68" s="543"/>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43" t="str">
        <f>'Schedule 2C Adjustments'!B68:D68</f>
        <v/>
      </c>
      <c r="C69" s="543"/>
      <c r="D69" s="543"/>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43" t="str">
        <f>'Schedule 2C Adjustments'!B69:D69</f>
        <v/>
      </c>
      <c r="C70" s="543"/>
      <c r="D70" s="543"/>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43" t="str">
        <f>'Schedule 2C Adjustments'!B70:D70</f>
        <v/>
      </c>
      <c r="C71" s="543"/>
      <c r="D71" s="543"/>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43" t="str">
        <f>'Schedule 2C Adjustments'!B71:D71</f>
        <v/>
      </c>
      <c r="C72" s="543"/>
      <c r="D72" s="543"/>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43" t="str">
        <f>'Schedule 2C Adjustments'!B72:D72</f>
        <v/>
      </c>
      <c r="C73" s="543"/>
      <c r="D73" s="543"/>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9484169.4443220906</v>
      </c>
      <c r="G74" s="18">
        <f t="shared" ref="G74:H74" si="2">SUM(G16:G73)</f>
        <v>5242048.0038159313</v>
      </c>
      <c r="H74" s="18">
        <f t="shared" si="2"/>
        <v>14726217.448138021</v>
      </c>
      <c r="J74" s="18">
        <f>SUM(J16:J73)</f>
        <v>558058.83179404528</v>
      </c>
      <c r="K74" s="18">
        <f>SUM(K16:K73)</f>
        <v>308447.79844893678</v>
      </c>
      <c r="L74" s="18">
        <f>SUM(L16:L73)</f>
        <v>866506.63024298195</v>
      </c>
      <c r="O74" s="83" t="s">
        <v>313</v>
      </c>
    </row>
    <row r="75" spans="1:15" ht="15" thickBot="1" x14ac:dyDescent="0.4">
      <c r="H75" s="37" t="s">
        <v>257</v>
      </c>
      <c r="L75" s="37" t="s">
        <v>258</v>
      </c>
    </row>
    <row r="76" spans="1:15" s="72" customFormat="1" ht="16" thickBot="1" x14ac:dyDescent="0.4">
      <c r="A76" s="24">
        <v>60</v>
      </c>
      <c r="B76" s="73" t="s">
        <v>461</v>
      </c>
      <c r="F76" s="75">
        <f>H74+L74</f>
        <v>15592724.078381002</v>
      </c>
      <c r="G76" s="74"/>
      <c r="H76" s="74"/>
      <c r="I76" s="74"/>
      <c r="J76" s="74"/>
      <c r="K76" s="74"/>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24" t="s">
        <v>696</v>
      </c>
      <c r="B3" s="524"/>
      <c r="C3" s="524"/>
      <c r="D3" s="524"/>
      <c r="E3" s="524"/>
      <c r="F3" s="524"/>
      <c r="G3" s="524"/>
      <c r="H3" s="524"/>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2D Adjustments'!B15:D15</f>
        <v>YHC Community Stabilization  (CSP) - includes ACT</v>
      </c>
      <c r="C16" s="543"/>
      <c r="D16" s="543"/>
      <c r="F16" s="117">
        <f>'Schedule 2D Adjustments'!H15</f>
        <v>630793</v>
      </c>
      <c r="G16" s="68">
        <f>'Schedule 2D Adjustments'!J15</f>
        <v>348649.10479332064</v>
      </c>
      <c r="H16" s="68">
        <f>SUM(F16:G16)</f>
        <v>979442.10479332064</v>
      </c>
      <c r="J16" s="117">
        <f>'Schedule 2D Adjustments'!P15</f>
        <v>0</v>
      </c>
      <c r="K16" s="68">
        <f>'Schedule 2D Adjustments'!R15</f>
        <v>0</v>
      </c>
      <c r="L16" s="68">
        <f>SUM(J16:K16)</f>
        <v>0</v>
      </c>
      <c r="N16" s="120">
        <f>'Schedule 2D Adjustments'!X15</f>
        <v>4.4400000000000004</v>
      </c>
      <c r="O16" s="120">
        <f>'Schedule 2D Adjustments'!AA15</f>
        <v>373</v>
      </c>
    </row>
    <row r="17" spans="1:15" x14ac:dyDescent="0.35">
      <c r="A17" s="24">
        <v>2</v>
      </c>
      <c r="B17" s="543" t="str">
        <f>'Schedule 2D Adjustments'!B16:D16</f>
        <v/>
      </c>
      <c r="C17" s="543"/>
      <c r="D17" s="543"/>
      <c r="F17" s="117">
        <f>'Schedule 2D Adjustments'!H16</f>
        <v>0</v>
      </c>
      <c r="G17" s="68">
        <f>'Schedule 2D Adjustments'!J16</f>
        <v>0</v>
      </c>
      <c r="H17" s="68">
        <f t="shared" ref="H17:H73" si="0">SUM(F17:G17)</f>
        <v>0</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43" t="str">
        <f>'Schedule 2D Adjustments'!B17:D17</f>
        <v/>
      </c>
      <c r="C18" s="543"/>
      <c r="D18" s="543"/>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43" t="str">
        <f>'Schedule 2D Adjustments'!B18:D18</f>
        <v/>
      </c>
      <c r="C19" s="543"/>
      <c r="D19" s="543"/>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43" t="str">
        <f>'Schedule 2D Adjustments'!B19:D19</f>
        <v>Summit/Eagle County Detox Facility - Recovery Resources</v>
      </c>
      <c r="C20" s="543"/>
      <c r="D20" s="543"/>
      <c r="F20" s="117">
        <f>'Schedule 2D Adjustments'!H19</f>
        <v>0</v>
      </c>
      <c r="G20" s="68">
        <f>'Schedule 2D Adjustments'!J19</f>
        <v>0</v>
      </c>
      <c r="H20" s="68">
        <f t="shared" si="0"/>
        <v>0</v>
      </c>
      <c r="J20" s="117">
        <f>'Schedule 2D Adjustments'!P19</f>
        <v>30000</v>
      </c>
      <c r="K20" s="68">
        <f>'Schedule 2D Adjustments'!R19</f>
        <v>16581.466731240864</v>
      </c>
      <c r="L20" s="68">
        <f t="shared" si="1"/>
        <v>46581.466731240864</v>
      </c>
      <c r="N20" s="120">
        <f>'Schedule 2D Adjustments'!X19</f>
        <v>0</v>
      </c>
      <c r="O20" s="120">
        <f>'Schedule 2D Adjustments'!AA19</f>
        <v>0</v>
      </c>
    </row>
    <row r="21" spans="1:15" x14ac:dyDescent="0.35">
      <c r="A21" s="24">
        <v>6</v>
      </c>
      <c r="B21" s="543" t="str">
        <f>'Schedule 2D Adjustments'!B20:D20</f>
        <v/>
      </c>
      <c r="C21" s="543"/>
      <c r="D21" s="543"/>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43" t="str">
        <f>'Schedule 2D Adjustments'!B21:D21</f>
        <v/>
      </c>
      <c r="C22" s="543"/>
      <c r="D22" s="543"/>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43" t="str">
        <f>'Schedule 2D Adjustments'!B22:D22</f>
        <v/>
      </c>
      <c r="C23" s="543"/>
      <c r="D23" s="543"/>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43" t="str">
        <f>'Schedule 2D Adjustments'!B23:D23</f>
        <v/>
      </c>
      <c r="C24" s="543"/>
      <c r="D24" s="543"/>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43" t="str">
        <f>'Schedule 2D Adjustments'!B24:D24</f>
        <v/>
      </c>
      <c r="C25" s="543"/>
      <c r="D25" s="543"/>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43" t="str">
        <f>'Schedule 2D Adjustments'!B25:D25</f>
        <v/>
      </c>
      <c r="C26" s="543"/>
      <c r="D26" s="543"/>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43" t="str">
        <f>'Schedule 2D Adjustments'!B26:D26</f>
        <v/>
      </c>
      <c r="C27" s="543"/>
      <c r="D27" s="543"/>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43" t="str">
        <f>'Schedule 2D Adjustments'!B27:D27</f>
        <v/>
      </c>
      <c r="C28" s="543"/>
      <c r="D28" s="543"/>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43" t="str">
        <f>'Schedule 2D Adjustments'!B28:D28</f>
        <v/>
      </c>
      <c r="C29" s="543"/>
      <c r="D29" s="543"/>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43" t="str">
        <f>'Schedule 2D Adjustments'!B29:D29</f>
        <v/>
      </c>
      <c r="C30" s="543"/>
      <c r="D30" s="543"/>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43" t="str">
        <f>'Schedule 2D Adjustments'!B30:D30</f>
        <v/>
      </c>
      <c r="C31" s="543"/>
      <c r="D31" s="543"/>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43" t="str">
        <f>'Schedule 2D Adjustments'!B31:D31</f>
        <v/>
      </c>
      <c r="C32" s="543"/>
      <c r="D32" s="543"/>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43" t="str">
        <f>'Schedule 2D Adjustments'!B32:D32</f>
        <v/>
      </c>
      <c r="C33" s="543"/>
      <c r="D33" s="543"/>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43" t="str">
        <f>'Schedule 2D Adjustments'!B33:D33</f>
        <v/>
      </c>
      <c r="C34" s="543"/>
      <c r="D34" s="543"/>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43" t="str">
        <f>'Schedule 2D Adjustments'!B34:D34</f>
        <v/>
      </c>
      <c r="C35" s="543"/>
      <c r="D35" s="543"/>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43" t="str">
        <f>'Schedule 2D Adjustments'!B35:D35</f>
        <v/>
      </c>
      <c r="C36" s="543"/>
      <c r="D36" s="543"/>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43" t="str">
        <f>'Schedule 2D Adjustments'!B36:D36</f>
        <v/>
      </c>
      <c r="C37" s="543"/>
      <c r="D37" s="543"/>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43" t="str">
        <f>'Schedule 2D Adjustments'!B37:D37</f>
        <v/>
      </c>
      <c r="C38" s="543"/>
      <c r="D38" s="543"/>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43" t="str">
        <f>'Schedule 2D Adjustments'!B38:D38</f>
        <v/>
      </c>
      <c r="C39" s="543"/>
      <c r="D39" s="543"/>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43" t="str">
        <f>'Schedule 2D Adjustments'!B39:D39</f>
        <v/>
      </c>
      <c r="C40" s="543"/>
      <c r="D40" s="543"/>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43" t="str">
        <f>'Schedule 2D Adjustments'!B40:D40</f>
        <v/>
      </c>
      <c r="C41" s="543"/>
      <c r="D41" s="543"/>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43" t="str">
        <f>'Schedule 2D Adjustments'!B41:D41</f>
        <v/>
      </c>
      <c r="C42" s="543"/>
      <c r="D42" s="543"/>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43" t="str">
        <f>'Schedule 2D Adjustments'!B42:D42</f>
        <v/>
      </c>
      <c r="C43" s="543"/>
      <c r="D43" s="543"/>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43" t="str">
        <f>'Schedule 2D Adjustments'!B43:D43</f>
        <v/>
      </c>
      <c r="C44" s="543"/>
      <c r="D44" s="543"/>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43" t="str">
        <f>'Schedule 2D Adjustments'!B44:D44</f>
        <v/>
      </c>
      <c r="C45" s="543"/>
      <c r="D45" s="543"/>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43" t="str">
        <f>'Schedule 2D Adjustments'!B45:D45</f>
        <v/>
      </c>
      <c r="C46" s="543"/>
      <c r="D46" s="543"/>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43" t="str">
        <f>'Schedule 2D Adjustments'!B46:D46</f>
        <v/>
      </c>
      <c r="C47" s="543"/>
      <c r="D47" s="543"/>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43" t="str">
        <f>'Schedule 2D Adjustments'!B47:D47</f>
        <v/>
      </c>
      <c r="C48" s="543"/>
      <c r="D48" s="543"/>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43" t="str">
        <f>'Schedule 2D Adjustments'!B48:D48</f>
        <v/>
      </c>
      <c r="C49" s="543"/>
      <c r="D49" s="543"/>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43" t="str">
        <f>'Schedule 2D Adjustments'!B49:D49</f>
        <v/>
      </c>
      <c r="C50" s="543"/>
      <c r="D50" s="543"/>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43" t="str">
        <f>'Schedule 2D Adjustments'!B50:D50</f>
        <v/>
      </c>
      <c r="C51" s="543"/>
      <c r="D51" s="543"/>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43" t="str">
        <f>'Schedule 2D Adjustments'!B51:D51</f>
        <v/>
      </c>
      <c r="C52" s="543"/>
      <c r="D52" s="543"/>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43" t="str">
        <f>'Schedule 2D Adjustments'!B52:D52</f>
        <v/>
      </c>
      <c r="C53" s="543"/>
      <c r="D53" s="543"/>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43" t="str">
        <f>'Schedule 2D Adjustments'!B53:D53</f>
        <v/>
      </c>
      <c r="C54" s="543"/>
      <c r="D54" s="543"/>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43" t="str">
        <f>'Schedule 2D Adjustments'!B54:D54</f>
        <v/>
      </c>
      <c r="C55" s="543"/>
      <c r="D55" s="543"/>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43" t="str">
        <f>'Schedule 2D Adjustments'!B55:D55</f>
        <v/>
      </c>
      <c r="C56" s="543"/>
      <c r="D56" s="543"/>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43" t="str">
        <f>'Schedule 2D Adjustments'!B56:D56</f>
        <v/>
      </c>
      <c r="C57" s="543"/>
      <c r="D57" s="543"/>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43" t="str">
        <f>'Schedule 2D Adjustments'!B57:D57</f>
        <v/>
      </c>
      <c r="C58" s="543"/>
      <c r="D58" s="543"/>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43" t="str">
        <f>'Schedule 2D Adjustments'!B58:D58</f>
        <v/>
      </c>
      <c r="C59" s="543"/>
      <c r="D59" s="543"/>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43" t="str">
        <f>'Schedule 2D Adjustments'!B59:D59</f>
        <v/>
      </c>
      <c r="C60" s="543"/>
      <c r="D60" s="543"/>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43" t="str">
        <f>'Schedule 2D Adjustments'!B60:D60</f>
        <v/>
      </c>
      <c r="C61" s="543"/>
      <c r="D61" s="543"/>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43" t="str">
        <f>'Schedule 2D Adjustments'!B61:D61</f>
        <v/>
      </c>
      <c r="C62" s="543"/>
      <c r="D62" s="543"/>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43" t="str">
        <f>'Schedule 2D Adjustments'!B62:D62</f>
        <v/>
      </c>
      <c r="C63" s="543"/>
      <c r="D63" s="543"/>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43" t="str">
        <f>'Schedule 2D Adjustments'!B63:D63</f>
        <v/>
      </c>
      <c r="C64" s="543"/>
      <c r="D64" s="543"/>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43" t="str">
        <f>'Schedule 2D Adjustments'!B64:D64</f>
        <v/>
      </c>
      <c r="C65" s="543"/>
      <c r="D65" s="543"/>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43" t="str">
        <f>'Schedule 2D Adjustments'!B65:D65</f>
        <v/>
      </c>
      <c r="C66" s="543"/>
      <c r="D66" s="543"/>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43" t="str">
        <f>'Schedule 2D Adjustments'!B66:D66</f>
        <v/>
      </c>
      <c r="C67" s="543"/>
      <c r="D67" s="543"/>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43" t="str">
        <f>'Schedule 2D Adjustments'!B67:D67</f>
        <v/>
      </c>
      <c r="C68" s="543"/>
      <c r="D68" s="543"/>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43" t="str">
        <f>'Schedule 2D Adjustments'!B68:D68</f>
        <v/>
      </c>
      <c r="C69" s="543"/>
      <c r="D69" s="543"/>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43" t="str">
        <f>'Schedule 2D Adjustments'!B69:D69</f>
        <v/>
      </c>
      <c r="C70" s="543"/>
      <c r="D70" s="543"/>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43" t="str">
        <f>'Schedule 2D Adjustments'!B70:D70</f>
        <v/>
      </c>
      <c r="C71" s="543"/>
      <c r="D71" s="543"/>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43" t="str">
        <f>'Schedule 2D Adjustments'!B71:D71</f>
        <v/>
      </c>
      <c r="C72" s="543"/>
      <c r="D72" s="543"/>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43" t="str">
        <f>'Schedule 2D Adjustments'!B72:D72</f>
        <v/>
      </c>
      <c r="C73" s="543"/>
      <c r="D73" s="543"/>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630793</v>
      </c>
      <c r="G74" s="18">
        <f t="shared" ref="G74:H74" si="2">SUM(G16:G73)</f>
        <v>348649.10479332064</v>
      </c>
      <c r="H74" s="18">
        <f t="shared" si="2"/>
        <v>979442.10479332064</v>
      </c>
      <c r="J74" s="18">
        <f>SUM(J16:J73)</f>
        <v>30000</v>
      </c>
      <c r="K74" s="18">
        <f t="shared" ref="K74:L74" si="3">SUM(K16:K73)</f>
        <v>16581.466731240864</v>
      </c>
      <c r="L74" s="18">
        <f t="shared" si="3"/>
        <v>46581.466731240864</v>
      </c>
      <c r="O74" s="83" t="s">
        <v>313</v>
      </c>
    </row>
    <row r="75" spans="1:15" ht="15" thickBot="1" x14ac:dyDescent="0.4">
      <c r="H75" s="37" t="s">
        <v>257</v>
      </c>
      <c r="L75" s="37" t="s">
        <v>258</v>
      </c>
    </row>
    <row r="76" spans="1:15" s="72" customFormat="1" ht="16" thickBot="1" x14ac:dyDescent="0.4">
      <c r="A76" s="24">
        <v>60</v>
      </c>
      <c r="B76" s="73" t="s">
        <v>462</v>
      </c>
      <c r="F76" s="75">
        <f>H74+L74</f>
        <v>1026023.5715245615</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810</v>
      </c>
      <c r="C9" s="1"/>
      <c r="F9" s="119" t="str">
        <f>'Schedule 2E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2E Adjustments'!B15:D15</f>
        <v/>
      </c>
      <c r="C16" s="543"/>
      <c r="D16" s="543"/>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43" t="str">
        <f>'Schedule 2E Adjustments'!B16:D16</f>
        <v/>
      </c>
      <c r="C17" s="543"/>
      <c r="D17" s="543"/>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43" t="str">
        <f>'Schedule 2E Adjustments'!B17:D17</f>
        <v/>
      </c>
      <c r="C18" s="543"/>
      <c r="D18" s="543"/>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43" t="str">
        <f>'Schedule 2E Adjustments'!B18:D18</f>
        <v/>
      </c>
      <c r="C19" s="543"/>
      <c r="D19" s="543"/>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43" t="str">
        <f>'Schedule 2E Adjustments'!B19:D19</f>
        <v/>
      </c>
      <c r="C20" s="543"/>
      <c r="D20" s="543"/>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43" t="str">
        <f>'Schedule 2E Adjustments'!B20:D20</f>
        <v/>
      </c>
      <c r="C21" s="543"/>
      <c r="D21" s="543"/>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43" t="str">
        <f>'Schedule 2E Adjustments'!B21:D21</f>
        <v/>
      </c>
      <c r="C22" s="543"/>
      <c r="D22" s="543"/>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43" t="str">
        <f>'Schedule 2E Adjustments'!B22:D22</f>
        <v/>
      </c>
      <c r="C23" s="543"/>
      <c r="D23" s="543"/>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43" t="str">
        <f>'Schedule 2E Adjustments'!B23:D23</f>
        <v/>
      </c>
      <c r="C24" s="543"/>
      <c r="D24" s="543"/>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43" t="str">
        <f>'Schedule 2E Adjustments'!B24:D24</f>
        <v/>
      </c>
      <c r="C25" s="543"/>
      <c r="D25" s="543"/>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43" t="str">
        <f>'Schedule 2E Adjustments'!B25:D25</f>
        <v/>
      </c>
      <c r="C26" s="543"/>
      <c r="D26" s="543"/>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43" t="str">
        <f>'Schedule 2E Adjustments'!B26:D26</f>
        <v/>
      </c>
      <c r="C27" s="543"/>
      <c r="D27" s="543"/>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43" t="str">
        <f>'Schedule 2E Adjustments'!B27:D27</f>
        <v/>
      </c>
      <c r="C28" s="543"/>
      <c r="D28" s="543"/>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43" t="str">
        <f>'Schedule 2E Adjustments'!B28:D28</f>
        <v/>
      </c>
      <c r="C29" s="543"/>
      <c r="D29" s="543"/>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43" t="str">
        <f>'Schedule 2E Adjustments'!B29:D29</f>
        <v/>
      </c>
      <c r="C30" s="543"/>
      <c r="D30" s="543"/>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43" t="str">
        <f>'Schedule 2E Adjustments'!B30:D30</f>
        <v/>
      </c>
      <c r="C31" s="543"/>
      <c r="D31" s="543"/>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43" t="str">
        <f>'Schedule 2E Adjustments'!B31:D31</f>
        <v/>
      </c>
      <c r="C32" s="543"/>
      <c r="D32" s="543"/>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43" t="str">
        <f>'Schedule 2E Adjustments'!B32:D32</f>
        <v/>
      </c>
      <c r="C33" s="543"/>
      <c r="D33" s="543"/>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43" t="str">
        <f>'Schedule 2E Adjustments'!B33:D33</f>
        <v/>
      </c>
      <c r="C34" s="543"/>
      <c r="D34" s="543"/>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43" t="str">
        <f>'Schedule 2E Adjustments'!B34:D34</f>
        <v/>
      </c>
      <c r="C35" s="543"/>
      <c r="D35" s="543"/>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43" t="str">
        <f>'Schedule 2E Adjustments'!B35:D35</f>
        <v/>
      </c>
      <c r="C36" s="543"/>
      <c r="D36" s="543"/>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43" t="str">
        <f>'Schedule 2E Adjustments'!B36:D36</f>
        <v/>
      </c>
      <c r="C37" s="543"/>
      <c r="D37" s="543"/>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43" t="str">
        <f>'Schedule 2E Adjustments'!B37:D37</f>
        <v/>
      </c>
      <c r="C38" s="543"/>
      <c r="D38" s="543"/>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43" t="str">
        <f>'Schedule 2E Adjustments'!B38:D38</f>
        <v/>
      </c>
      <c r="C39" s="543"/>
      <c r="D39" s="543"/>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43" t="str">
        <f>'Schedule 2E Adjustments'!B39:D39</f>
        <v/>
      </c>
      <c r="C40" s="543"/>
      <c r="D40" s="543"/>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43" t="str">
        <f>'Schedule 2E Adjustments'!B40:D40</f>
        <v/>
      </c>
      <c r="C41" s="543"/>
      <c r="D41" s="543"/>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43" t="str">
        <f>'Schedule 2E Adjustments'!B41:D41</f>
        <v/>
      </c>
      <c r="C42" s="543"/>
      <c r="D42" s="543"/>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43" t="str">
        <f>'Schedule 2E Adjustments'!B42:D42</f>
        <v/>
      </c>
      <c r="C43" s="543"/>
      <c r="D43" s="543"/>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43" t="str">
        <f>'Schedule 2E Adjustments'!B43:D43</f>
        <v/>
      </c>
      <c r="C44" s="543"/>
      <c r="D44" s="543"/>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43" t="str">
        <f>'Schedule 2E Adjustments'!B44:D44</f>
        <v/>
      </c>
      <c r="C45" s="543"/>
      <c r="D45" s="543"/>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43" t="str">
        <f>'Schedule 2E Adjustments'!B45:D45</f>
        <v/>
      </c>
      <c r="C46" s="543"/>
      <c r="D46" s="543"/>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43" t="str">
        <f>'Schedule 2E Adjustments'!B46:D46</f>
        <v/>
      </c>
      <c r="C47" s="543"/>
      <c r="D47" s="543"/>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43" t="str">
        <f>'Schedule 2E Adjustments'!B47:D47</f>
        <v/>
      </c>
      <c r="C48" s="543"/>
      <c r="D48" s="543"/>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43" t="str">
        <f>'Schedule 2E Adjustments'!B48:D48</f>
        <v/>
      </c>
      <c r="C49" s="543"/>
      <c r="D49" s="543"/>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43" t="str">
        <f>'Schedule 2E Adjustments'!B49:D49</f>
        <v/>
      </c>
      <c r="C50" s="543"/>
      <c r="D50" s="543"/>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43" t="str">
        <f>'Schedule 2E Adjustments'!B50:D50</f>
        <v/>
      </c>
      <c r="C51" s="543"/>
      <c r="D51" s="543"/>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43" t="str">
        <f>'Schedule 2E Adjustments'!B51:D51</f>
        <v/>
      </c>
      <c r="C52" s="543"/>
      <c r="D52" s="543"/>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43" t="str">
        <f>'Schedule 2E Adjustments'!B52:D52</f>
        <v/>
      </c>
      <c r="C53" s="543"/>
      <c r="D53" s="543"/>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43" t="str">
        <f>'Schedule 2E Adjustments'!B53:D53</f>
        <v/>
      </c>
      <c r="C54" s="543"/>
      <c r="D54" s="543"/>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43" t="str">
        <f>'Schedule 2E Adjustments'!B54:D54</f>
        <v/>
      </c>
      <c r="C55" s="543"/>
      <c r="D55" s="543"/>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43" t="str">
        <f>'Schedule 2E Adjustments'!B55:D55</f>
        <v/>
      </c>
      <c r="C56" s="543"/>
      <c r="D56" s="543"/>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43" t="str">
        <f>'Schedule 2E Adjustments'!B56:D56</f>
        <v/>
      </c>
      <c r="C57" s="543"/>
      <c r="D57" s="543"/>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43" t="str">
        <f>'Schedule 2E Adjustments'!B57:D57</f>
        <v/>
      </c>
      <c r="C58" s="543"/>
      <c r="D58" s="543"/>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43" t="str">
        <f>'Schedule 2E Adjustments'!B58:D58</f>
        <v/>
      </c>
      <c r="C59" s="543"/>
      <c r="D59" s="543"/>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43" t="str">
        <f>'Schedule 2E Adjustments'!B59:D59</f>
        <v/>
      </c>
      <c r="C60" s="543"/>
      <c r="D60" s="543"/>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43" t="str">
        <f>'Schedule 2E Adjustments'!B60:D60</f>
        <v/>
      </c>
      <c r="C61" s="543"/>
      <c r="D61" s="543"/>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43" t="str">
        <f>'Schedule 2E Adjustments'!B61:D61</f>
        <v/>
      </c>
      <c r="C62" s="543"/>
      <c r="D62" s="543"/>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43" t="str">
        <f>'Schedule 2E Adjustments'!B62:D62</f>
        <v/>
      </c>
      <c r="C63" s="543"/>
      <c r="D63" s="543"/>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43" t="str">
        <f>'Schedule 2E Adjustments'!B63:D63</f>
        <v/>
      </c>
      <c r="C64" s="543"/>
      <c r="D64" s="543"/>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43" t="str">
        <f>'Schedule 2E Adjustments'!B64:D64</f>
        <v/>
      </c>
      <c r="C65" s="543"/>
      <c r="D65" s="543"/>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43" t="str">
        <f>'Schedule 2E Adjustments'!B65:D65</f>
        <v/>
      </c>
      <c r="C66" s="543"/>
      <c r="D66" s="543"/>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43" t="str">
        <f>'Schedule 2E Adjustments'!B66:D66</f>
        <v/>
      </c>
      <c r="C67" s="543"/>
      <c r="D67" s="543"/>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43" t="str">
        <f>'Schedule 2E Adjustments'!B67:D67</f>
        <v/>
      </c>
      <c r="C68" s="543"/>
      <c r="D68" s="543"/>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43" t="str">
        <f>'Schedule 2E Adjustments'!B68:D68</f>
        <v/>
      </c>
      <c r="C69" s="543"/>
      <c r="D69" s="543"/>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43" t="str">
        <f>'Schedule 2E Adjustments'!B69:D69</f>
        <v/>
      </c>
      <c r="C70" s="543"/>
      <c r="D70" s="543"/>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43" t="str">
        <f>'Schedule 2E Adjustments'!B70:D70</f>
        <v/>
      </c>
      <c r="C71" s="543"/>
      <c r="D71" s="543"/>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43" t="str">
        <f>'Schedule 2E Adjustments'!B71:D71</f>
        <v/>
      </c>
      <c r="C72" s="543"/>
      <c r="D72" s="543"/>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43" t="str">
        <f>'Schedule 2E Adjustments'!B72:D72</f>
        <v/>
      </c>
      <c r="C73" s="543"/>
      <c r="D73" s="543"/>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813</v>
      </c>
      <c r="C9" s="1"/>
      <c r="F9" s="119" t="str">
        <f>'Schedule 2F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2F Adjustments'!B15:D15</f>
        <v/>
      </c>
      <c r="C16" s="543"/>
      <c r="D16" s="543"/>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43" t="str">
        <f>'Schedule 2F Adjustments'!B16:D16</f>
        <v/>
      </c>
      <c r="C17" s="543"/>
      <c r="D17" s="543"/>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43" t="str">
        <f>'Schedule 2F Adjustments'!B17:D17</f>
        <v/>
      </c>
      <c r="C18" s="543"/>
      <c r="D18" s="543"/>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43" t="str">
        <f>'Schedule 2F Adjustments'!B18:D18</f>
        <v/>
      </c>
      <c r="C19" s="543"/>
      <c r="D19" s="543"/>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43" t="str">
        <f>'Schedule 2F Adjustments'!B19:D19</f>
        <v/>
      </c>
      <c r="C20" s="543"/>
      <c r="D20" s="543"/>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43" t="str">
        <f>'Schedule 2F Adjustments'!B20:D20</f>
        <v/>
      </c>
      <c r="C21" s="543"/>
      <c r="D21" s="543"/>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43" t="str">
        <f>'Schedule 2F Adjustments'!B21:D21</f>
        <v/>
      </c>
      <c r="C22" s="543"/>
      <c r="D22" s="543"/>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43" t="str">
        <f>'Schedule 2F Adjustments'!B22:D22</f>
        <v/>
      </c>
      <c r="C23" s="543"/>
      <c r="D23" s="543"/>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43" t="str">
        <f>'Schedule 2F Adjustments'!B23:D23</f>
        <v/>
      </c>
      <c r="C24" s="543"/>
      <c r="D24" s="543"/>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43" t="str">
        <f>'Schedule 2F Adjustments'!B24:D24</f>
        <v/>
      </c>
      <c r="C25" s="543"/>
      <c r="D25" s="543"/>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43" t="str">
        <f>'Schedule 2F Adjustments'!B25:D25</f>
        <v/>
      </c>
      <c r="C26" s="543"/>
      <c r="D26" s="543"/>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43" t="str">
        <f>'Schedule 2F Adjustments'!B26:D26</f>
        <v/>
      </c>
      <c r="C27" s="543"/>
      <c r="D27" s="543"/>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43" t="str">
        <f>'Schedule 2F Adjustments'!B27:D27</f>
        <v/>
      </c>
      <c r="C28" s="543"/>
      <c r="D28" s="543"/>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43" t="str">
        <f>'Schedule 2F Adjustments'!B28:D28</f>
        <v/>
      </c>
      <c r="C29" s="543"/>
      <c r="D29" s="543"/>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43" t="str">
        <f>'Schedule 2F Adjustments'!B29:D29</f>
        <v/>
      </c>
      <c r="C30" s="543"/>
      <c r="D30" s="543"/>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43" t="str">
        <f>'Schedule 2F Adjustments'!B30:D30</f>
        <v/>
      </c>
      <c r="C31" s="543"/>
      <c r="D31" s="543"/>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43" t="str">
        <f>'Schedule 2F Adjustments'!B31:D31</f>
        <v/>
      </c>
      <c r="C32" s="543"/>
      <c r="D32" s="543"/>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43" t="str">
        <f>'Schedule 2F Adjustments'!B32:D32</f>
        <v/>
      </c>
      <c r="C33" s="543"/>
      <c r="D33" s="543"/>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43" t="str">
        <f>'Schedule 2F Adjustments'!B33:D33</f>
        <v/>
      </c>
      <c r="C34" s="543"/>
      <c r="D34" s="543"/>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43" t="str">
        <f>'Schedule 2F Adjustments'!B34:D34</f>
        <v/>
      </c>
      <c r="C35" s="543"/>
      <c r="D35" s="543"/>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43" t="str">
        <f>'Schedule 2F Adjustments'!B35:D35</f>
        <v/>
      </c>
      <c r="C36" s="543"/>
      <c r="D36" s="543"/>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43" t="str">
        <f>'Schedule 2F Adjustments'!B36:D36</f>
        <v/>
      </c>
      <c r="C37" s="543"/>
      <c r="D37" s="543"/>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43" t="str">
        <f>'Schedule 2F Adjustments'!B37:D37</f>
        <v/>
      </c>
      <c r="C38" s="543"/>
      <c r="D38" s="543"/>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43" t="str">
        <f>'Schedule 2F Adjustments'!B38:D38</f>
        <v/>
      </c>
      <c r="C39" s="543"/>
      <c r="D39" s="543"/>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43" t="str">
        <f>'Schedule 2F Adjustments'!B39:D39</f>
        <v/>
      </c>
      <c r="C40" s="543"/>
      <c r="D40" s="543"/>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43" t="str">
        <f>'Schedule 2F Adjustments'!B40:D40</f>
        <v/>
      </c>
      <c r="C41" s="543"/>
      <c r="D41" s="543"/>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43" t="str">
        <f>'Schedule 2F Adjustments'!B41:D41</f>
        <v/>
      </c>
      <c r="C42" s="543"/>
      <c r="D42" s="543"/>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43" t="str">
        <f>'Schedule 2F Adjustments'!B42:D42</f>
        <v/>
      </c>
      <c r="C43" s="543"/>
      <c r="D43" s="543"/>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43" t="str">
        <f>'Schedule 2F Adjustments'!B43:D43</f>
        <v/>
      </c>
      <c r="C44" s="543"/>
      <c r="D44" s="543"/>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43" t="str">
        <f>'Schedule 2F Adjustments'!B44:D44</f>
        <v/>
      </c>
      <c r="C45" s="543"/>
      <c r="D45" s="543"/>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43" t="str">
        <f>'Schedule 2F Adjustments'!B45:D45</f>
        <v/>
      </c>
      <c r="C46" s="543"/>
      <c r="D46" s="543"/>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43" t="str">
        <f>'Schedule 2F Adjustments'!B46:D46</f>
        <v/>
      </c>
      <c r="C47" s="543"/>
      <c r="D47" s="543"/>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43" t="str">
        <f>'Schedule 2F Adjustments'!B47:D47</f>
        <v/>
      </c>
      <c r="C48" s="543"/>
      <c r="D48" s="543"/>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43" t="str">
        <f>'Schedule 2F Adjustments'!B48:D48</f>
        <v/>
      </c>
      <c r="C49" s="543"/>
      <c r="D49" s="543"/>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43" t="str">
        <f>'Schedule 2F Adjustments'!B49:D49</f>
        <v/>
      </c>
      <c r="C50" s="543"/>
      <c r="D50" s="543"/>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43" t="str">
        <f>'Schedule 2F Adjustments'!B50:D50</f>
        <v/>
      </c>
      <c r="C51" s="543"/>
      <c r="D51" s="543"/>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43" t="str">
        <f>'Schedule 2F Adjustments'!B51:D51</f>
        <v/>
      </c>
      <c r="C52" s="543"/>
      <c r="D52" s="543"/>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43" t="str">
        <f>'Schedule 2F Adjustments'!B52:D52</f>
        <v/>
      </c>
      <c r="C53" s="543"/>
      <c r="D53" s="543"/>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43" t="str">
        <f>'Schedule 2F Adjustments'!B53:D53</f>
        <v/>
      </c>
      <c r="C54" s="543"/>
      <c r="D54" s="543"/>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43" t="str">
        <f>'Schedule 2F Adjustments'!B54:D54</f>
        <v/>
      </c>
      <c r="C55" s="543"/>
      <c r="D55" s="543"/>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43" t="str">
        <f>'Schedule 2F Adjustments'!B55:D55</f>
        <v/>
      </c>
      <c r="C56" s="543"/>
      <c r="D56" s="543"/>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43" t="str">
        <f>'Schedule 2F Adjustments'!B56:D56</f>
        <v/>
      </c>
      <c r="C57" s="543"/>
      <c r="D57" s="543"/>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43" t="str">
        <f>'Schedule 2F Adjustments'!B57:D57</f>
        <v/>
      </c>
      <c r="C58" s="543"/>
      <c r="D58" s="543"/>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43" t="str">
        <f>'Schedule 2F Adjustments'!B58:D58</f>
        <v/>
      </c>
      <c r="C59" s="543"/>
      <c r="D59" s="543"/>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43" t="str">
        <f>'Schedule 2F Adjustments'!B59:D59</f>
        <v/>
      </c>
      <c r="C60" s="543"/>
      <c r="D60" s="543"/>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43" t="str">
        <f>'Schedule 2F Adjustments'!B60:D60</f>
        <v/>
      </c>
      <c r="C61" s="543"/>
      <c r="D61" s="543"/>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43" t="str">
        <f>'Schedule 2F Adjustments'!B61:D61</f>
        <v/>
      </c>
      <c r="C62" s="543"/>
      <c r="D62" s="543"/>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43" t="str">
        <f>'Schedule 2F Adjustments'!B62:D62</f>
        <v/>
      </c>
      <c r="C63" s="543"/>
      <c r="D63" s="543"/>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43" t="str">
        <f>'Schedule 2F Adjustments'!B63:D63</f>
        <v/>
      </c>
      <c r="C64" s="543"/>
      <c r="D64" s="543"/>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43" t="str">
        <f>'Schedule 2F Adjustments'!B64:D64</f>
        <v/>
      </c>
      <c r="C65" s="543"/>
      <c r="D65" s="543"/>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43" t="str">
        <f>'Schedule 2F Adjustments'!B65:D65</f>
        <v/>
      </c>
      <c r="C66" s="543"/>
      <c r="D66" s="543"/>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43" t="str">
        <f>'Schedule 2F Adjustments'!B66:D66</f>
        <v/>
      </c>
      <c r="C67" s="543"/>
      <c r="D67" s="543"/>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43" t="str">
        <f>'Schedule 2F Adjustments'!B67:D67</f>
        <v/>
      </c>
      <c r="C68" s="543"/>
      <c r="D68" s="543"/>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43" t="str">
        <f>'Schedule 2F Adjustments'!B68:D68</f>
        <v/>
      </c>
      <c r="C69" s="543"/>
      <c r="D69" s="543"/>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43" t="str">
        <f>'Schedule 2F Adjustments'!B69:D69</f>
        <v/>
      </c>
      <c r="C70" s="543"/>
      <c r="D70" s="543"/>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43" t="str">
        <f>'Schedule 2F Adjustments'!B70:D70</f>
        <v/>
      </c>
      <c r="C71" s="543"/>
      <c r="D71" s="543"/>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43" t="str">
        <f>'Schedule 2F Adjustments'!B71:D71</f>
        <v/>
      </c>
      <c r="C72" s="543"/>
      <c r="D72" s="543"/>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43" t="str">
        <f>'Schedule 2F Adjustments'!B72:D72</f>
        <v/>
      </c>
      <c r="C73" s="543"/>
      <c r="D73" s="543"/>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816</v>
      </c>
      <c r="C9" s="1"/>
      <c r="F9" s="119" t="str">
        <f>'Schedule 2G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2G Adjustments'!B15:D15</f>
        <v/>
      </c>
      <c r="C16" s="543"/>
      <c r="D16" s="543"/>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43" t="str">
        <f>'Schedule 2G Adjustments'!B16:D16</f>
        <v/>
      </c>
      <c r="C17" s="543"/>
      <c r="D17" s="543"/>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43" t="str">
        <f>'Schedule 2G Adjustments'!B17:D17</f>
        <v/>
      </c>
      <c r="C18" s="543"/>
      <c r="D18" s="543"/>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43" t="str">
        <f>'Schedule 2G Adjustments'!B18:D18</f>
        <v/>
      </c>
      <c r="C19" s="543"/>
      <c r="D19" s="543"/>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43" t="str">
        <f>'Schedule 2G Adjustments'!B19:D19</f>
        <v/>
      </c>
      <c r="C20" s="543"/>
      <c r="D20" s="543"/>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43" t="str">
        <f>'Schedule 2G Adjustments'!B20:D20</f>
        <v/>
      </c>
      <c r="C21" s="543"/>
      <c r="D21" s="543"/>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43" t="str">
        <f>'Schedule 2G Adjustments'!B21:D21</f>
        <v/>
      </c>
      <c r="C22" s="543"/>
      <c r="D22" s="543"/>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43" t="str">
        <f>'Schedule 2G Adjustments'!B22:D22</f>
        <v/>
      </c>
      <c r="C23" s="543"/>
      <c r="D23" s="543"/>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43" t="str">
        <f>'Schedule 2G Adjustments'!B23:D23</f>
        <v/>
      </c>
      <c r="C24" s="543"/>
      <c r="D24" s="543"/>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43" t="str">
        <f>'Schedule 2G Adjustments'!B24:D24</f>
        <v/>
      </c>
      <c r="C25" s="543"/>
      <c r="D25" s="543"/>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43" t="str">
        <f>'Schedule 2G Adjustments'!B25:D25</f>
        <v/>
      </c>
      <c r="C26" s="543"/>
      <c r="D26" s="543"/>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43" t="str">
        <f>'Schedule 2G Adjustments'!B26:D26</f>
        <v/>
      </c>
      <c r="C27" s="543"/>
      <c r="D27" s="543"/>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43" t="str">
        <f>'Schedule 2G Adjustments'!B27:D27</f>
        <v/>
      </c>
      <c r="C28" s="543"/>
      <c r="D28" s="543"/>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43" t="str">
        <f>'Schedule 2G Adjustments'!B28:D28</f>
        <v/>
      </c>
      <c r="C29" s="543"/>
      <c r="D29" s="543"/>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43" t="str">
        <f>'Schedule 2G Adjustments'!B29:D29</f>
        <v/>
      </c>
      <c r="C30" s="543"/>
      <c r="D30" s="543"/>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43" t="str">
        <f>'Schedule 2G Adjustments'!B30:D30</f>
        <v/>
      </c>
      <c r="C31" s="543"/>
      <c r="D31" s="543"/>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43" t="str">
        <f>'Schedule 2G Adjustments'!B31:D31</f>
        <v/>
      </c>
      <c r="C32" s="543"/>
      <c r="D32" s="543"/>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43" t="str">
        <f>'Schedule 2G Adjustments'!B32:D32</f>
        <v/>
      </c>
      <c r="C33" s="543"/>
      <c r="D33" s="543"/>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43" t="str">
        <f>'Schedule 2G Adjustments'!B33:D33</f>
        <v/>
      </c>
      <c r="C34" s="543"/>
      <c r="D34" s="543"/>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43" t="str">
        <f>'Schedule 2G Adjustments'!B34:D34</f>
        <v/>
      </c>
      <c r="C35" s="543"/>
      <c r="D35" s="543"/>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43" t="str">
        <f>'Schedule 2G Adjustments'!B35:D35</f>
        <v/>
      </c>
      <c r="C36" s="543"/>
      <c r="D36" s="543"/>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43" t="str">
        <f>'Schedule 2G Adjustments'!B36:D36</f>
        <v/>
      </c>
      <c r="C37" s="543"/>
      <c r="D37" s="543"/>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43" t="str">
        <f>'Schedule 2G Adjustments'!B37:D37</f>
        <v/>
      </c>
      <c r="C38" s="543"/>
      <c r="D38" s="543"/>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43" t="str">
        <f>'Schedule 2G Adjustments'!B38:D38</f>
        <v/>
      </c>
      <c r="C39" s="543"/>
      <c r="D39" s="543"/>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43" t="str">
        <f>'Schedule 2G Adjustments'!B39:D39</f>
        <v/>
      </c>
      <c r="C40" s="543"/>
      <c r="D40" s="543"/>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43" t="str">
        <f>'Schedule 2G Adjustments'!B40:D40</f>
        <v/>
      </c>
      <c r="C41" s="543"/>
      <c r="D41" s="543"/>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43" t="str">
        <f>'Schedule 2G Adjustments'!B41:D41</f>
        <v/>
      </c>
      <c r="C42" s="543"/>
      <c r="D42" s="543"/>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43" t="str">
        <f>'Schedule 2G Adjustments'!B42:D42</f>
        <v/>
      </c>
      <c r="C43" s="543"/>
      <c r="D43" s="543"/>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43" t="str">
        <f>'Schedule 2G Adjustments'!B43:D43</f>
        <v/>
      </c>
      <c r="C44" s="543"/>
      <c r="D44" s="543"/>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43" t="str">
        <f>'Schedule 2G Adjustments'!B44:D44</f>
        <v/>
      </c>
      <c r="C45" s="543"/>
      <c r="D45" s="543"/>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43" t="str">
        <f>'Schedule 2G Adjustments'!B45:D45</f>
        <v/>
      </c>
      <c r="C46" s="543"/>
      <c r="D46" s="543"/>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43" t="str">
        <f>'Schedule 2G Adjustments'!B46:D46</f>
        <v/>
      </c>
      <c r="C47" s="543"/>
      <c r="D47" s="543"/>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43" t="str">
        <f>'Schedule 2G Adjustments'!B47:D47</f>
        <v/>
      </c>
      <c r="C48" s="543"/>
      <c r="D48" s="543"/>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43" t="str">
        <f>'Schedule 2G Adjustments'!B48:D48</f>
        <v/>
      </c>
      <c r="C49" s="543"/>
      <c r="D49" s="543"/>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43" t="str">
        <f>'Schedule 2G Adjustments'!B49:D49</f>
        <v/>
      </c>
      <c r="C50" s="543"/>
      <c r="D50" s="543"/>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43" t="str">
        <f>'Schedule 2G Adjustments'!B50:D50</f>
        <v/>
      </c>
      <c r="C51" s="543"/>
      <c r="D51" s="543"/>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43" t="str">
        <f>'Schedule 2G Adjustments'!B51:D51</f>
        <v/>
      </c>
      <c r="C52" s="543"/>
      <c r="D52" s="543"/>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43" t="str">
        <f>'Schedule 2G Adjustments'!B52:D52</f>
        <v/>
      </c>
      <c r="C53" s="543"/>
      <c r="D53" s="543"/>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43" t="str">
        <f>'Schedule 2G Adjustments'!B53:D53</f>
        <v/>
      </c>
      <c r="C54" s="543"/>
      <c r="D54" s="543"/>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43" t="str">
        <f>'Schedule 2G Adjustments'!B54:D54</f>
        <v/>
      </c>
      <c r="C55" s="543"/>
      <c r="D55" s="543"/>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43" t="str">
        <f>'Schedule 2G Adjustments'!B55:D55</f>
        <v/>
      </c>
      <c r="C56" s="543"/>
      <c r="D56" s="543"/>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43" t="str">
        <f>'Schedule 2G Adjustments'!B56:D56</f>
        <v/>
      </c>
      <c r="C57" s="543"/>
      <c r="D57" s="543"/>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43" t="str">
        <f>'Schedule 2G Adjustments'!B57:D57</f>
        <v/>
      </c>
      <c r="C58" s="543"/>
      <c r="D58" s="543"/>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43" t="str">
        <f>'Schedule 2G Adjustments'!B58:D58</f>
        <v/>
      </c>
      <c r="C59" s="543"/>
      <c r="D59" s="543"/>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43" t="str">
        <f>'Schedule 2G Adjustments'!B59:D59</f>
        <v/>
      </c>
      <c r="C60" s="543"/>
      <c r="D60" s="543"/>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43" t="str">
        <f>'Schedule 2G Adjustments'!B60:D60</f>
        <v/>
      </c>
      <c r="C61" s="543"/>
      <c r="D61" s="543"/>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43" t="str">
        <f>'Schedule 2G Adjustments'!B61:D61</f>
        <v/>
      </c>
      <c r="C62" s="543"/>
      <c r="D62" s="543"/>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43" t="str">
        <f>'Schedule 2G Adjustments'!B62:D62</f>
        <v/>
      </c>
      <c r="C63" s="543"/>
      <c r="D63" s="543"/>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43" t="str">
        <f>'Schedule 2G Adjustments'!B63:D63</f>
        <v/>
      </c>
      <c r="C64" s="543"/>
      <c r="D64" s="543"/>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43" t="str">
        <f>'Schedule 2G Adjustments'!B64:D64</f>
        <v/>
      </c>
      <c r="C65" s="543"/>
      <c r="D65" s="543"/>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43" t="str">
        <f>'Schedule 2G Adjustments'!B65:D65</f>
        <v/>
      </c>
      <c r="C66" s="543"/>
      <c r="D66" s="543"/>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43" t="str">
        <f>'Schedule 2G Adjustments'!B66:D66</f>
        <v/>
      </c>
      <c r="C67" s="543"/>
      <c r="D67" s="543"/>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43" t="str">
        <f>'Schedule 2G Adjustments'!B67:D67</f>
        <v/>
      </c>
      <c r="C68" s="543"/>
      <c r="D68" s="543"/>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43" t="str">
        <f>'Schedule 2G Adjustments'!B68:D68</f>
        <v/>
      </c>
      <c r="C69" s="543"/>
      <c r="D69" s="543"/>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43" t="str">
        <f>'Schedule 2G Adjustments'!B69:D69</f>
        <v/>
      </c>
      <c r="C70" s="543"/>
      <c r="D70" s="543"/>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43" t="str">
        <f>'Schedule 2G Adjustments'!B70:D70</f>
        <v/>
      </c>
      <c r="C71" s="543"/>
      <c r="D71" s="543"/>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43" t="str">
        <f>'Schedule 2G Adjustments'!B71:D71</f>
        <v/>
      </c>
      <c r="C72" s="543"/>
      <c r="D72" s="543"/>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43" t="str">
        <f>'Schedule 2G Adjustments'!B72:D72</f>
        <v/>
      </c>
      <c r="C73" s="543"/>
      <c r="D73" s="543"/>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819</v>
      </c>
      <c r="C9" s="1"/>
      <c r="F9" s="119" t="str">
        <f>'Schedule 2H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2H Adjustments'!B15:D15</f>
        <v/>
      </c>
      <c r="C16" s="543"/>
      <c r="D16" s="543"/>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43" t="str">
        <f>'Schedule 2H Adjustments'!B16:D16</f>
        <v/>
      </c>
      <c r="C17" s="543"/>
      <c r="D17" s="543"/>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43" t="str">
        <f>'Schedule 2H Adjustments'!B17:D17</f>
        <v/>
      </c>
      <c r="C18" s="543"/>
      <c r="D18" s="543"/>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43" t="str">
        <f>'Schedule 2H Adjustments'!B18:D18</f>
        <v/>
      </c>
      <c r="C19" s="543"/>
      <c r="D19" s="543"/>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43" t="str">
        <f>'Schedule 2H Adjustments'!B19:D19</f>
        <v/>
      </c>
      <c r="C20" s="543"/>
      <c r="D20" s="543"/>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43" t="str">
        <f>'Schedule 2H Adjustments'!B20:D20</f>
        <v/>
      </c>
      <c r="C21" s="543"/>
      <c r="D21" s="543"/>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43" t="str">
        <f>'Schedule 2H Adjustments'!B21:D21</f>
        <v/>
      </c>
      <c r="C22" s="543"/>
      <c r="D22" s="543"/>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43" t="str">
        <f>'Schedule 2H Adjustments'!B22:D22</f>
        <v/>
      </c>
      <c r="C23" s="543"/>
      <c r="D23" s="543"/>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43" t="str">
        <f>'Schedule 2H Adjustments'!B23:D23</f>
        <v/>
      </c>
      <c r="C24" s="543"/>
      <c r="D24" s="543"/>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43" t="str">
        <f>'Schedule 2H Adjustments'!B24:D24</f>
        <v/>
      </c>
      <c r="C25" s="543"/>
      <c r="D25" s="543"/>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43" t="str">
        <f>'Schedule 2H Adjustments'!B25:D25</f>
        <v/>
      </c>
      <c r="C26" s="543"/>
      <c r="D26" s="543"/>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43" t="str">
        <f>'Schedule 2H Adjustments'!B26:D26</f>
        <v/>
      </c>
      <c r="C27" s="543"/>
      <c r="D27" s="543"/>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43" t="str">
        <f>'Schedule 2H Adjustments'!B27:D27</f>
        <v/>
      </c>
      <c r="C28" s="543"/>
      <c r="D28" s="543"/>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43" t="str">
        <f>'Schedule 2H Adjustments'!B28:D28</f>
        <v/>
      </c>
      <c r="C29" s="543"/>
      <c r="D29" s="543"/>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43" t="str">
        <f>'Schedule 2H Adjustments'!B29:D29</f>
        <v/>
      </c>
      <c r="C30" s="543"/>
      <c r="D30" s="543"/>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43" t="str">
        <f>'Schedule 2H Adjustments'!B30:D30</f>
        <v/>
      </c>
      <c r="C31" s="543"/>
      <c r="D31" s="543"/>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43" t="str">
        <f>'Schedule 2H Adjustments'!B31:D31</f>
        <v/>
      </c>
      <c r="C32" s="543"/>
      <c r="D32" s="543"/>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43" t="str">
        <f>'Schedule 2H Adjustments'!B32:D32</f>
        <v/>
      </c>
      <c r="C33" s="543"/>
      <c r="D33" s="543"/>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43" t="str">
        <f>'Schedule 2H Adjustments'!B33:D33</f>
        <v/>
      </c>
      <c r="C34" s="543"/>
      <c r="D34" s="543"/>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43" t="str">
        <f>'Schedule 2H Adjustments'!B34:D34</f>
        <v/>
      </c>
      <c r="C35" s="543"/>
      <c r="D35" s="543"/>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43" t="str">
        <f>'Schedule 2H Adjustments'!B35:D35</f>
        <v/>
      </c>
      <c r="C36" s="543"/>
      <c r="D36" s="543"/>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43" t="str">
        <f>'Schedule 2H Adjustments'!B36:D36</f>
        <v/>
      </c>
      <c r="C37" s="543"/>
      <c r="D37" s="543"/>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43" t="str">
        <f>'Schedule 2H Adjustments'!B37:D37</f>
        <v/>
      </c>
      <c r="C38" s="543"/>
      <c r="D38" s="543"/>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43" t="str">
        <f>'Schedule 2H Adjustments'!B38:D38</f>
        <v/>
      </c>
      <c r="C39" s="543"/>
      <c r="D39" s="543"/>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43" t="str">
        <f>'Schedule 2H Adjustments'!B39:D39</f>
        <v/>
      </c>
      <c r="C40" s="543"/>
      <c r="D40" s="543"/>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43" t="str">
        <f>'Schedule 2H Adjustments'!B40:D40</f>
        <v/>
      </c>
      <c r="C41" s="543"/>
      <c r="D41" s="543"/>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43" t="str">
        <f>'Schedule 2H Adjustments'!B41:D41</f>
        <v/>
      </c>
      <c r="C42" s="543"/>
      <c r="D42" s="543"/>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43" t="str">
        <f>'Schedule 2H Adjustments'!B42:D42</f>
        <v/>
      </c>
      <c r="C43" s="543"/>
      <c r="D43" s="543"/>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43" t="str">
        <f>'Schedule 2H Adjustments'!B43:D43</f>
        <v/>
      </c>
      <c r="C44" s="543"/>
      <c r="D44" s="543"/>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43" t="str">
        <f>'Schedule 2H Adjustments'!B44:D44</f>
        <v/>
      </c>
      <c r="C45" s="543"/>
      <c r="D45" s="543"/>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43" t="str">
        <f>'Schedule 2H Adjustments'!B45:D45</f>
        <v/>
      </c>
      <c r="C46" s="543"/>
      <c r="D46" s="543"/>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43" t="str">
        <f>'Schedule 2H Adjustments'!B46:D46</f>
        <v/>
      </c>
      <c r="C47" s="543"/>
      <c r="D47" s="543"/>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43" t="str">
        <f>'Schedule 2H Adjustments'!B47:D47</f>
        <v/>
      </c>
      <c r="C48" s="543"/>
      <c r="D48" s="543"/>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43" t="str">
        <f>'Schedule 2H Adjustments'!B48:D48</f>
        <v/>
      </c>
      <c r="C49" s="543"/>
      <c r="D49" s="543"/>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43" t="str">
        <f>'Schedule 2H Adjustments'!B49:D49</f>
        <v/>
      </c>
      <c r="C50" s="543"/>
      <c r="D50" s="543"/>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43" t="str">
        <f>'Schedule 2H Adjustments'!B50:D50</f>
        <v/>
      </c>
      <c r="C51" s="543"/>
      <c r="D51" s="543"/>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43" t="str">
        <f>'Schedule 2H Adjustments'!B51:D51</f>
        <v/>
      </c>
      <c r="C52" s="543"/>
      <c r="D52" s="543"/>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43" t="str">
        <f>'Schedule 2H Adjustments'!B52:D52</f>
        <v/>
      </c>
      <c r="C53" s="543"/>
      <c r="D53" s="543"/>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43" t="str">
        <f>'Schedule 2H Adjustments'!B53:D53</f>
        <v/>
      </c>
      <c r="C54" s="543"/>
      <c r="D54" s="543"/>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43" t="str">
        <f>'Schedule 2H Adjustments'!B54:D54</f>
        <v/>
      </c>
      <c r="C55" s="543"/>
      <c r="D55" s="543"/>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43" t="str">
        <f>'Schedule 2H Adjustments'!B55:D55</f>
        <v/>
      </c>
      <c r="C56" s="543"/>
      <c r="D56" s="543"/>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43" t="str">
        <f>'Schedule 2H Adjustments'!B56:D56</f>
        <v/>
      </c>
      <c r="C57" s="543"/>
      <c r="D57" s="543"/>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43" t="str">
        <f>'Schedule 2H Adjustments'!B57:D57</f>
        <v/>
      </c>
      <c r="C58" s="543"/>
      <c r="D58" s="543"/>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43" t="str">
        <f>'Schedule 2H Adjustments'!B58:D58</f>
        <v/>
      </c>
      <c r="C59" s="543"/>
      <c r="D59" s="543"/>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43" t="str">
        <f>'Schedule 2H Adjustments'!B59:D59</f>
        <v/>
      </c>
      <c r="C60" s="543"/>
      <c r="D60" s="543"/>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43" t="str">
        <f>'Schedule 2H Adjustments'!B60:D60</f>
        <v/>
      </c>
      <c r="C61" s="543"/>
      <c r="D61" s="543"/>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43" t="str">
        <f>'Schedule 2H Adjustments'!B61:D61</f>
        <v/>
      </c>
      <c r="C62" s="543"/>
      <c r="D62" s="543"/>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43" t="str">
        <f>'Schedule 2H Adjustments'!B62:D62</f>
        <v/>
      </c>
      <c r="C63" s="543"/>
      <c r="D63" s="543"/>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43" t="str">
        <f>'Schedule 2H Adjustments'!B63:D63</f>
        <v/>
      </c>
      <c r="C64" s="543"/>
      <c r="D64" s="543"/>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43" t="str">
        <f>'Schedule 2H Adjustments'!B64:D64</f>
        <v/>
      </c>
      <c r="C65" s="543"/>
      <c r="D65" s="543"/>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43" t="str">
        <f>'Schedule 2H Adjustments'!B65:D65</f>
        <v/>
      </c>
      <c r="C66" s="543"/>
      <c r="D66" s="543"/>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43" t="str">
        <f>'Schedule 2H Adjustments'!B66:D66</f>
        <v/>
      </c>
      <c r="C67" s="543"/>
      <c r="D67" s="543"/>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43" t="str">
        <f>'Schedule 2H Adjustments'!B67:D67</f>
        <v/>
      </c>
      <c r="C68" s="543"/>
      <c r="D68" s="543"/>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43" t="str">
        <f>'Schedule 2H Adjustments'!B68:D68</f>
        <v/>
      </c>
      <c r="C69" s="543"/>
      <c r="D69" s="543"/>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43" t="str">
        <f>'Schedule 2H Adjustments'!B69:D69</f>
        <v/>
      </c>
      <c r="C70" s="543"/>
      <c r="D70" s="543"/>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43" t="str">
        <f>'Schedule 2H Adjustments'!B70:D70</f>
        <v/>
      </c>
      <c r="C71" s="543"/>
      <c r="D71" s="543"/>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43" t="str">
        <f>'Schedule 2H Adjustments'!B71:D71</f>
        <v/>
      </c>
      <c r="C72" s="543"/>
      <c r="D72" s="543"/>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43" t="str">
        <f>'Schedule 2H Adjustments'!B72:D72</f>
        <v/>
      </c>
      <c r="C73" s="543"/>
      <c r="D73" s="543"/>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822</v>
      </c>
      <c r="C9" s="1"/>
      <c r="F9" s="119" t="str">
        <f>'Schedule 2I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2I Adjustments'!B15:D15</f>
        <v/>
      </c>
      <c r="C16" s="543"/>
      <c r="D16" s="543"/>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43" t="str">
        <f>'Schedule 2I Adjustments'!B16:D16</f>
        <v/>
      </c>
      <c r="C17" s="543"/>
      <c r="D17" s="543"/>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43" t="str">
        <f>'Schedule 2I Adjustments'!B17:D17</f>
        <v/>
      </c>
      <c r="C18" s="543"/>
      <c r="D18" s="543"/>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43" t="str">
        <f>'Schedule 2I Adjustments'!B18:D18</f>
        <v/>
      </c>
      <c r="C19" s="543"/>
      <c r="D19" s="543"/>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43" t="str">
        <f>'Schedule 2I Adjustments'!B19:D19</f>
        <v/>
      </c>
      <c r="C20" s="543"/>
      <c r="D20" s="543"/>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43" t="str">
        <f>'Schedule 2I Adjustments'!B20:D20</f>
        <v/>
      </c>
      <c r="C21" s="543"/>
      <c r="D21" s="543"/>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43" t="str">
        <f>'Schedule 2I Adjustments'!B21:D21</f>
        <v/>
      </c>
      <c r="C22" s="543"/>
      <c r="D22" s="543"/>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43" t="str">
        <f>'Schedule 2I Adjustments'!B22:D22</f>
        <v/>
      </c>
      <c r="C23" s="543"/>
      <c r="D23" s="543"/>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43" t="str">
        <f>'Schedule 2I Adjustments'!B23:D23</f>
        <v/>
      </c>
      <c r="C24" s="543"/>
      <c r="D24" s="543"/>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43" t="str">
        <f>'Schedule 2I Adjustments'!B24:D24</f>
        <v/>
      </c>
      <c r="C25" s="543"/>
      <c r="D25" s="543"/>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43" t="str">
        <f>'Schedule 2I Adjustments'!B25:D25</f>
        <v/>
      </c>
      <c r="C26" s="543"/>
      <c r="D26" s="543"/>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43" t="str">
        <f>'Schedule 2I Adjustments'!B26:D26</f>
        <v/>
      </c>
      <c r="C27" s="543"/>
      <c r="D27" s="543"/>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43" t="str">
        <f>'Schedule 2I Adjustments'!B27:D27</f>
        <v/>
      </c>
      <c r="C28" s="543"/>
      <c r="D28" s="543"/>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43" t="str">
        <f>'Schedule 2I Adjustments'!B28:D28</f>
        <v/>
      </c>
      <c r="C29" s="543"/>
      <c r="D29" s="543"/>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43" t="str">
        <f>'Schedule 2I Adjustments'!B29:D29</f>
        <v/>
      </c>
      <c r="C30" s="543"/>
      <c r="D30" s="543"/>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43" t="str">
        <f>'Schedule 2I Adjustments'!B30:D30</f>
        <v/>
      </c>
      <c r="C31" s="543"/>
      <c r="D31" s="543"/>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43" t="str">
        <f>'Schedule 2I Adjustments'!B31:D31</f>
        <v/>
      </c>
      <c r="C32" s="543"/>
      <c r="D32" s="543"/>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43" t="str">
        <f>'Schedule 2I Adjustments'!B32:D32</f>
        <v/>
      </c>
      <c r="C33" s="543"/>
      <c r="D33" s="543"/>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43" t="str">
        <f>'Schedule 2I Adjustments'!B33:D33</f>
        <v/>
      </c>
      <c r="C34" s="543"/>
      <c r="D34" s="543"/>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43" t="str">
        <f>'Schedule 2I Adjustments'!B34:D34</f>
        <v/>
      </c>
      <c r="C35" s="543"/>
      <c r="D35" s="543"/>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43" t="str">
        <f>'Schedule 2I Adjustments'!B35:D35</f>
        <v/>
      </c>
      <c r="C36" s="543"/>
      <c r="D36" s="543"/>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43" t="str">
        <f>'Schedule 2I Adjustments'!B36:D36</f>
        <v/>
      </c>
      <c r="C37" s="543"/>
      <c r="D37" s="543"/>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43" t="str">
        <f>'Schedule 2I Adjustments'!B37:D37</f>
        <v/>
      </c>
      <c r="C38" s="543"/>
      <c r="D38" s="543"/>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43" t="str">
        <f>'Schedule 2I Adjustments'!B38:D38</f>
        <v/>
      </c>
      <c r="C39" s="543"/>
      <c r="D39" s="543"/>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43" t="str">
        <f>'Schedule 2I Adjustments'!B39:D39</f>
        <v/>
      </c>
      <c r="C40" s="543"/>
      <c r="D40" s="543"/>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43" t="str">
        <f>'Schedule 2I Adjustments'!B40:D40</f>
        <v/>
      </c>
      <c r="C41" s="543"/>
      <c r="D41" s="543"/>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43" t="str">
        <f>'Schedule 2I Adjustments'!B41:D41</f>
        <v/>
      </c>
      <c r="C42" s="543"/>
      <c r="D42" s="543"/>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43" t="str">
        <f>'Schedule 2I Adjustments'!B42:D42</f>
        <v/>
      </c>
      <c r="C43" s="543"/>
      <c r="D43" s="543"/>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43" t="str">
        <f>'Schedule 2I Adjustments'!B43:D43</f>
        <v/>
      </c>
      <c r="C44" s="543"/>
      <c r="D44" s="543"/>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43" t="str">
        <f>'Schedule 2I Adjustments'!B44:D44</f>
        <v/>
      </c>
      <c r="C45" s="543"/>
      <c r="D45" s="543"/>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43" t="str">
        <f>'Schedule 2I Adjustments'!B45:D45</f>
        <v/>
      </c>
      <c r="C46" s="543"/>
      <c r="D46" s="543"/>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43" t="str">
        <f>'Schedule 2I Adjustments'!B46:D46</f>
        <v/>
      </c>
      <c r="C47" s="543"/>
      <c r="D47" s="543"/>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43" t="str">
        <f>'Schedule 2I Adjustments'!B47:D47</f>
        <v/>
      </c>
      <c r="C48" s="543"/>
      <c r="D48" s="543"/>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43" t="str">
        <f>'Schedule 2I Adjustments'!B48:D48</f>
        <v/>
      </c>
      <c r="C49" s="543"/>
      <c r="D49" s="543"/>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43" t="str">
        <f>'Schedule 2I Adjustments'!B49:D49</f>
        <v/>
      </c>
      <c r="C50" s="543"/>
      <c r="D50" s="543"/>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43" t="str">
        <f>'Schedule 2I Adjustments'!B50:D50</f>
        <v/>
      </c>
      <c r="C51" s="543"/>
      <c r="D51" s="543"/>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43" t="str">
        <f>'Schedule 2I Adjustments'!B51:D51</f>
        <v/>
      </c>
      <c r="C52" s="543"/>
      <c r="D52" s="543"/>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43" t="str">
        <f>'Schedule 2I Adjustments'!B52:D52</f>
        <v/>
      </c>
      <c r="C53" s="543"/>
      <c r="D53" s="543"/>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43" t="str">
        <f>'Schedule 2I Adjustments'!B53:D53</f>
        <v/>
      </c>
      <c r="C54" s="543"/>
      <c r="D54" s="543"/>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43" t="str">
        <f>'Schedule 2I Adjustments'!B54:D54</f>
        <v/>
      </c>
      <c r="C55" s="543"/>
      <c r="D55" s="543"/>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43" t="str">
        <f>'Schedule 2I Adjustments'!B55:D55</f>
        <v/>
      </c>
      <c r="C56" s="543"/>
      <c r="D56" s="543"/>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43" t="str">
        <f>'Schedule 2I Adjustments'!B56:D56</f>
        <v/>
      </c>
      <c r="C57" s="543"/>
      <c r="D57" s="543"/>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43" t="str">
        <f>'Schedule 2I Adjustments'!B57:D57</f>
        <v/>
      </c>
      <c r="C58" s="543"/>
      <c r="D58" s="543"/>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43" t="str">
        <f>'Schedule 2I Adjustments'!B58:D58</f>
        <v/>
      </c>
      <c r="C59" s="543"/>
      <c r="D59" s="543"/>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43" t="str">
        <f>'Schedule 2I Adjustments'!B59:D59</f>
        <v/>
      </c>
      <c r="C60" s="543"/>
      <c r="D60" s="543"/>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43" t="str">
        <f>'Schedule 2I Adjustments'!B60:D60</f>
        <v/>
      </c>
      <c r="C61" s="543"/>
      <c r="D61" s="543"/>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43" t="str">
        <f>'Schedule 2I Adjustments'!B61:D61</f>
        <v/>
      </c>
      <c r="C62" s="543"/>
      <c r="D62" s="543"/>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43" t="str">
        <f>'Schedule 2I Adjustments'!B62:D62</f>
        <v/>
      </c>
      <c r="C63" s="543"/>
      <c r="D63" s="543"/>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43" t="str">
        <f>'Schedule 2I Adjustments'!B63:D63</f>
        <v/>
      </c>
      <c r="C64" s="543"/>
      <c r="D64" s="543"/>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43" t="str">
        <f>'Schedule 2I Adjustments'!B64:D64</f>
        <v/>
      </c>
      <c r="C65" s="543"/>
      <c r="D65" s="543"/>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43" t="str">
        <f>'Schedule 2I Adjustments'!B65:D65</f>
        <v/>
      </c>
      <c r="C66" s="543"/>
      <c r="D66" s="543"/>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43" t="str">
        <f>'Schedule 2I Adjustments'!B66:D66</f>
        <v/>
      </c>
      <c r="C67" s="543"/>
      <c r="D67" s="543"/>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43" t="str">
        <f>'Schedule 2I Adjustments'!B67:D67</f>
        <v/>
      </c>
      <c r="C68" s="543"/>
      <c r="D68" s="543"/>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43" t="str">
        <f>'Schedule 2I Adjustments'!B68:D68</f>
        <v/>
      </c>
      <c r="C69" s="543"/>
      <c r="D69" s="543"/>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43" t="str">
        <f>'Schedule 2I Adjustments'!B69:D69</f>
        <v/>
      </c>
      <c r="C70" s="543"/>
      <c r="D70" s="543"/>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43" t="str">
        <f>'Schedule 2I Adjustments'!B70:D70</f>
        <v/>
      </c>
      <c r="C71" s="543"/>
      <c r="D71" s="543"/>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43" t="str">
        <f>'Schedule 2I Adjustments'!B71:D71</f>
        <v/>
      </c>
      <c r="C72" s="543"/>
      <c r="D72" s="543"/>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43" t="str">
        <f>'Schedule 2I Adjustments'!B72:D72</f>
        <v/>
      </c>
      <c r="C73" s="543"/>
      <c r="D73" s="543"/>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825</v>
      </c>
      <c r="C9" s="1"/>
      <c r="F9" s="119" t="str">
        <f>'Schedule 2J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2J Adjustments'!B15:D15</f>
        <v/>
      </c>
      <c r="C16" s="543"/>
      <c r="D16" s="543"/>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43" t="str">
        <f>'Schedule 2J Adjustments'!B16:D16</f>
        <v/>
      </c>
      <c r="C17" s="543"/>
      <c r="D17" s="543"/>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43" t="str">
        <f>'Schedule 2J Adjustments'!B17:D17</f>
        <v/>
      </c>
      <c r="C18" s="543"/>
      <c r="D18" s="543"/>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43" t="str">
        <f>'Schedule 2J Adjustments'!B18:D18</f>
        <v/>
      </c>
      <c r="C19" s="543"/>
      <c r="D19" s="543"/>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43" t="str">
        <f>'Schedule 2J Adjustments'!B19:D19</f>
        <v/>
      </c>
      <c r="C20" s="543"/>
      <c r="D20" s="543"/>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43" t="str">
        <f>'Schedule 2J Adjustments'!B20:D20</f>
        <v/>
      </c>
      <c r="C21" s="543"/>
      <c r="D21" s="543"/>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43" t="str">
        <f>'Schedule 2J Adjustments'!B21:D21</f>
        <v/>
      </c>
      <c r="C22" s="543"/>
      <c r="D22" s="543"/>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43" t="str">
        <f>'Schedule 2J Adjustments'!B22:D22</f>
        <v/>
      </c>
      <c r="C23" s="543"/>
      <c r="D23" s="543"/>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43" t="str">
        <f>'Schedule 2J Adjustments'!B23:D23</f>
        <v/>
      </c>
      <c r="C24" s="543"/>
      <c r="D24" s="543"/>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43" t="str">
        <f>'Schedule 2J Adjustments'!B24:D24</f>
        <v/>
      </c>
      <c r="C25" s="543"/>
      <c r="D25" s="543"/>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43" t="str">
        <f>'Schedule 2J Adjustments'!B25:D25</f>
        <v/>
      </c>
      <c r="C26" s="543"/>
      <c r="D26" s="543"/>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43" t="str">
        <f>'Schedule 2J Adjustments'!B26:D26</f>
        <v/>
      </c>
      <c r="C27" s="543"/>
      <c r="D27" s="543"/>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43" t="str">
        <f>'Schedule 2J Adjustments'!B27:D27</f>
        <v/>
      </c>
      <c r="C28" s="543"/>
      <c r="D28" s="543"/>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43" t="str">
        <f>'Schedule 2J Adjustments'!B28:D28</f>
        <v/>
      </c>
      <c r="C29" s="543"/>
      <c r="D29" s="543"/>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43" t="str">
        <f>'Schedule 2J Adjustments'!B29:D29</f>
        <v/>
      </c>
      <c r="C30" s="543"/>
      <c r="D30" s="543"/>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43" t="str">
        <f>'Schedule 2J Adjustments'!B30:D30</f>
        <v/>
      </c>
      <c r="C31" s="543"/>
      <c r="D31" s="543"/>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43" t="str">
        <f>'Schedule 2J Adjustments'!B31:D31</f>
        <v/>
      </c>
      <c r="C32" s="543"/>
      <c r="D32" s="543"/>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43" t="str">
        <f>'Schedule 2J Adjustments'!B32:D32</f>
        <v/>
      </c>
      <c r="C33" s="543"/>
      <c r="D33" s="543"/>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43" t="str">
        <f>'Schedule 2J Adjustments'!B33:D33</f>
        <v/>
      </c>
      <c r="C34" s="543"/>
      <c r="D34" s="543"/>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43" t="str">
        <f>'Schedule 2J Adjustments'!B34:D34</f>
        <v/>
      </c>
      <c r="C35" s="543"/>
      <c r="D35" s="543"/>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43" t="str">
        <f>'Schedule 2J Adjustments'!B35:D35</f>
        <v/>
      </c>
      <c r="C36" s="543"/>
      <c r="D36" s="543"/>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43" t="str">
        <f>'Schedule 2J Adjustments'!B36:D36</f>
        <v/>
      </c>
      <c r="C37" s="543"/>
      <c r="D37" s="543"/>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43" t="str">
        <f>'Schedule 2J Adjustments'!B37:D37</f>
        <v/>
      </c>
      <c r="C38" s="543"/>
      <c r="D38" s="543"/>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43" t="str">
        <f>'Schedule 2J Adjustments'!B38:D38</f>
        <v/>
      </c>
      <c r="C39" s="543"/>
      <c r="D39" s="543"/>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43" t="str">
        <f>'Schedule 2J Adjustments'!B39:D39</f>
        <v/>
      </c>
      <c r="C40" s="543"/>
      <c r="D40" s="543"/>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43" t="str">
        <f>'Schedule 2J Adjustments'!B40:D40</f>
        <v/>
      </c>
      <c r="C41" s="543"/>
      <c r="D41" s="543"/>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43" t="str">
        <f>'Schedule 2J Adjustments'!B41:D41</f>
        <v/>
      </c>
      <c r="C42" s="543"/>
      <c r="D42" s="543"/>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43" t="str">
        <f>'Schedule 2J Adjustments'!B42:D42</f>
        <v/>
      </c>
      <c r="C43" s="543"/>
      <c r="D43" s="543"/>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43" t="str">
        <f>'Schedule 2J Adjustments'!B43:D43</f>
        <v/>
      </c>
      <c r="C44" s="543"/>
      <c r="D44" s="543"/>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43" t="str">
        <f>'Schedule 2J Adjustments'!B44:D44</f>
        <v/>
      </c>
      <c r="C45" s="543"/>
      <c r="D45" s="543"/>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43" t="str">
        <f>'Schedule 2J Adjustments'!B45:D45</f>
        <v/>
      </c>
      <c r="C46" s="543"/>
      <c r="D46" s="543"/>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43" t="str">
        <f>'Schedule 2J Adjustments'!B46:D46</f>
        <v/>
      </c>
      <c r="C47" s="543"/>
      <c r="D47" s="543"/>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43" t="str">
        <f>'Schedule 2J Adjustments'!B47:D47</f>
        <v/>
      </c>
      <c r="C48" s="543"/>
      <c r="D48" s="543"/>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43" t="str">
        <f>'Schedule 2J Adjustments'!B48:D48</f>
        <v/>
      </c>
      <c r="C49" s="543"/>
      <c r="D49" s="543"/>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43" t="str">
        <f>'Schedule 2J Adjustments'!B49:D49</f>
        <v/>
      </c>
      <c r="C50" s="543"/>
      <c r="D50" s="543"/>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43" t="str">
        <f>'Schedule 2J Adjustments'!B50:D50</f>
        <v/>
      </c>
      <c r="C51" s="543"/>
      <c r="D51" s="543"/>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43" t="str">
        <f>'Schedule 2J Adjustments'!B51:D51</f>
        <v/>
      </c>
      <c r="C52" s="543"/>
      <c r="D52" s="543"/>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43" t="str">
        <f>'Schedule 2J Adjustments'!B52:D52</f>
        <v/>
      </c>
      <c r="C53" s="543"/>
      <c r="D53" s="543"/>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43" t="str">
        <f>'Schedule 2J Adjustments'!B53:D53</f>
        <v/>
      </c>
      <c r="C54" s="543"/>
      <c r="D54" s="543"/>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43" t="str">
        <f>'Schedule 2J Adjustments'!B54:D54</f>
        <v/>
      </c>
      <c r="C55" s="543"/>
      <c r="D55" s="543"/>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43" t="str">
        <f>'Schedule 2J Adjustments'!B55:D55</f>
        <v/>
      </c>
      <c r="C56" s="543"/>
      <c r="D56" s="543"/>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43" t="str">
        <f>'Schedule 2J Adjustments'!B56:D56</f>
        <v/>
      </c>
      <c r="C57" s="543"/>
      <c r="D57" s="543"/>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43" t="str">
        <f>'Schedule 2J Adjustments'!B57:D57</f>
        <v/>
      </c>
      <c r="C58" s="543"/>
      <c r="D58" s="543"/>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43" t="str">
        <f>'Schedule 2J Adjustments'!B58:D58</f>
        <v/>
      </c>
      <c r="C59" s="543"/>
      <c r="D59" s="543"/>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43" t="str">
        <f>'Schedule 2J Adjustments'!B59:D59</f>
        <v/>
      </c>
      <c r="C60" s="543"/>
      <c r="D60" s="543"/>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43" t="str">
        <f>'Schedule 2J Adjustments'!B60:D60</f>
        <v/>
      </c>
      <c r="C61" s="543"/>
      <c r="D61" s="543"/>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43" t="str">
        <f>'Schedule 2J Adjustments'!B61:D61</f>
        <v/>
      </c>
      <c r="C62" s="543"/>
      <c r="D62" s="543"/>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43" t="str">
        <f>'Schedule 2J Adjustments'!B62:D62</f>
        <v/>
      </c>
      <c r="C63" s="543"/>
      <c r="D63" s="543"/>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43" t="str">
        <f>'Schedule 2J Adjustments'!B63:D63</f>
        <v/>
      </c>
      <c r="C64" s="543"/>
      <c r="D64" s="543"/>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43" t="str">
        <f>'Schedule 2J Adjustments'!B64:D64</f>
        <v/>
      </c>
      <c r="C65" s="543"/>
      <c r="D65" s="543"/>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43" t="str">
        <f>'Schedule 2J Adjustments'!B65:D65</f>
        <v/>
      </c>
      <c r="C66" s="543"/>
      <c r="D66" s="543"/>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43" t="str">
        <f>'Schedule 2J Adjustments'!B66:D66</f>
        <v/>
      </c>
      <c r="C67" s="543"/>
      <c r="D67" s="543"/>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43" t="str">
        <f>'Schedule 2J Adjustments'!B67:D67</f>
        <v/>
      </c>
      <c r="C68" s="543"/>
      <c r="D68" s="543"/>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43" t="str">
        <f>'Schedule 2J Adjustments'!B68:D68</f>
        <v/>
      </c>
      <c r="C69" s="543"/>
      <c r="D69" s="543"/>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43" t="str">
        <f>'Schedule 2J Adjustments'!B69:D69</f>
        <v/>
      </c>
      <c r="C70" s="543"/>
      <c r="D70" s="543"/>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43" t="str">
        <f>'Schedule 2J Adjustments'!B70:D70</f>
        <v/>
      </c>
      <c r="C71" s="543"/>
      <c r="D71" s="543"/>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43" t="str">
        <f>'Schedule 2J Adjustments'!B71:D71</f>
        <v/>
      </c>
      <c r="C72" s="543"/>
      <c r="D72" s="543"/>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43" t="str">
        <f>'Schedule 2J Adjustments'!B72:D72</f>
        <v/>
      </c>
      <c r="C73" s="543"/>
      <c r="D73" s="543"/>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828</v>
      </c>
      <c r="C9" s="1"/>
      <c r="F9" s="119" t="str">
        <f>'Schedule 2K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2K Adjustments'!B15:D15</f>
        <v/>
      </c>
      <c r="C16" s="543"/>
      <c r="D16" s="543"/>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43" t="str">
        <f>'Schedule 2K Adjustments'!B16:D16</f>
        <v/>
      </c>
      <c r="C17" s="543"/>
      <c r="D17" s="543"/>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43" t="str">
        <f>'Schedule 2K Adjustments'!B17:D17</f>
        <v/>
      </c>
      <c r="C18" s="543"/>
      <c r="D18" s="543"/>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43" t="str">
        <f>'Schedule 2K Adjustments'!B18:D18</f>
        <v/>
      </c>
      <c r="C19" s="543"/>
      <c r="D19" s="543"/>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43" t="str">
        <f>'Schedule 2K Adjustments'!B19:D19</f>
        <v/>
      </c>
      <c r="C20" s="543"/>
      <c r="D20" s="543"/>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43" t="str">
        <f>'Schedule 2K Adjustments'!B20:D20</f>
        <v/>
      </c>
      <c r="C21" s="543"/>
      <c r="D21" s="543"/>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43" t="str">
        <f>'Schedule 2K Adjustments'!B21:D21</f>
        <v/>
      </c>
      <c r="C22" s="543"/>
      <c r="D22" s="543"/>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43" t="str">
        <f>'Schedule 2K Adjustments'!B22:D22</f>
        <v/>
      </c>
      <c r="C23" s="543"/>
      <c r="D23" s="543"/>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43" t="str">
        <f>'Schedule 2K Adjustments'!B23:D23</f>
        <v/>
      </c>
      <c r="C24" s="543"/>
      <c r="D24" s="543"/>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43" t="str">
        <f>'Schedule 2K Adjustments'!B24:D24</f>
        <v/>
      </c>
      <c r="C25" s="543"/>
      <c r="D25" s="543"/>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43" t="str">
        <f>'Schedule 2K Adjustments'!B25:D25</f>
        <v/>
      </c>
      <c r="C26" s="543"/>
      <c r="D26" s="543"/>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43" t="str">
        <f>'Schedule 2K Adjustments'!B26:D26</f>
        <v/>
      </c>
      <c r="C27" s="543"/>
      <c r="D27" s="543"/>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43" t="str">
        <f>'Schedule 2K Adjustments'!B27:D27</f>
        <v/>
      </c>
      <c r="C28" s="543"/>
      <c r="D28" s="543"/>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43" t="str">
        <f>'Schedule 2K Adjustments'!B28:D28</f>
        <v/>
      </c>
      <c r="C29" s="543"/>
      <c r="D29" s="543"/>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43" t="str">
        <f>'Schedule 2K Adjustments'!B29:D29</f>
        <v/>
      </c>
      <c r="C30" s="543"/>
      <c r="D30" s="543"/>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43" t="str">
        <f>'Schedule 2K Adjustments'!B30:D30</f>
        <v/>
      </c>
      <c r="C31" s="543"/>
      <c r="D31" s="543"/>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43" t="str">
        <f>'Schedule 2K Adjustments'!B31:D31</f>
        <v/>
      </c>
      <c r="C32" s="543"/>
      <c r="D32" s="543"/>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43" t="str">
        <f>'Schedule 2K Adjustments'!B32:D32</f>
        <v/>
      </c>
      <c r="C33" s="543"/>
      <c r="D33" s="543"/>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43" t="str">
        <f>'Schedule 2K Adjustments'!B33:D33</f>
        <v/>
      </c>
      <c r="C34" s="543"/>
      <c r="D34" s="543"/>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43" t="str">
        <f>'Schedule 2K Adjustments'!B34:D34</f>
        <v/>
      </c>
      <c r="C35" s="543"/>
      <c r="D35" s="543"/>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43" t="str">
        <f>'Schedule 2K Adjustments'!B35:D35</f>
        <v/>
      </c>
      <c r="C36" s="543"/>
      <c r="D36" s="543"/>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43" t="str">
        <f>'Schedule 2K Adjustments'!B36:D36</f>
        <v/>
      </c>
      <c r="C37" s="543"/>
      <c r="D37" s="543"/>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43" t="str">
        <f>'Schedule 2K Adjustments'!B37:D37</f>
        <v/>
      </c>
      <c r="C38" s="543"/>
      <c r="D38" s="543"/>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43" t="str">
        <f>'Schedule 2K Adjustments'!B38:D38</f>
        <v/>
      </c>
      <c r="C39" s="543"/>
      <c r="D39" s="543"/>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43" t="str">
        <f>'Schedule 2K Adjustments'!B39:D39</f>
        <v/>
      </c>
      <c r="C40" s="543"/>
      <c r="D40" s="543"/>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43" t="str">
        <f>'Schedule 2K Adjustments'!B40:D40</f>
        <v/>
      </c>
      <c r="C41" s="543"/>
      <c r="D41" s="543"/>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43" t="str">
        <f>'Schedule 2K Adjustments'!B41:D41</f>
        <v/>
      </c>
      <c r="C42" s="543"/>
      <c r="D42" s="543"/>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43" t="str">
        <f>'Schedule 2K Adjustments'!B42:D42</f>
        <v/>
      </c>
      <c r="C43" s="543"/>
      <c r="D43" s="543"/>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43" t="str">
        <f>'Schedule 2K Adjustments'!B43:D43</f>
        <v/>
      </c>
      <c r="C44" s="543"/>
      <c r="D44" s="543"/>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43" t="str">
        <f>'Schedule 2K Adjustments'!B44:D44</f>
        <v/>
      </c>
      <c r="C45" s="543"/>
      <c r="D45" s="543"/>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43" t="str">
        <f>'Schedule 2K Adjustments'!B45:D45</f>
        <v/>
      </c>
      <c r="C46" s="543"/>
      <c r="D46" s="543"/>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43" t="str">
        <f>'Schedule 2K Adjustments'!B46:D46</f>
        <v/>
      </c>
      <c r="C47" s="543"/>
      <c r="D47" s="543"/>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43" t="str">
        <f>'Schedule 2K Adjustments'!B47:D47</f>
        <v/>
      </c>
      <c r="C48" s="543"/>
      <c r="D48" s="543"/>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43" t="str">
        <f>'Schedule 2K Adjustments'!B48:D48</f>
        <v/>
      </c>
      <c r="C49" s="543"/>
      <c r="D49" s="543"/>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43" t="str">
        <f>'Schedule 2K Adjustments'!B49:D49</f>
        <v/>
      </c>
      <c r="C50" s="543"/>
      <c r="D50" s="543"/>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43" t="str">
        <f>'Schedule 2K Adjustments'!B50:D50</f>
        <v/>
      </c>
      <c r="C51" s="543"/>
      <c r="D51" s="543"/>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43" t="str">
        <f>'Schedule 2K Adjustments'!B51:D51</f>
        <v/>
      </c>
      <c r="C52" s="543"/>
      <c r="D52" s="543"/>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43" t="str">
        <f>'Schedule 2K Adjustments'!B52:D52</f>
        <v/>
      </c>
      <c r="C53" s="543"/>
      <c r="D53" s="543"/>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43" t="str">
        <f>'Schedule 2K Adjustments'!B53:D53</f>
        <v/>
      </c>
      <c r="C54" s="543"/>
      <c r="D54" s="543"/>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43" t="str">
        <f>'Schedule 2K Adjustments'!B54:D54</f>
        <v/>
      </c>
      <c r="C55" s="543"/>
      <c r="D55" s="543"/>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43" t="str">
        <f>'Schedule 2K Adjustments'!B55:D55</f>
        <v/>
      </c>
      <c r="C56" s="543"/>
      <c r="D56" s="543"/>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43" t="str">
        <f>'Schedule 2K Adjustments'!B56:D56</f>
        <v/>
      </c>
      <c r="C57" s="543"/>
      <c r="D57" s="543"/>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43" t="str">
        <f>'Schedule 2K Adjustments'!B57:D57</f>
        <v/>
      </c>
      <c r="C58" s="543"/>
      <c r="D58" s="543"/>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43" t="str">
        <f>'Schedule 2K Adjustments'!B58:D58</f>
        <v/>
      </c>
      <c r="C59" s="543"/>
      <c r="D59" s="543"/>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43" t="str">
        <f>'Schedule 2K Adjustments'!B59:D59</f>
        <v/>
      </c>
      <c r="C60" s="543"/>
      <c r="D60" s="543"/>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43" t="str">
        <f>'Schedule 2K Adjustments'!B60:D60</f>
        <v/>
      </c>
      <c r="C61" s="543"/>
      <c r="D61" s="543"/>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43" t="str">
        <f>'Schedule 2K Adjustments'!B61:D61</f>
        <v/>
      </c>
      <c r="C62" s="543"/>
      <c r="D62" s="543"/>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43" t="str">
        <f>'Schedule 2K Adjustments'!B62:D62</f>
        <v/>
      </c>
      <c r="C63" s="543"/>
      <c r="D63" s="543"/>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43" t="str">
        <f>'Schedule 2K Adjustments'!B63:D63</f>
        <v/>
      </c>
      <c r="C64" s="543"/>
      <c r="D64" s="543"/>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43" t="str">
        <f>'Schedule 2K Adjustments'!B64:D64</f>
        <v/>
      </c>
      <c r="C65" s="543"/>
      <c r="D65" s="543"/>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43" t="str">
        <f>'Schedule 2K Adjustments'!B65:D65</f>
        <v/>
      </c>
      <c r="C66" s="543"/>
      <c r="D66" s="543"/>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43" t="str">
        <f>'Schedule 2K Adjustments'!B66:D66</f>
        <v/>
      </c>
      <c r="C67" s="543"/>
      <c r="D67" s="543"/>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43" t="str">
        <f>'Schedule 2K Adjustments'!B67:D67</f>
        <v/>
      </c>
      <c r="C68" s="543"/>
      <c r="D68" s="543"/>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43" t="str">
        <f>'Schedule 2K Adjustments'!B68:D68</f>
        <v/>
      </c>
      <c r="C69" s="543"/>
      <c r="D69" s="543"/>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43" t="str">
        <f>'Schedule 2K Adjustments'!B69:D69</f>
        <v/>
      </c>
      <c r="C70" s="543"/>
      <c r="D70" s="543"/>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43" t="str">
        <f>'Schedule 2K Adjustments'!B70:D70</f>
        <v/>
      </c>
      <c r="C71" s="543"/>
      <c r="D71" s="543"/>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43" t="str">
        <f>'Schedule 2K Adjustments'!B71:D71</f>
        <v/>
      </c>
      <c r="C72" s="543"/>
      <c r="D72" s="543"/>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43" t="str">
        <f>'Schedule 2K Adjustments'!B72:D72</f>
        <v/>
      </c>
      <c r="C73" s="543"/>
      <c r="D73" s="543"/>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855</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831</v>
      </c>
      <c r="C9" s="1"/>
      <c r="F9" s="119" t="str">
        <f>'Schedule 2L Adjustments'!F8</f>
        <v>Yes/No</v>
      </c>
      <c r="G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2L Adjustments'!B15:D15</f>
        <v/>
      </c>
      <c r="C16" s="543"/>
      <c r="D16" s="543"/>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43" t="str">
        <f>'Schedule 2L Adjustments'!B16:D16</f>
        <v/>
      </c>
      <c r="C17" s="543"/>
      <c r="D17" s="543"/>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43" t="str">
        <f>'Schedule 2L Adjustments'!B17:D17</f>
        <v/>
      </c>
      <c r="C18" s="543"/>
      <c r="D18" s="543"/>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43" t="str">
        <f>'Schedule 2L Adjustments'!B18:D18</f>
        <v/>
      </c>
      <c r="C19" s="543"/>
      <c r="D19" s="543"/>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43" t="str">
        <f>'Schedule 2L Adjustments'!B19:D19</f>
        <v/>
      </c>
      <c r="C20" s="543"/>
      <c r="D20" s="543"/>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43" t="str">
        <f>'Schedule 2L Adjustments'!B20:D20</f>
        <v/>
      </c>
      <c r="C21" s="543"/>
      <c r="D21" s="543"/>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43" t="str">
        <f>'Schedule 2L Adjustments'!B21:D21</f>
        <v/>
      </c>
      <c r="C22" s="543"/>
      <c r="D22" s="543"/>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43" t="str">
        <f>'Schedule 2L Adjustments'!B22:D22</f>
        <v/>
      </c>
      <c r="C23" s="543"/>
      <c r="D23" s="543"/>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43" t="str">
        <f>'Schedule 2L Adjustments'!B23:D23</f>
        <v/>
      </c>
      <c r="C24" s="543"/>
      <c r="D24" s="543"/>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43" t="str">
        <f>'Schedule 2L Adjustments'!B24:D24</f>
        <v/>
      </c>
      <c r="C25" s="543"/>
      <c r="D25" s="543"/>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43" t="str">
        <f>'Schedule 2L Adjustments'!B25:D25</f>
        <v/>
      </c>
      <c r="C26" s="543"/>
      <c r="D26" s="543"/>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43" t="str">
        <f>'Schedule 2L Adjustments'!B26:D26</f>
        <v/>
      </c>
      <c r="C27" s="543"/>
      <c r="D27" s="543"/>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43" t="str">
        <f>'Schedule 2L Adjustments'!B27:D27</f>
        <v/>
      </c>
      <c r="C28" s="543"/>
      <c r="D28" s="543"/>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43" t="str">
        <f>'Schedule 2L Adjustments'!B28:D28</f>
        <v/>
      </c>
      <c r="C29" s="543"/>
      <c r="D29" s="543"/>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43" t="str">
        <f>'Schedule 2L Adjustments'!B29:D29</f>
        <v/>
      </c>
      <c r="C30" s="543"/>
      <c r="D30" s="543"/>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43" t="str">
        <f>'Schedule 2L Adjustments'!B30:D30</f>
        <v/>
      </c>
      <c r="C31" s="543"/>
      <c r="D31" s="543"/>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43" t="str">
        <f>'Schedule 2L Adjustments'!B31:D31</f>
        <v/>
      </c>
      <c r="C32" s="543"/>
      <c r="D32" s="543"/>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43" t="str">
        <f>'Schedule 2L Adjustments'!B32:D32</f>
        <v/>
      </c>
      <c r="C33" s="543"/>
      <c r="D33" s="543"/>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43" t="str">
        <f>'Schedule 2L Adjustments'!B33:D33</f>
        <v/>
      </c>
      <c r="C34" s="543"/>
      <c r="D34" s="543"/>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43" t="str">
        <f>'Schedule 2L Adjustments'!B34:D34</f>
        <v/>
      </c>
      <c r="C35" s="543"/>
      <c r="D35" s="543"/>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43" t="str">
        <f>'Schedule 2L Adjustments'!B35:D35</f>
        <v/>
      </c>
      <c r="C36" s="543"/>
      <c r="D36" s="543"/>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43" t="str">
        <f>'Schedule 2L Adjustments'!B36:D36</f>
        <v/>
      </c>
      <c r="C37" s="543"/>
      <c r="D37" s="543"/>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43" t="str">
        <f>'Schedule 2L Adjustments'!B37:D37</f>
        <v/>
      </c>
      <c r="C38" s="543"/>
      <c r="D38" s="543"/>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43" t="str">
        <f>'Schedule 2L Adjustments'!B38:D38</f>
        <v/>
      </c>
      <c r="C39" s="543"/>
      <c r="D39" s="543"/>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43" t="str">
        <f>'Schedule 2L Adjustments'!B39:D39</f>
        <v/>
      </c>
      <c r="C40" s="543"/>
      <c r="D40" s="543"/>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43" t="str">
        <f>'Schedule 2L Adjustments'!B40:D40</f>
        <v/>
      </c>
      <c r="C41" s="543"/>
      <c r="D41" s="543"/>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43" t="str">
        <f>'Schedule 2L Adjustments'!B41:D41</f>
        <v/>
      </c>
      <c r="C42" s="543"/>
      <c r="D42" s="543"/>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43" t="str">
        <f>'Schedule 2L Adjustments'!B42:D42</f>
        <v/>
      </c>
      <c r="C43" s="543"/>
      <c r="D43" s="543"/>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43" t="str">
        <f>'Schedule 2L Adjustments'!B43:D43</f>
        <v/>
      </c>
      <c r="C44" s="543"/>
      <c r="D44" s="543"/>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43" t="str">
        <f>'Schedule 2L Adjustments'!B44:D44</f>
        <v/>
      </c>
      <c r="C45" s="543"/>
      <c r="D45" s="543"/>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43" t="str">
        <f>'Schedule 2L Adjustments'!B45:D45</f>
        <v/>
      </c>
      <c r="C46" s="543"/>
      <c r="D46" s="543"/>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43" t="str">
        <f>'Schedule 2L Adjustments'!B46:D46</f>
        <v/>
      </c>
      <c r="C47" s="543"/>
      <c r="D47" s="543"/>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43" t="str">
        <f>'Schedule 2L Adjustments'!B47:D47</f>
        <v/>
      </c>
      <c r="C48" s="543"/>
      <c r="D48" s="543"/>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43" t="str">
        <f>'Schedule 2L Adjustments'!B48:D48</f>
        <v/>
      </c>
      <c r="C49" s="543"/>
      <c r="D49" s="543"/>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43" t="str">
        <f>'Schedule 2L Adjustments'!B49:D49</f>
        <v/>
      </c>
      <c r="C50" s="543"/>
      <c r="D50" s="543"/>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43" t="str">
        <f>'Schedule 2L Adjustments'!B50:D50</f>
        <v/>
      </c>
      <c r="C51" s="543"/>
      <c r="D51" s="543"/>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43" t="str">
        <f>'Schedule 2L Adjustments'!B51:D51</f>
        <v/>
      </c>
      <c r="C52" s="543"/>
      <c r="D52" s="543"/>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43" t="str">
        <f>'Schedule 2L Adjustments'!B52:D52</f>
        <v/>
      </c>
      <c r="C53" s="543"/>
      <c r="D53" s="543"/>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43" t="str">
        <f>'Schedule 2L Adjustments'!B53:D53</f>
        <v/>
      </c>
      <c r="C54" s="543"/>
      <c r="D54" s="543"/>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43" t="str">
        <f>'Schedule 2L Adjustments'!B54:D54</f>
        <v/>
      </c>
      <c r="C55" s="543"/>
      <c r="D55" s="543"/>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43" t="str">
        <f>'Schedule 2L Adjustments'!B55:D55</f>
        <v/>
      </c>
      <c r="C56" s="543"/>
      <c r="D56" s="543"/>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43" t="str">
        <f>'Schedule 2L Adjustments'!B56:D56</f>
        <v/>
      </c>
      <c r="C57" s="543"/>
      <c r="D57" s="543"/>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43" t="str">
        <f>'Schedule 2L Adjustments'!B57:D57</f>
        <v/>
      </c>
      <c r="C58" s="543"/>
      <c r="D58" s="543"/>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43" t="str">
        <f>'Schedule 2L Adjustments'!B58:D58</f>
        <v/>
      </c>
      <c r="C59" s="543"/>
      <c r="D59" s="543"/>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43" t="str">
        <f>'Schedule 2L Adjustments'!B59:D59</f>
        <v/>
      </c>
      <c r="C60" s="543"/>
      <c r="D60" s="543"/>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43" t="str">
        <f>'Schedule 2L Adjustments'!B60:D60</f>
        <v/>
      </c>
      <c r="C61" s="543"/>
      <c r="D61" s="543"/>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43" t="str">
        <f>'Schedule 2L Adjustments'!B61:D61</f>
        <v/>
      </c>
      <c r="C62" s="543"/>
      <c r="D62" s="543"/>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43" t="str">
        <f>'Schedule 2L Adjustments'!B62:D62</f>
        <v/>
      </c>
      <c r="C63" s="543"/>
      <c r="D63" s="543"/>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43" t="str">
        <f>'Schedule 2L Adjustments'!B63:D63</f>
        <v/>
      </c>
      <c r="C64" s="543"/>
      <c r="D64" s="543"/>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43" t="str">
        <f>'Schedule 2L Adjustments'!B64:D64</f>
        <v/>
      </c>
      <c r="C65" s="543"/>
      <c r="D65" s="543"/>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43" t="str">
        <f>'Schedule 2L Adjustments'!B65:D65</f>
        <v/>
      </c>
      <c r="C66" s="543"/>
      <c r="D66" s="543"/>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43" t="str">
        <f>'Schedule 2L Adjustments'!B66:D66</f>
        <v/>
      </c>
      <c r="C67" s="543"/>
      <c r="D67" s="543"/>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43" t="str">
        <f>'Schedule 2L Adjustments'!B67:D67</f>
        <v/>
      </c>
      <c r="C68" s="543"/>
      <c r="D68" s="543"/>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43" t="str">
        <f>'Schedule 2L Adjustments'!B68:D68</f>
        <v/>
      </c>
      <c r="C69" s="543"/>
      <c r="D69" s="543"/>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43" t="str">
        <f>'Schedule 2L Adjustments'!B69:D69</f>
        <v/>
      </c>
      <c r="C70" s="543"/>
      <c r="D70" s="543"/>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43" t="str">
        <f>'Schedule 2L Adjustments'!B70:D70</f>
        <v/>
      </c>
      <c r="C71" s="543"/>
      <c r="D71" s="543"/>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43" t="str">
        <f>'Schedule 2L Adjustments'!B71:D71</f>
        <v/>
      </c>
      <c r="C72" s="543"/>
      <c r="D72" s="543"/>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43" t="str">
        <f>'Schedule 2L Adjustments'!B72:D72</f>
        <v/>
      </c>
      <c r="C73" s="543"/>
      <c r="D73" s="543"/>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856</v>
      </c>
      <c r="B3" s="5"/>
      <c r="C3" s="5"/>
      <c r="D3" s="5"/>
      <c r="E3" s="5"/>
      <c r="F3" s="5"/>
      <c r="G3" s="5"/>
      <c r="H3" s="5"/>
    </row>
    <row r="4" spans="1:15" ht="25"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Eagle Valley Behavioral Health</v>
      </c>
    </row>
    <row r="7" spans="1:15" x14ac:dyDescent="0.35">
      <c r="A7" s="1" t="s">
        <v>0</v>
      </c>
      <c r="C7" s="35">
        <f>Results!$C$7</f>
        <v>45473</v>
      </c>
      <c r="F7" s="35"/>
    </row>
    <row r="9" spans="1:15" x14ac:dyDescent="0.35">
      <c r="A9" s="1" t="s">
        <v>253</v>
      </c>
      <c r="B9" s="1" t="s">
        <v>835</v>
      </c>
      <c r="C9" s="1"/>
      <c r="J9" s="119" t="str">
        <f>'Schedule 2M Adjustments'!I8</f>
        <v>Yes/No</v>
      </c>
      <c r="K9" s="41" t="s">
        <v>259</v>
      </c>
    </row>
    <row r="11" spans="1:15" x14ac:dyDescent="0.35">
      <c r="A11" s="1" t="s">
        <v>254</v>
      </c>
      <c r="B11" s="1" t="s">
        <v>256</v>
      </c>
      <c r="C11" s="1"/>
    </row>
    <row r="12" spans="1:15" x14ac:dyDescent="0.35">
      <c r="B12" s="318" t="s">
        <v>598</v>
      </c>
    </row>
    <row r="13" spans="1:15" x14ac:dyDescent="0.35">
      <c r="B13" s="535">
        <v>1</v>
      </c>
      <c r="C13" s="535"/>
      <c r="D13" s="535"/>
      <c r="F13" s="23">
        <v>2</v>
      </c>
      <c r="G13" s="23">
        <v>3</v>
      </c>
      <c r="H13" s="23">
        <v>4</v>
      </c>
      <c r="J13" s="23">
        <v>5</v>
      </c>
      <c r="K13" s="23">
        <v>6</v>
      </c>
      <c r="L13" s="23">
        <v>7</v>
      </c>
      <c r="N13" s="23">
        <v>8</v>
      </c>
      <c r="O13" s="23">
        <v>9</v>
      </c>
    </row>
    <row r="14" spans="1:15" ht="15" customHeight="1" x14ac:dyDescent="0.35">
      <c r="B14" s="544" t="s">
        <v>612</v>
      </c>
      <c r="C14" s="545"/>
      <c r="D14" s="546"/>
      <c r="F14" s="538" t="s">
        <v>261</v>
      </c>
      <c r="G14" s="550"/>
      <c r="H14" s="539"/>
      <c r="J14" s="538" t="s">
        <v>262</v>
      </c>
      <c r="K14" s="550"/>
      <c r="L14" s="539"/>
      <c r="N14" s="551" t="s">
        <v>692</v>
      </c>
      <c r="O14" s="551" t="s">
        <v>693</v>
      </c>
    </row>
    <row r="15" spans="1:15" ht="55.5" customHeight="1" x14ac:dyDescent="0.35">
      <c r="B15" s="547"/>
      <c r="C15" s="548"/>
      <c r="D15" s="549"/>
      <c r="E15" s="48"/>
      <c r="F15" s="10" t="s">
        <v>689</v>
      </c>
      <c r="G15" s="151" t="s">
        <v>690</v>
      </c>
      <c r="H15" s="151" t="s">
        <v>691</v>
      </c>
      <c r="I15" s="100"/>
      <c r="J15" s="10" t="s">
        <v>689</v>
      </c>
      <c r="K15" s="151" t="s">
        <v>690</v>
      </c>
      <c r="L15" s="151" t="s">
        <v>691</v>
      </c>
      <c r="M15" s="48"/>
      <c r="N15" s="552"/>
      <c r="O15" s="552"/>
    </row>
    <row r="16" spans="1:15" x14ac:dyDescent="0.35">
      <c r="A16" s="24">
        <v>1</v>
      </c>
      <c r="B16" s="543" t="str">
        <f>'Schedule 2M Adjustments'!B15:D15</f>
        <v/>
      </c>
      <c r="C16" s="543"/>
      <c r="D16" s="543"/>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43" t="str">
        <f>'Schedule 2M Adjustments'!B16:D16</f>
        <v/>
      </c>
      <c r="C17" s="543"/>
      <c r="D17" s="543"/>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43" t="str">
        <f>'Schedule 2M Adjustments'!B17:D17</f>
        <v/>
      </c>
      <c r="C18" s="543"/>
      <c r="D18" s="543"/>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43" t="str">
        <f>'Schedule 2M Adjustments'!B18:D18</f>
        <v/>
      </c>
      <c r="C19" s="543"/>
      <c r="D19" s="543"/>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43" t="str">
        <f>'Schedule 2M Adjustments'!B19:D19</f>
        <v/>
      </c>
      <c r="C20" s="543"/>
      <c r="D20" s="543"/>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43" t="str">
        <f>'Schedule 2M Adjustments'!B20:D20</f>
        <v/>
      </c>
      <c r="C21" s="543"/>
      <c r="D21" s="543"/>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43" t="str">
        <f>'Schedule 2M Adjustments'!B21:D21</f>
        <v/>
      </c>
      <c r="C22" s="543"/>
      <c r="D22" s="543"/>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43" t="str">
        <f>'Schedule 2M Adjustments'!B22:D22</f>
        <v/>
      </c>
      <c r="C23" s="543"/>
      <c r="D23" s="543"/>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43" t="str">
        <f>'Schedule 2M Adjustments'!B23:D23</f>
        <v/>
      </c>
      <c r="C24" s="543"/>
      <c r="D24" s="543"/>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43" t="str">
        <f>'Schedule 2M Adjustments'!B24:D24</f>
        <v/>
      </c>
      <c r="C25" s="543"/>
      <c r="D25" s="543"/>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43" t="str">
        <f>'Schedule 2M Adjustments'!B25:D25</f>
        <v/>
      </c>
      <c r="C26" s="543"/>
      <c r="D26" s="543"/>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43" t="str">
        <f>'Schedule 2M Adjustments'!B26:D26</f>
        <v/>
      </c>
      <c r="C27" s="543"/>
      <c r="D27" s="543"/>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43" t="str">
        <f>'Schedule 2M Adjustments'!B27:D27</f>
        <v/>
      </c>
      <c r="C28" s="543"/>
      <c r="D28" s="543"/>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43" t="str">
        <f>'Schedule 2M Adjustments'!B28:D28</f>
        <v/>
      </c>
      <c r="C29" s="543"/>
      <c r="D29" s="543"/>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43" t="str">
        <f>'Schedule 2M Adjustments'!B29:D29</f>
        <v/>
      </c>
      <c r="C30" s="543"/>
      <c r="D30" s="543"/>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43" t="str">
        <f>'Schedule 2M Adjustments'!B30:D30</f>
        <v/>
      </c>
      <c r="C31" s="543"/>
      <c r="D31" s="543"/>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43" t="str">
        <f>'Schedule 2M Adjustments'!B31:D31</f>
        <v/>
      </c>
      <c r="C32" s="543"/>
      <c r="D32" s="543"/>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43" t="str">
        <f>'Schedule 2M Adjustments'!B32:D32</f>
        <v/>
      </c>
      <c r="C33" s="543"/>
      <c r="D33" s="543"/>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43" t="str">
        <f>'Schedule 2M Adjustments'!B33:D33</f>
        <v/>
      </c>
      <c r="C34" s="543"/>
      <c r="D34" s="543"/>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43" t="str">
        <f>'Schedule 2M Adjustments'!B34:D34</f>
        <v/>
      </c>
      <c r="C35" s="543"/>
      <c r="D35" s="543"/>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43" t="str">
        <f>'Schedule 2M Adjustments'!B35:D35</f>
        <v/>
      </c>
      <c r="C36" s="543"/>
      <c r="D36" s="543"/>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43" t="str">
        <f>'Schedule 2M Adjustments'!B36:D36</f>
        <v/>
      </c>
      <c r="C37" s="543"/>
      <c r="D37" s="543"/>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43" t="str">
        <f>'Schedule 2M Adjustments'!B37:D37</f>
        <v/>
      </c>
      <c r="C38" s="543"/>
      <c r="D38" s="543"/>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43" t="str">
        <f>'Schedule 2M Adjustments'!B38:D38</f>
        <v/>
      </c>
      <c r="C39" s="543"/>
      <c r="D39" s="543"/>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43" t="str">
        <f>'Schedule 2M Adjustments'!B39:D39</f>
        <v/>
      </c>
      <c r="C40" s="543"/>
      <c r="D40" s="543"/>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43" t="str">
        <f>'Schedule 2M Adjustments'!B40:D40</f>
        <v/>
      </c>
      <c r="C41" s="543"/>
      <c r="D41" s="543"/>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43" t="str">
        <f>'Schedule 2M Adjustments'!B41:D41</f>
        <v/>
      </c>
      <c r="C42" s="543"/>
      <c r="D42" s="543"/>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43" t="str">
        <f>'Schedule 2M Adjustments'!B42:D42</f>
        <v/>
      </c>
      <c r="C43" s="543"/>
      <c r="D43" s="543"/>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43" t="str">
        <f>'Schedule 2M Adjustments'!B43:D43</f>
        <v/>
      </c>
      <c r="C44" s="543"/>
      <c r="D44" s="543"/>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43" t="str">
        <f>'Schedule 2M Adjustments'!B44:D44</f>
        <v/>
      </c>
      <c r="C45" s="543"/>
      <c r="D45" s="543"/>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43" t="str">
        <f>'Schedule 2M Adjustments'!B45:D45</f>
        <v/>
      </c>
      <c r="C46" s="543"/>
      <c r="D46" s="543"/>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43" t="str">
        <f>'Schedule 2M Adjustments'!B46:D46</f>
        <v/>
      </c>
      <c r="C47" s="543"/>
      <c r="D47" s="543"/>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43" t="str">
        <f>'Schedule 2M Adjustments'!B47:D47</f>
        <v/>
      </c>
      <c r="C48" s="543"/>
      <c r="D48" s="543"/>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43" t="str">
        <f>'Schedule 2M Adjustments'!B48:D48</f>
        <v/>
      </c>
      <c r="C49" s="543"/>
      <c r="D49" s="543"/>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43" t="str">
        <f>'Schedule 2M Adjustments'!B49:D49</f>
        <v/>
      </c>
      <c r="C50" s="543"/>
      <c r="D50" s="543"/>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43" t="str">
        <f>'Schedule 2M Adjustments'!B50:D50</f>
        <v/>
      </c>
      <c r="C51" s="543"/>
      <c r="D51" s="543"/>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43" t="str">
        <f>'Schedule 2M Adjustments'!B51:D51</f>
        <v/>
      </c>
      <c r="C52" s="543"/>
      <c r="D52" s="543"/>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43" t="str">
        <f>'Schedule 2M Adjustments'!B52:D52</f>
        <v/>
      </c>
      <c r="C53" s="543"/>
      <c r="D53" s="543"/>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43" t="str">
        <f>'Schedule 2M Adjustments'!B53:D53</f>
        <v/>
      </c>
      <c r="C54" s="543"/>
      <c r="D54" s="543"/>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43" t="str">
        <f>'Schedule 2M Adjustments'!B54:D54</f>
        <v/>
      </c>
      <c r="C55" s="543"/>
      <c r="D55" s="543"/>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43" t="str">
        <f>'Schedule 2M Adjustments'!B55:D55</f>
        <v/>
      </c>
      <c r="C56" s="543"/>
      <c r="D56" s="543"/>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43" t="str">
        <f>'Schedule 2M Adjustments'!B56:D56</f>
        <v/>
      </c>
      <c r="C57" s="543"/>
      <c r="D57" s="543"/>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43" t="str">
        <f>'Schedule 2M Adjustments'!B57:D57</f>
        <v/>
      </c>
      <c r="C58" s="543"/>
      <c r="D58" s="543"/>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43" t="str">
        <f>'Schedule 2M Adjustments'!B58:D58</f>
        <v/>
      </c>
      <c r="C59" s="543"/>
      <c r="D59" s="543"/>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43" t="str">
        <f>'Schedule 2M Adjustments'!B59:D59</f>
        <v/>
      </c>
      <c r="C60" s="543"/>
      <c r="D60" s="543"/>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43" t="str">
        <f>'Schedule 2M Adjustments'!B60:D60</f>
        <v/>
      </c>
      <c r="C61" s="543"/>
      <c r="D61" s="543"/>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43" t="str">
        <f>'Schedule 2M Adjustments'!B61:D61</f>
        <v/>
      </c>
      <c r="C62" s="543"/>
      <c r="D62" s="543"/>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43" t="str">
        <f>'Schedule 2M Adjustments'!B62:D62</f>
        <v/>
      </c>
      <c r="C63" s="543"/>
      <c r="D63" s="543"/>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43" t="str">
        <f>'Schedule 2M Adjustments'!B63:D63</f>
        <v/>
      </c>
      <c r="C64" s="543"/>
      <c r="D64" s="543"/>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43" t="str">
        <f>'Schedule 2M Adjustments'!B64:D64</f>
        <v/>
      </c>
      <c r="C65" s="543"/>
      <c r="D65" s="543"/>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43" t="str">
        <f>'Schedule 2M Adjustments'!B65:D65</f>
        <v/>
      </c>
      <c r="C66" s="543"/>
      <c r="D66" s="543"/>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43" t="str">
        <f>'Schedule 2M Adjustments'!B66:D66</f>
        <v/>
      </c>
      <c r="C67" s="543"/>
      <c r="D67" s="543"/>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43" t="str">
        <f>'Schedule 2M Adjustments'!B67:D67</f>
        <v/>
      </c>
      <c r="C68" s="543"/>
      <c r="D68" s="543"/>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43" t="str">
        <f>'Schedule 2M Adjustments'!B68:D68</f>
        <v/>
      </c>
      <c r="C69" s="543"/>
      <c r="D69" s="543"/>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43" t="str">
        <f>'Schedule 2M Adjustments'!B69:D69</f>
        <v/>
      </c>
      <c r="C70" s="543"/>
      <c r="D70" s="543"/>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43" t="str">
        <f>'Schedule 2M Adjustments'!B70:D70</f>
        <v/>
      </c>
      <c r="C71" s="543"/>
      <c r="D71" s="543"/>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43" t="str">
        <f>'Schedule 2M Adjustments'!B71:D71</f>
        <v/>
      </c>
      <c r="C72" s="543"/>
      <c r="D72" s="543"/>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43" t="str">
        <f>'Schedule 2M Adjustments'!B72:D72</f>
        <v/>
      </c>
      <c r="C73" s="543"/>
      <c r="D73" s="543"/>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924</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Eagle Valley Behavioral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31" t="s">
        <v>480</v>
      </c>
      <c r="B10" s="531"/>
      <c r="C10" s="531"/>
      <c r="D10" s="531"/>
      <c r="E10" s="531"/>
      <c r="F10" s="531"/>
      <c r="G10" s="531"/>
      <c r="H10" s="531"/>
      <c r="I10" s="531"/>
      <c r="J10" s="531"/>
      <c r="K10" s="531"/>
      <c r="L10" s="100"/>
      <c r="T10" s="40"/>
      <c r="U10" s="40"/>
      <c r="V10" s="40"/>
    </row>
    <row r="11" spans="1:22" x14ac:dyDescent="0.35">
      <c r="A11" s="531"/>
      <c r="B11" s="531"/>
      <c r="C11" s="531"/>
      <c r="D11" s="531"/>
      <c r="E11" s="531"/>
      <c r="F11" s="531"/>
      <c r="G11" s="531"/>
      <c r="H11" s="531"/>
      <c r="I11" s="531"/>
      <c r="J11" s="531"/>
      <c r="K11" s="531"/>
      <c r="L11" s="100"/>
      <c r="T11" s="40"/>
      <c r="U11" s="40"/>
      <c r="V11" s="40"/>
    </row>
    <row r="12" spans="1:22" x14ac:dyDescent="0.35">
      <c r="A12" s="531"/>
      <c r="B12" s="531"/>
      <c r="C12" s="531"/>
      <c r="D12" s="531"/>
      <c r="E12" s="531"/>
      <c r="F12" s="531"/>
      <c r="G12" s="531"/>
      <c r="H12" s="531"/>
      <c r="I12" s="531"/>
      <c r="J12" s="531"/>
      <c r="K12" s="531"/>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26">
        <v>1</v>
      </c>
      <c r="C14" s="527"/>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56" t="s">
        <v>632</v>
      </c>
      <c r="C15" s="557"/>
      <c r="D15" s="560" t="s">
        <v>633</v>
      </c>
      <c r="E15" s="560" t="s">
        <v>634</v>
      </c>
      <c r="F15" s="560" t="s">
        <v>635</v>
      </c>
      <c r="G15" s="562" t="s">
        <v>758</v>
      </c>
      <c r="H15" s="562" t="s">
        <v>759</v>
      </c>
      <c r="I15" s="208"/>
      <c r="J15" s="208"/>
      <c r="K15" s="560" t="s">
        <v>697</v>
      </c>
      <c r="L15" s="560" t="s">
        <v>698</v>
      </c>
      <c r="M15" s="553" t="s">
        <v>168</v>
      </c>
      <c r="N15" s="553"/>
      <c r="O15" s="553" t="s">
        <v>34</v>
      </c>
      <c r="P15" s="553"/>
      <c r="Q15" s="553" t="s">
        <v>169</v>
      </c>
      <c r="R15" s="553"/>
    </row>
    <row r="16" spans="1:22" ht="60" customHeight="1" x14ac:dyDescent="0.35">
      <c r="A16" s="100"/>
      <c r="B16" s="558"/>
      <c r="C16" s="559"/>
      <c r="D16" s="561"/>
      <c r="E16" s="561"/>
      <c r="F16" s="561"/>
      <c r="G16" s="563"/>
      <c r="H16" s="563"/>
      <c r="I16" s="209" t="s">
        <v>454</v>
      </c>
      <c r="J16" s="209" t="s">
        <v>494</v>
      </c>
      <c r="K16" s="561"/>
      <c r="L16" s="561"/>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54" t="str">
        <f>'Schedule 3 Adjustments'!B17:C17</f>
        <v>Precourt Healing Center (PHC)</v>
      </c>
      <c r="C18" s="555"/>
      <c r="D18" s="365" t="str">
        <f>'Schedule 3 Adjustments'!D17</f>
        <v>Inpatient Hospital</v>
      </c>
      <c r="E18" s="365">
        <f>'Schedule 3 Adjustments'!E17</f>
        <v>0</v>
      </c>
      <c r="F18" s="370">
        <f>'Schedule 3 Adjustments'!F17</f>
        <v>28</v>
      </c>
      <c r="G18" s="373">
        <f>'Schedule 3 Adjustments'!G17</f>
        <v>45781</v>
      </c>
      <c r="H18" s="373">
        <f>'Schedule 3 Adjustments'!H17</f>
        <v>0</v>
      </c>
      <c r="I18" s="213">
        <f>IF(B18=0,"",IF(AND(G18=0,H18=0),365,IF(AND(G18&gt;0,H18=0),$C$7-G18+1,IF(AND(G18=0,H18&gt;0),H18-($C$7-365),H18-G18+1))))</f>
        <v>-307</v>
      </c>
      <c r="J18" s="98"/>
      <c r="K18" s="214">
        <f>SUM(K19:K21)</f>
        <v>0</v>
      </c>
      <c r="L18" s="215" t="str">
        <f>IF(K18&gt;0,K18/(F18*I18),"")</f>
        <v/>
      </c>
      <c r="M18" s="126">
        <f>'Schedule 3 Adjustments'!R17</f>
        <v>298666.89258698194</v>
      </c>
      <c r="N18" s="85" t="str">
        <f>IFERROR(M18/K18,"")</f>
        <v/>
      </c>
      <c r="O18" s="126">
        <f>'Schedule 3 Adjustments'!W17</f>
        <v>0</v>
      </c>
      <c r="P18" s="85" t="str">
        <f>IFERROR(O18/K18,"")</f>
        <v/>
      </c>
      <c r="Q18" s="86">
        <f>IF(M18=0,"",M18-O18)</f>
        <v>298666.89258698194</v>
      </c>
      <c r="R18" s="85" t="str">
        <f>IFERROR(Q18/K18,"")</f>
        <v/>
      </c>
    </row>
    <row r="19" spans="1:18" x14ac:dyDescent="0.35">
      <c r="A19" s="216" t="s">
        <v>447</v>
      </c>
      <c r="B19" s="217"/>
      <c r="C19" s="217"/>
      <c r="D19" s="217"/>
      <c r="E19" s="217"/>
      <c r="F19" s="218"/>
      <c r="G19" s="219"/>
      <c r="H19" s="219"/>
      <c r="I19" s="220"/>
      <c r="J19" s="369">
        <f>'Schedule 3 Adjustments'!J18</f>
        <v>0</v>
      </c>
      <c r="K19" s="221">
        <f>'Schedule 3 Adjustments'!M18</f>
        <v>0</v>
      </c>
      <c r="L19" s="222"/>
      <c r="M19" s="87"/>
      <c r="N19" s="87"/>
      <c r="O19" s="87"/>
      <c r="P19" s="87"/>
      <c r="Q19" s="87"/>
      <c r="R19" s="87"/>
    </row>
    <row r="20" spans="1:18" x14ac:dyDescent="0.35">
      <c r="A20" s="223" t="s">
        <v>448</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54">
        <f>'Schedule 3 Adjustments'!B22:C22</f>
        <v>0</v>
      </c>
      <c r="C23" s="555"/>
      <c r="D23" s="365">
        <f>'Schedule 3 Adjustments'!D22</f>
        <v>0</v>
      </c>
      <c r="E23" s="365">
        <f>'Schedule 3 Adjustments'!E22</f>
        <v>0</v>
      </c>
      <c r="F23" s="370">
        <f>'Schedule 3 Adjustments'!F22</f>
        <v>0</v>
      </c>
      <c r="G23" s="373">
        <f>'Schedule 3 Adjustments'!G22</f>
        <v>0</v>
      </c>
      <c r="H23" s="373">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69">
        <f>'Schedule 3 Adjustments'!J23</f>
        <v>0</v>
      </c>
      <c r="K24" s="221">
        <f>'Schedule 3 Adjustments'!M23</f>
        <v>0</v>
      </c>
      <c r="L24" s="89"/>
      <c r="M24" s="87"/>
      <c r="N24" s="87"/>
      <c r="O24" s="87"/>
      <c r="P24" s="87"/>
      <c r="Q24" s="87"/>
      <c r="R24" s="87"/>
    </row>
    <row r="25" spans="1:18" x14ac:dyDescent="0.35">
      <c r="A25" s="102" t="s">
        <v>448</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54">
        <f>'Schedule 3 Adjustments'!B27:C27</f>
        <v>0</v>
      </c>
      <c r="C28" s="555"/>
      <c r="D28" s="365">
        <f>'Schedule 3 Adjustments'!D27</f>
        <v>0</v>
      </c>
      <c r="E28" s="365">
        <f>'Schedule 3 Adjustments'!E27</f>
        <v>0</v>
      </c>
      <c r="F28" s="370">
        <f>'Schedule 3 Adjustments'!F27</f>
        <v>0</v>
      </c>
      <c r="G28" s="373">
        <f>'Schedule 3 Adjustments'!G27</f>
        <v>0</v>
      </c>
      <c r="H28" s="373">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9">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54">
        <f>'Schedule 3 Adjustments'!B32:C32</f>
        <v>0</v>
      </c>
      <c r="C33" s="555"/>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54">
        <f>'Schedule 3 Adjustments'!B37:C37</f>
        <v>0</v>
      </c>
      <c r="C38" s="555"/>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54">
        <f>'Schedule 3 Adjustments'!B42:C42</f>
        <v>0</v>
      </c>
      <c r="C43" s="555"/>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54">
        <f>'Schedule 3 Adjustments'!B47:C47</f>
        <v>0</v>
      </c>
      <c r="C48" s="555"/>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54">
        <f>'Schedule 3 Adjustments'!B52:C52</f>
        <v>0</v>
      </c>
      <c r="C53" s="555"/>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54">
        <f>'Schedule 3 Adjustments'!B57:C57</f>
        <v>0</v>
      </c>
      <c r="C58" s="555"/>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54">
        <f>'Schedule 3 Adjustments'!B62:C62</f>
        <v>0</v>
      </c>
      <c r="C63" s="555"/>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54">
        <f>'Schedule 3 Adjustments'!B67:C67</f>
        <v>0</v>
      </c>
      <c r="C68" s="555"/>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54">
        <f>'Schedule 3 Adjustments'!B72:C72</f>
        <v>0</v>
      </c>
      <c r="C73" s="555"/>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54">
        <f>'Schedule 3 Adjustments'!B77:C77</f>
        <v>0</v>
      </c>
      <c r="C78" s="555"/>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54">
        <f>'Schedule 3 Adjustments'!B82:C82</f>
        <v>0</v>
      </c>
      <c r="C83" s="555"/>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54">
        <f>'Schedule 3 Adjustments'!B87:C87</f>
        <v>0</v>
      </c>
      <c r="C88" s="555"/>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54">
        <f>'Schedule 3 Adjustments'!B92:C92</f>
        <v>0</v>
      </c>
      <c r="C93" s="555"/>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54">
        <f>'Schedule 3 Adjustments'!B97:C97</f>
        <v>0</v>
      </c>
      <c r="C98" s="555"/>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54">
        <f>'Schedule 3 Adjustments'!B102:C102</f>
        <v>0</v>
      </c>
      <c r="C103" s="555"/>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54">
        <f>'Schedule 3 Adjustments'!B107:C107</f>
        <v>0</v>
      </c>
      <c r="C108" s="555"/>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54">
        <f>'Schedule 3 Adjustments'!B112:C112</f>
        <v>0</v>
      </c>
      <c r="C113" s="555"/>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54">
        <f>'Schedule 3 Adjustments'!B117:C117</f>
        <v>0</v>
      </c>
      <c r="C118" s="555"/>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54">
        <f>'Schedule 3 Adjustments'!B122:C122</f>
        <v>0</v>
      </c>
      <c r="C123" s="555"/>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54">
        <f>'Schedule 3 Adjustments'!B127:C127</f>
        <v>0</v>
      </c>
      <c r="C128" s="555"/>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54">
        <f>'Schedule 3 Adjustments'!B132:C132</f>
        <v>0</v>
      </c>
      <c r="C133" s="555"/>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54">
        <f>'Schedule 3 Adjustments'!B137:C137</f>
        <v>0</v>
      </c>
      <c r="C138" s="555"/>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54">
        <f>'Schedule 3 Adjustments'!B142:C142</f>
        <v>0</v>
      </c>
      <c r="C143" s="555"/>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54">
        <f>'Schedule 3 Adjustments'!B147:C147</f>
        <v>0</v>
      </c>
      <c r="C148" s="555"/>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54">
        <f>'Schedule 3 Adjustments'!B152:C152</f>
        <v>0</v>
      </c>
      <c r="C153" s="555"/>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54">
        <f>'Schedule 3 Adjustments'!B157:C157</f>
        <v>0</v>
      </c>
      <c r="C158" s="555"/>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54">
        <f>'Schedule 3 Adjustments'!B162:C162</f>
        <v>0</v>
      </c>
      <c r="C163" s="555"/>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64" t="s">
        <v>173</v>
      </c>
      <c r="C168" s="564"/>
      <c r="D168" s="564"/>
      <c r="E168" s="564"/>
      <c r="F168" s="27">
        <f>F163+F158+F153+F148+F143+F138+F133+F128+F123+F118+F113+F108+F103+F98+F93+F88+F83+F78+F73+F68+F63+F58+F53+F48+F43+F38+F33+F28+F23+F18</f>
        <v>28</v>
      </c>
      <c r="G168" s="32"/>
      <c r="H168" s="32"/>
      <c r="I168" s="32"/>
      <c r="J168" s="32"/>
      <c r="K168" s="27">
        <f>K163+K158+K153+K148+K143+K138+K133+K128+K123+K118+K113+K108+K103+K98+K93+K88+K83+K78+K73+K68+K63+K58+K53+K48+K43+K38+K33+K28+K23+K18</f>
        <v>0</v>
      </c>
      <c r="L168" s="29" t="str">
        <f>IF(K168&gt;0,K168/(F168*365),"")</f>
        <v/>
      </c>
      <c r="M168" s="27">
        <f>M163+M158+M153+M148+M143+M138+M133+M128+M123+M118+M113+M108+M103+M98+M93+M88+M83+M78+M73+M68+M63+M58+M53+M48+M43+M38+M33+M28+M23+M18</f>
        <v>298666.89258698194</v>
      </c>
      <c r="N168" s="17" t="str">
        <f>IFERROR(M168/K168,"")</f>
        <v/>
      </c>
      <c r="O168" s="27">
        <f>O163+O158+O153+O148+O143+O138+O133+O128+O123+O118+O113+O108+O103+O98+O93+O88+O83+O78+O73+O68+O63+O58+O53+O48+O43+O38+O33+O28+O23+O18</f>
        <v>0</v>
      </c>
      <c r="P168" s="17" t="str">
        <f t="shared" ref="P168" si="0">IFERROR(O168/K168,"")</f>
        <v/>
      </c>
      <c r="Q168" s="30">
        <f t="shared" ref="Q168" si="1">IF(M168=0,"",M168-O168)</f>
        <v>298666.89258698194</v>
      </c>
      <c r="R168" s="17" t="str">
        <f t="shared" ref="R168" si="2">IFERROR(Q168/K168,"")</f>
        <v/>
      </c>
    </row>
    <row r="170" spans="1:18" x14ac:dyDescent="0.35">
      <c r="A170" s="19">
        <v>32</v>
      </c>
      <c r="L170" s="37" t="s">
        <v>199</v>
      </c>
      <c r="M170" s="39">
        <f>'Schedule 3 Adjustments'!R169</f>
        <v>214656.93402367301</v>
      </c>
    </row>
    <row r="171" spans="1:18" x14ac:dyDescent="0.35">
      <c r="A171" s="19">
        <v>33</v>
      </c>
      <c r="L171" s="37" t="s">
        <v>186</v>
      </c>
      <c r="M171" s="39">
        <f>'Schedule 3 Adjustments'!R170</f>
        <v>84009.958563308901</v>
      </c>
    </row>
    <row r="172" spans="1:18" x14ac:dyDescent="0.35">
      <c r="A172" s="19">
        <v>34</v>
      </c>
      <c r="L172" s="37" t="s">
        <v>200</v>
      </c>
      <c r="M172" s="18">
        <f>SUM(M170:M171)</f>
        <v>298666.89258698188</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928</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65"/>
      <c r="L5" s="565"/>
    </row>
    <row r="6" spans="1:12" ht="15" customHeight="1" x14ac:dyDescent="0.35">
      <c r="A6" s="1" t="s">
        <v>773</v>
      </c>
      <c r="C6" s="421" t="str">
        <f>Results!$C$6</f>
        <v>Eagle Valley Behavioral Health</v>
      </c>
      <c r="D6" s="55"/>
      <c r="E6" s="53"/>
      <c r="F6" s="53"/>
      <c r="G6" s="50"/>
      <c r="H6" s="50"/>
      <c r="K6" s="565"/>
      <c r="L6" s="565"/>
    </row>
    <row r="7" spans="1:12" x14ac:dyDescent="0.35">
      <c r="A7" s="1" t="s">
        <v>0</v>
      </c>
      <c r="C7" s="35">
        <f>Results!$C$7</f>
        <v>45473</v>
      </c>
      <c r="D7" s="35"/>
      <c r="E7" s="35"/>
      <c r="F7" s="35"/>
      <c r="K7" s="565"/>
      <c r="L7" s="565"/>
    </row>
    <row r="8" spans="1:12" x14ac:dyDescent="0.35">
      <c r="A8" s="1"/>
      <c r="C8" s="35"/>
      <c r="D8" s="23">
        <v>1</v>
      </c>
      <c r="E8" s="35"/>
      <c r="F8" s="23">
        <v>3</v>
      </c>
      <c r="H8" s="205"/>
      <c r="I8" s="175">
        <v>6</v>
      </c>
      <c r="J8" s="205"/>
      <c r="K8" s="175">
        <v>8</v>
      </c>
      <c r="L8" s="81"/>
    </row>
    <row r="9" spans="1:12" x14ac:dyDescent="0.35">
      <c r="A9" s="19">
        <v>1</v>
      </c>
      <c r="C9" s="46" t="s">
        <v>705</v>
      </c>
      <c r="D9" s="26">
        <f>'Adjusted Schedule 1'!F96</f>
        <v>20278294.945672415</v>
      </c>
      <c r="E9" s="46" t="s">
        <v>708</v>
      </c>
      <c r="F9" s="31">
        <f>F198</f>
        <v>45778.080000000002</v>
      </c>
      <c r="H9" s="427" t="s">
        <v>862</v>
      </c>
      <c r="I9" s="26">
        <f>'Adjusted Schedule 1'!F96</f>
        <v>20278294.945672415</v>
      </c>
      <c r="J9" s="427" t="s">
        <v>865</v>
      </c>
      <c r="K9" s="180">
        <f>'Schedule 4 Adjustments'!S8</f>
        <v>44955</v>
      </c>
      <c r="L9" s="25"/>
    </row>
    <row r="10" spans="1:12" x14ac:dyDescent="0.35">
      <c r="A10" s="19">
        <v>2</v>
      </c>
      <c r="C10" s="46" t="s">
        <v>706</v>
      </c>
      <c r="D10" s="117">
        <f>'Schedule 4 Adjustments'!F9</f>
        <v>0</v>
      </c>
      <c r="E10" s="46" t="s">
        <v>709</v>
      </c>
      <c r="F10" s="31">
        <f>J198</f>
        <v>82929.980000000025</v>
      </c>
      <c r="H10" s="427" t="s">
        <v>863</v>
      </c>
      <c r="I10" s="180">
        <f>'Schedule 4 Adjustments'!O9</f>
        <v>0</v>
      </c>
      <c r="J10" s="569"/>
      <c r="K10" s="569"/>
      <c r="L10" s="45"/>
    </row>
    <row r="11" spans="1:12" x14ac:dyDescent="0.35">
      <c r="A11" s="19">
        <v>3</v>
      </c>
      <c r="C11" s="42" t="s">
        <v>707</v>
      </c>
      <c r="D11" s="18">
        <f>D9-D10</f>
        <v>20278294.945672415</v>
      </c>
      <c r="E11" s="42" t="s">
        <v>710</v>
      </c>
      <c r="F11" s="9">
        <f>SUM(F9:F10)</f>
        <v>128708.06000000003</v>
      </c>
      <c r="H11" s="428" t="s">
        <v>864</v>
      </c>
      <c r="I11" s="185">
        <f>I9-I10</f>
        <v>20278294.945672415</v>
      </c>
      <c r="J11" s="569"/>
      <c r="K11" s="569"/>
      <c r="L11" s="45"/>
    </row>
    <row r="12" spans="1:12" x14ac:dyDescent="0.35">
      <c r="A12" s="1"/>
      <c r="H12" s="206"/>
      <c r="I12" s="206"/>
      <c r="J12" s="569"/>
      <c r="K12" s="570"/>
      <c r="L12" s="45"/>
    </row>
    <row r="13" spans="1:12" ht="18.5" x14ac:dyDescent="0.45">
      <c r="A13" s="19">
        <v>4</v>
      </c>
      <c r="E13" s="44" t="s">
        <v>711</v>
      </c>
      <c r="F13" s="43">
        <f>D11/F11</f>
        <v>157.5526423572262</v>
      </c>
      <c r="H13" s="206"/>
      <c r="I13" s="206"/>
      <c r="J13" s="429" t="s">
        <v>866</v>
      </c>
      <c r="K13" s="430">
        <f>I11/K9</f>
        <v>451.07985642692506</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66" t="s">
        <v>191</v>
      </c>
      <c r="E16" s="567"/>
      <c r="F16" s="567"/>
      <c r="G16" s="568"/>
      <c r="H16" s="566" t="s">
        <v>192</v>
      </c>
      <c r="I16" s="567"/>
      <c r="J16" s="567"/>
      <c r="K16" s="568"/>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332</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0</v>
      </c>
      <c r="E22" s="410">
        <v>0.44</v>
      </c>
      <c r="F22" s="47">
        <f t="shared" si="4"/>
        <v>0</v>
      </c>
      <c r="G22" s="21">
        <f t="shared" si="0"/>
        <v>69.323162637179536</v>
      </c>
      <c r="H22" s="150">
        <f>'Schedule 4 Adjustments'!N21</f>
        <v>1</v>
      </c>
      <c r="I22" s="410">
        <v>0.39</v>
      </c>
      <c r="J22" s="47">
        <f t="shared" si="3"/>
        <v>0.39</v>
      </c>
      <c r="K22" s="21">
        <f t="shared" si="2"/>
        <v>61.445530519318218</v>
      </c>
    </row>
    <row r="23" spans="1:11" s="22" customFormat="1" x14ac:dyDescent="0.35">
      <c r="A23" s="19">
        <v>10</v>
      </c>
      <c r="B23" s="19">
        <v>90791</v>
      </c>
      <c r="C23" s="20" t="s">
        <v>320</v>
      </c>
      <c r="D23" s="116">
        <f>'Schedule 4 Adjustments'!F22</f>
        <v>594</v>
      </c>
      <c r="E23" s="410">
        <v>5.17</v>
      </c>
      <c r="F23" s="47">
        <f t="shared" si="4"/>
        <v>3070.98</v>
      </c>
      <c r="G23" s="21">
        <f t="shared" si="0"/>
        <v>814.54716098685947</v>
      </c>
      <c r="H23" s="150">
        <f>'Schedule 4 Adjustments'!N22</f>
        <v>1151</v>
      </c>
      <c r="I23" s="410">
        <v>4.43</v>
      </c>
      <c r="J23" s="47">
        <f t="shared" si="3"/>
        <v>5098.9299999999994</v>
      </c>
      <c r="K23" s="21">
        <f t="shared" si="2"/>
        <v>697.9582056425121</v>
      </c>
    </row>
    <row r="24" spans="1:11" s="22" customFormat="1" x14ac:dyDescent="0.35">
      <c r="A24" s="19">
        <v>11</v>
      </c>
      <c r="B24" s="19">
        <v>90792</v>
      </c>
      <c r="C24" s="20" t="s">
        <v>321</v>
      </c>
      <c r="D24" s="116">
        <f>'Schedule 4 Adjustments'!F23</f>
        <v>0</v>
      </c>
      <c r="E24" s="410">
        <v>5.82</v>
      </c>
      <c r="F24" s="47">
        <f t="shared" si="4"/>
        <v>0</v>
      </c>
      <c r="G24" s="21">
        <f t="shared" si="0"/>
        <v>916.95637851905656</v>
      </c>
      <c r="H24" s="150">
        <f>'Schedule 4 Adjustments'!N23</f>
        <v>914</v>
      </c>
      <c r="I24" s="410">
        <v>5.08</v>
      </c>
      <c r="J24" s="47">
        <f t="shared" si="3"/>
        <v>4643.12</v>
      </c>
      <c r="K24" s="21">
        <f t="shared" si="2"/>
        <v>800.36742317470907</v>
      </c>
    </row>
    <row r="25" spans="1:11" s="22" customFormat="1" x14ac:dyDescent="0.35">
      <c r="A25" s="19">
        <v>12</v>
      </c>
      <c r="B25" s="19">
        <v>90832</v>
      </c>
      <c r="C25" s="20" t="s">
        <v>325</v>
      </c>
      <c r="D25" s="116">
        <f>'Schedule 4 Adjustments'!F24</f>
        <v>2112</v>
      </c>
      <c r="E25" s="410">
        <v>2.35</v>
      </c>
      <c r="F25" s="47">
        <f t="shared" si="4"/>
        <v>4963.2</v>
      </c>
      <c r="G25" s="21">
        <f t="shared" si="0"/>
        <v>370.24870953948158</v>
      </c>
      <c r="H25" s="150">
        <f>'Schedule 4 Adjustments'!N24</f>
        <v>496</v>
      </c>
      <c r="I25" s="410">
        <v>2.0499999999999998</v>
      </c>
      <c r="J25" s="47">
        <f t="shared" si="3"/>
        <v>1016.8</v>
      </c>
      <c r="K25" s="21">
        <f t="shared" si="2"/>
        <v>322.98291683231372</v>
      </c>
    </row>
    <row r="26" spans="1:11" s="22" customFormat="1" x14ac:dyDescent="0.35">
      <c r="A26" s="19">
        <v>13</v>
      </c>
      <c r="B26" s="19">
        <v>90833</v>
      </c>
      <c r="C26" s="20" t="s">
        <v>322</v>
      </c>
      <c r="D26" s="116">
        <f>'Schedule 4 Adjustments'!F25</f>
        <v>0</v>
      </c>
      <c r="E26" s="410">
        <v>2.16</v>
      </c>
      <c r="F26" s="47">
        <f t="shared" si="4"/>
        <v>0</v>
      </c>
      <c r="G26" s="21">
        <f t="shared" si="0"/>
        <v>340.31370749160862</v>
      </c>
      <c r="H26" s="150">
        <f>'Schedule 4 Adjustments'!N25</f>
        <v>1</v>
      </c>
      <c r="I26" s="410">
        <v>1.92</v>
      </c>
      <c r="J26" s="47">
        <f t="shared" si="3"/>
        <v>1.92</v>
      </c>
      <c r="K26" s="21">
        <f t="shared" si="2"/>
        <v>302.5010733258743</v>
      </c>
    </row>
    <row r="27" spans="1:11" s="22" customFormat="1" x14ac:dyDescent="0.35">
      <c r="A27" s="19">
        <v>14</v>
      </c>
      <c r="B27" s="19">
        <v>90834</v>
      </c>
      <c r="C27" s="20" t="s">
        <v>323</v>
      </c>
      <c r="D27" s="116">
        <f>'Schedule 4 Adjustments'!F26</f>
        <v>2735</v>
      </c>
      <c r="E27" s="410">
        <v>3.1</v>
      </c>
      <c r="F27" s="47">
        <f t="shared" si="4"/>
        <v>8478.5</v>
      </c>
      <c r="G27" s="21">
        <f t="shared" si="0"/>
        <v>488.41319130740123</v>
      </c>
      <c r="H27" s="150">
        <f>'Schedule 4 Adjustments'!N26</f>
        <v>418</v>
      </c>
      <c r="I27" s="410">
        <v>2.71</v>
      </c>
      <c r="J27" s="47">
        <f t="shared" si="3"/>
        <v>1132.78</v>
      </c>
      <c r="K27" s="21">
        <f t="shared" si="2"/>
        <v>426.96766078808304</v>
      </c>
    </row>
    <row r="28" spans="1:11" s="22" customFormat="1" x14ac:dyDescent="0.35">
      <c r="A28" s="19">
        <v>15</v>
      </c>
      <c r="B28" s="19">
        <v>90836</v>
      </c>
      <c r="C28" s="20" t="s">
        <v>326</v>
      </c>
      <c r="D28" s="116">
        <f>'Schedule 4 Adjustments'!F27</f>
        <v>0</v>
      </c>
      <c r="E28" s="410">
        <v>2.73</v>
      </c>
      <c r="F28" s="47">
        <f t="shared" si="4"/>
        <v>0</v>
      </c>
      <c r="G28" s="21">
        <f t="shared" si="0"/>
        <v>430.11871363522755</v>
      </c>
      <c r="H28" s="150">
        <f>'Schedule 4 Adjustments'!N27</f>
        <v>2</v>
      </c>
      <c r="I28" s="410">
        <v>2.4300000000000002</v>
      </c>
      <c r="J28" s="47">
        <f t="shared" si="3"/>
        <v>4.8600000000000003</v>
      </c>
      <c r="K28" s="21">
        <f t="shared" si="2"/>
        <v>382.85292092805969</v>
      </c>
    </row>
    <row r="29" spans="1:11" s="22" customFormat="1" x14ac:dyDescent="0.35">
      <c r="A29" s="19">
        <v>16</v>
      </c>
      <c r="B29" s="19">
        <v>90837</v>
      </c>
      <c r="C29" s="20" t="s">
        <v>324</v>
      </c>
      <c r="D29" s="116">
        <f>'Schedule 4 Adjustments'!F28</f>
        <v>1914</v>
      </c>
      <c r="E29" s="410">
        <v>4.57</v>
      </c>
      <c r="F29" s="47">
        <f t="shared" si="4"/>
        <v>8746.9800000000014</v>
      </c>
      <c r="G29" s="21">
        <f t="shared" si="0"/>
        <v>720.01557557252374</v>
      </c>
      <c r="H29" s="150">
        <f>'Schedule 4 Adjustments'!N28</f>
        <v>9733</v>
      </c>
      <c r="I29" s="410">
        <v>4</v>
      </c>
      <c r="J29" s="47">
        <f t="shared" si="3"/>
        <v>38932</v>
      </c>
      <c r="K29" s="21">
        <f t="shared" si="2"/>
        <v>630.21056942890482</v>
      </c>
    </row>
    <row r="30" spans="1:11" s="22" customFormat="1" x14ac:dyDescent="0.35">
      <c r="A30" s="19">
        <v>17</v>
      </c>
      <c r="B30" s="19">
        <v>90838</v>
      </c>
      <c r="C30" s="20" t="s">
        <v>327</v>
      </c>
      <c r="D30" s="116">
        <f>'Schedule 4 Adjustments'!F29</f>
        <v>0</v>
      </c>
      <c r="E30" s="410">
        <v>3.62</v>
      </c>
      <c r="F30" s="47">
        <f t="shared" si="4"/>
        <v>0</v>
      </c>
      <c r="G30" s="21">
        <f t="shared" si="0"/>
        <v>570.34056533315891</v>
      </c>
      <c r="H30" s="150">
        <f>'Schedule 4 Adjustments'!N29</f>
        <v>0</v>
      </c>
      <c r="I30" s="410">
        <v>3.22</v>
      </c>
      <c r="J30" s="47">
        <f t="shared" si="3"/>
        <v>0</v>
      </c>
      <c r="K30" s="21">
        <f t="shared" si="2"/>
        <v>507.31950839026842</v>
      </c>
    </row>
    <row r="31" spans="1:11" s="22" customFormat="1" x14ac:dyDescent="0.35">
      <c r="A31" s="19">
        <v>18</v>
      </c>
      <c r="B31" s="19">
        <v>90839</v>
      </c>
      <c r="C31" s="20" t="s">
        <v>329</v>
      </c>
      <c r="D31" s="116">
        <f>'Schedule 4 Adjustments'!F30</f>
        <v>462</v>
      </c>
      <c r="E31" s="410">
        <v>4.4000000000000004</v>
      </c>
      <c r="F31" s="47">
        <f t="shared" si="4"/>
        <v>2032.8000000000002</v>
      </c>
      <c r="G31" s="21">
        <f t="shared" si="0"/>
        <v>693.2316263717953</v>
      </c>
      <c r="H31" s="150">
        <f>'Schedule 4 Adjustments'!N30</f>
        <v>13</v>
      </c>
      <c r="I31" s="410">
        <v>3.87</v>
      </c>
      <c r="J31" s="47">
        <f t="shared" si="3"/>
        <v>50.31</v>
      </c>
      <c r="K31" s="21">
        <f t="shared" si="2"/>
        <v>609.7287259224654</v>
      </c>
    </row>
    <row r="32" spans="1:11" s="22" customFormat="1" x14ac:dyDescent="0.35">
      <c r="A32" s="19">
        <v>19</v>
      </c>
      <c r="B32" s="19">
        <v>90840</v>
      </c>
      <c r="C32" s="20" t="s">
        <v>328</v>
      </c>
      <c r="D32" s="116">
        <f>'Schedule 4 Adjustments'!F31</f>
        <v>0</v>
      </c>
      <c r="E32" s="410">
        <v>2.1800000000000002</v>
      </c>
      <c r="F32" s="47">
        <f t="shared" si="4"/>
        <v>0</v>
      </c>
      <c r="G32" s="21">
        <f t="shared" si="0"/>
        <v>343.46476033875314</v>
      </c>
      <c r="H32" s="150">
        <f>'Schedule 4 Adjustments'!N31</f>
        <v>9</v>
      </c>
      <c r="I32" s="410">
        <v>1.94</v>
      </c>
      <c r="J32" s="47">
        <f t="shared" si="3"/>
        <v>17.46</v>
      </c>
      <c r="K32" s="21">
        <f t="shared" si="2"/>
        <v>305.65212617301881</v>
      </c>
    </row>
    <row r="33" spans="1:11" s="22" customFormat="1" x14ac:dyDescent="0.35">
      <c r="A33" s="19">
        <v>20</v>
      </c>
      <c r="B33" s="19">
        <v>90846</v>
      </c>
      <c r="C33" s="20" t="s">
        <v>113</v>
      </c>
      <c r="D33" s="116">
        <f>'Schedule 4 Adjustments'!F32</f>
        <v>464</v>
      </c>
      <c r="E33" s="410">
        <v>2.93</v>
      </c>
      <c r="F33" s="47">
        <f t="shared" si="4"/>
        <v>1359.52</v>
      </c>
      <c r="G33" s="21">
        <f t="shared" si="0"/>
        <v>461.62924210667279</v>
      </c>
      <c r="H33" s="150">
        <f>'Schedule 4 Adjustments'!N32</f>
        <v>12</v>
      </c>
      <c r="I33" s="410">
        <v>2.92</v>
      </c>
      <c r="J33" s="47">
        <f t="shared" si="3"/>
        <v>35.04</v>
      </c>
      <c r="K33" s="21">
        <f t="shared" si="2"/>
        <v>460.05371568310051</v>
      </c>
    </row>
    <row r="34" spans="1:11" s="22" customFormat="1" x14ac:dyDescent="0.35">
      <c r="A34" s="19">
        <v>21</v>
      </c>
      <c r="B34" s="19">
        <v>90847</v>
      </c>
      <c r="C34" s="20" t="s">
        <v>114</v>
      </c>
      <c r="D34" s="116">
        <f>'Schedule 4 Adjustments'!F33</f>
        <v>65</v>
      </c>
      <c r="E34" s="410">
        <v>3.07</v>
      </c>
      <c r="F34" s="47">
        <f t="shared" si="4"/>
        <v>199.54999999999998</v>
      </c>
      <c r="G34" s="21">
        <f t="shared" si="0"/>
        <v>483.68661203668444</v>
      </c>
      <c r="H34" s="150">
        <f>'Schedule 4 Adjustments'!N33</f>
        <v>86</v>
      </c>
      <c r="I34" s="410">
        <v>3.05</v>
      </c>
      <c r="J34" s="47">
        <f t="shared" si="3"/>
        <v>262.3</v>
      </c>
      <c r="K34" s="21">
        <f t="shared" si="2"/>
        <v>480.53555918953992</v>
      </c>
    </row>
    <row r="35" spans="1:11" s="22" customFormat="1" x14ac:dyDescent="0.35">
      <c r="A35" s="19">
        <v>22</v>
      </c>
      <c r="B35" s="19">
        <v>90849</v>
      </c>
      <c r="C35" s="20" t="s">
        <v>115</v>
      </c>
      <c r="D35" s="116">
        <f>'Schedule 4 Adjustments'!F34</f>
        <v>0</v>
      </c>
      <c r="E35" s="410">
        <v>1.1299999999999999</v>
      </c>
      <c r="F35" s="47">
        <f t="shared" si="4"/>
        <v>0</v>
      </c>
      <c r="G35" s="21">
        <f t="shared" si="0"/>
        <v>178.03448586366559</v>
      </c>
      <c r="H35" s="150">
        <f>'Schedule 4 Adjustments'!N34</f>
        <v>0</v>
      </c>
      <c r="I35" s="410">
        <v>0.88</v>
      </c>
      <c r="J35" s="47">
        <f t="shared" si="3"/>
        <v>0</v>
      </c>
      <c r="K35" s="21">
        <f t="shared" si="2"/>
        <v>138.64632527435907</v>
      </c>
    </row>
    <row r="36" spans="1:11" s="22" customFormat="1" x14ac:dyDescent="0.35">
      <c r="A36" s="19">
        <v>23</v>
      </c>
      <c r="B36" s="19">
        <v>90853</v>
      </c>
      <c r="C36" s="20" t="s">
        <v>116</v>
      </c>
      <c r="D36" s="116">
        <f>'Schedule 4 Adjustments'!F35</f>
        <v>1566</v>
      </c>
      <c r="E36" s="410">
        <v>0.83</v>
      </c>
      <c r="F36" s="47">
        <f t="shared" si="4"/>
        <v>1299.78</v>
      </c>
      <c r="G36" s="21">
        <f t="shared" si="0"/>
        <v>130.76869315649773</v>
      </c>
      <c r="H36" s="150">
        <f>'Schedule 4 Adjustments'!N35</f>
        <v>14</v>
      </c>
      <c r="I36" s="410">
        <v>0.72</v>
      </c>
      <c r="J36" s="47">
        <f t="shared" si="3"/>
        <v>10.08</v>
      </c>
      <c r="K36" s="21">
        <f t="shared" si="2"/>
        <v>113.43790249720287</v>
      </c>
    </row>
    <row r="37" spans="1:11" s="22" customFormat="1" x14ac:dyDescent="0.35">
      <c r="A37" s="19">
        <v>24</v>
      </c>
      <c r="B37" s="19">
        <v>90870</v>
      </c>
      <c r="C37" s="20" t="s">
        <v>117</v>
      </c>
      <c r="D37" s="116">
        <f>'Schedule 4 Adjustments'!F36</f>
        <v>0</v>
      </c>
      <c r="E37" s="410">
        <v>5.18</v>
      </c>
      <c r="F37" s="47">
        <f t="shared" si="4"/>
        <v>0</v>
      </c>
      <c r="G37" s="21">
        <f t="shared" si="0"/>
        <v>816.12268741043169</v>
      </c>
      <c r="H37" s="150">
        <f>'Schedule 4 Adjustments'!N36</f>
        <v>0</v>
      </c>
      <c r="I37" s="410">
        <v>3.12</v>
      </c>
      <c r="J37" s="47">
        <f t="shared" si="3"/>
        <v>0</v>
      </c>
      <c r="K37" s="21">
        <f t="shared" si="2"/>
        <v>491.56424415454575</v>
      </c>
    </row>
    <row r="38" spans="1:11" s="22" customFormat="1" x14ac:dyDescent="0.35">
      <c r="A38" s="19">
        <v>25</v>
      </c>
      <c r="B38" s="19">
        <v>90875</v>
      </c>
      <c r="C38" s="20" t="s">
        <v>152</v>
      </c>
      <c r="D38" s="116">
        <f>'Schedule 4 Adjustments'!F37</f>
        <v>0</v>
      </c>
      <c r="E38" s="410">
        <v>1.75</v>
      </c>
      <c r="F38" s="47">
        <f t="shared" si="4"/>
        <v>0</v>
      </c>
      <c r="G38" s="21">
        <f t="shared" si="0"/>
        <v>275.71712412514586</v>
      </c>
      <c r="H38" s="150">
        <f>'Schedule 4 Adjustments'!N37</f>
        <v>0</v>
      </c>
      <c r="I38" s="410">
        <v>1.74</v>
      </c>
      <c r="J38" s="47">
        <f t="shared" si="3"/>
        <v>0</v>
      </c>
      <c r="K38" s="21">
        <f t="shared" si="2"/>
        <v>274.14159770157357</v>
      </c>
    </row>
    <row r="39" spans="1:11" s="22" customFormat="1" x14ac:dyDescent="0.35">
      <c r="A39" s="19">
        <v>26</v>
      </c>
      <c r="B39" s="19">
        <v>90876</v>
      </c>
      <c r="C39" s="20" t="s">
        <v>153</v>
      </c>
      <c r="D39" s="116">
        <f>'Schedule 4 Adjustments'!F38</f>
        <v>0</v>
      </c>
      <c r="E39" s="410">
        <v>3.08</v>
      </c>
      <c r="F39" s="47">
        <f t="shared" si="4"/>
        <v>0</v>
      </c>
      <c r="G39" s="21">
        <f t="shared" si="0"/>
        <v>485.26213846025672</v>
      </c>
      <c r="H39" s="150">
        <f>'Schedule 4 Adjustments'!N38</f>
        <v>0</v>
      </c>
      <c r="I39" s="410">
        <v>2.76</v>
      </c>
      <c r="J39" s="47">
        <f t="shared" si="3"/>
        <v>0</v>
      </c>
      <c r="K39" s="21">
        <f t="shared" si="2"/>
        <v>434.84529290594429</v>
      </c>
    </row>
    <row r="40" spans="1:11" s="22" customFormat="1" x14ac:dyDescent="0.35">
      <c r="A40" s="19">
        <v>27</v>
      </c>
      <c r="B40" s="19">
        <v>90887</v>
      </c>
      <c r="C40" s="20" t="s">
        <v>330</v>
      </c>
      <c r="D40" s="116">
        <f>'Schedule 4 Adjustments'!F39</f>
        <v>0</v>
      </c>
      <c r="E40" s="410">
        <v>2.56</v>
      </c>
      <c r="F40" s="47">
        <f t="shared" si="4"/>
        <v>0</v>
      </c>
      <c r="G40" s="21">
        <f t="shared" si="0"/>
        <v>403.33476443449911</v>
      </c>
      <c r="H40" s="150">
        <f>'Schedule 4 Adjustments'!N39</f>
        <v>0</v>
      </c>
      <c r="I40" s="410">
        <v>2.14</v>
      </c>
      <c r="J40" s="47">
        <f t="shared" si="3"/>
        <v>0</v>
      </c>
      <c r="K40" s="21">
        <f t="shared" si="2"/>
        <v>337.16265464446411</v>
      </c>
    </row>
    <row r="41" spans="1:11" s="22" customFormat="1" x14ac:dyDescent="0.35">
      <c r="A41" s="19">
        <v>28</v>
      </c>
      <c r="B41" s="19">
        <v>96116</v>
      </c>
      <c r="C41" s="20" t="s">
        <v>341</v>
      </c>
      <c r="D41" s="116">
        <f>'Schedule 4 Adjustments'!F40</f>
        <v>0</v>
      </c>
      <c r="E41" s="410">
        <v>2.76</v>
      </c>
      <c r="F41" s="47">
        <f t="shared" si="4"/>
        <v>0</v>
      </c>
      <c r="G41" s="21">
        <f t="shared" si="0"/>
        <v>434.84529290594429</v>
      </c>
      <c r="H41" s="150">
        <f>'Schedule 4 Adjustments'!N40</f>
        <v>0</v>
      </c>
      <c r="I41" s="410">
        <v>2.37</v>
      </c>
      <c r="J41" s="47">
        <f t="shared" si="3"/>
        <v>0</v>
      </c>
      <c r="K41" s="21">
        <f t="shared" si="2"/>
        <v>373.39976238662609</v>
      </c>
    </row>
    <row r="42" spans="1:11" s="22" customFormat="1" x14ac:dyDescent="0.35">
      <c r="A42" s="19">
        <v>29</v>
      </c>
      <c r="B42" s="19">
        <v>96121</v>
      </c>
      <c r="C42" s="20" t="s">
        <v>340</v>
      </c>
      <c r="D42" s="116">
        <f>'Schedule 4 Adjustments'!F41</f>
        <v>0</v>
      </c>
      <c r="E42" s="410">
        <v>2.25</v>
      </c>
      <c r="F42" s="47">
        <f t="shared" si="4"/>
        <v>0</v>
      </c>
      <c r="G42" s="21">
        <f t="shared" si="0"/>
        <v>354.49344530375896</v>
      </c>
      <c r="H42" s="150">
        <f>'Schedule 4 Adjustments'!N41</f>
        <v>0</v>
      </c>
      <c r="I42" s="410">
        <v>1.97</v>
      </c>
      <c r="J42" s="47">
        <f t="shared" si="3"/>
        <v>0</v>
      </c>
      <c r="K42" s="21">
        <f t="shared" si="2"/>
        <v>310.37870544373561</v>
      </c>
    </row>
    <row r="43" spans="1:11" s="22" customFormat="1" x14ac:dyDescent="0.35">
      <c r="A43" s="19">
        <v>30</v>
      </c>
      <c r="B43" s="19">
        <v>96130</v>
      </c>
      <c r="C43" s="20" t="s">
        <v>338</v>
      </c>
      <c r="D43" s="116">
        <f>'Schedule 4 Adjustments'!F42</f>
        <v>2</v>
      </c>
      <c r="E43" s="410">
        <v>3.6</v>
      </c>
      <c r="F43" s="47">
        <f t="shared" si="4"/>
        <v>7.2</v>
      </c>
      <c r="G43" s="21">
        <f t="shared" si="0"/>
        <v>567.18951248601434</v>
      </c>
      <c r="H43" s="150">
        <f>'Schedule 4 Adjustments'!N42</f>
        <v>0</v>
      </c>
      <c r="I43" s="410">
        <v>3.25</v>
      </c>
      <c r="J43" s="47">
        <f t="shared" si="3"/>
        <v>0</v>
      </c>
      <c r="K43" s="21">
        <f t="shared" si="2"/>
        <v>512.04608766098522</v>
      </c>
    </row>
    <row r="44" spans="1:11" s="22" customFormat="1" x14ac:dyDescent="0.35">
      <c r="A44" s="19">
        <v>31</v>
      </c>
      <c r="B44" s="19">
        <v>96131</v>
      </c>
      <c r="C44" s="20" t="s">
        <v>339</v>
      </c>
      <c r="D44" s="116">
        <f>'Schedule 4 Adjustments'!F43</f>
        <v>0</v>
      </c>
      <c r="E44" s="410">
        <v>2.57</v>
      </c>
      <c r="F44" s="47">
        <f t="shared" si="4"/>
        <v>0</v>
      </c>
      <c r="G44" s="21">
        <f t="shared" si="0"/>
        <v>404.91029085807133</v>
      </c>
      <c r="H44" s="150">
        <f>'Schedule 4 Adjustments'!N43</f>
        <v>0</v>
      </c>
      <c r="I44" s="410">
        <v>2.25</v>
      </c>
      <c r="J44" s="47">
        <f t="shared" si="3"/>
        <v>0</v>
      </c>
      <c r="K44" s="21">
        <f t="shared" si="2"/>
        <v>354.49344530375896</v>
      </c>
    </row>
    <row r="45" spans="1:11" s="22" customFormat="1" x14ac:dyDescent="0.35">
      <c r="A45" s="19">
        <v>32</v>
      </c>
      <c r="B45" s="19">
        <v>96132</v>
      </c>
      <c r="C45" s="20" t="s">
        <v>332</v>
      </c>
      <c r="D45" s="116">
        <f>'Schedule 4 Adjustments'!F44</f>
        <v>0</v>
      </c>
      <c r="E45" s="410">
        <v>3.85</v>
      </c>
      <c r="F45" s="47">
        <f t="shared" si="4"/>
        <v>0</v>
      </c>
      <c r="G45" s="21">
        <f t="shared" si="0"/>
        <v>606.57767307532094</v>
      </c>
      <c r="H45" s="150">
        <f>'Schedule 4 Adjustments'!N44</f>
        <v>0</v>
      </c>
      <c r="I45" s="410">
        <v>3.14</v>
      </c>
      <c r="J45" s="47">
        <f t="shared" si="3"/>
        <v>0</v>
      </c>
      <c r="K45" s="21">
        <f t="shared" si="2"/>
        <v>494.71529700169032</v>
      </c>
    </row>
    <row r="46" spans="1:11" s="22" customFormat="1" x14ac:dyDescent="0.35">
      <c r="A46" s="19">
        <v>33</v>
      </c>
      <c r="B46" s="19">
        <v>96133</v>
      </c>
      <c r="C46" s="20" t="s">
        <v>333</v>
      </c>
      <c r="D46" s="116">
        <f>'Schedule 4 Adjustments'!F45</f>
        <v>0</v>
      </c>
      <c r="E46" s="410">
        <v>2.92</v>
      </c>
      <c r="F46" s="47">
        <f t="shared" si="4"/>
        <v>0</v>
      </c>
      <c r="G46" s="21">
        <f t="shared" si="0"/>
        <v>460.05371568310051</v>
      </c>
      <c r="H46" s="150">
        <f>'Schedule 4 Adjustments'!N45</f>
        <v>0</v>
      </c>
      <c r="I46" s="410">
        <v>2.2599999999999998</v>
      </c>
      <c r="J46" s="47">
        <f t="shared" si="3"/>
        <v>0</v>
      </c>
      <c r="K46" s="21">
        <f t="shared" si="2"/>
        <v>356.06897172733119</v>
      </c>
    </row>
    <row r="47" spans="1:11" s="22" customFormat="1" x14ac:dyDescent="0.35">
      <c r="A47" s="19">
        <v>34</v>
      </c>
      <c r="B47" s="19">
        <v>96136</v>
      </c>
      <c r="C47" s="20" t="s">
        <v>334</v>
      </c>
      <c r="D47" s="116">
        <f>'Schedule 4 Adjustments'!F46</f>
        <v>0</v>
      </c>
      <c r="E47" s="410">
        <v>1.25</v>
      </c>
      <c r="F47" s="47">
        <f t="shared" si="4"/>
        <v>0</v>
      </c>
      <c r="G47" s="21">
        <f t="shared" si="0"/>
        <v>196.94080294653276</v>
      </c>
      <c r="H47" s="150">
        <f>'Schedule 4 Adjustments'!N46</f>
        <v>0</v>
      </c>
      <c r="I47" s="410">
        <v>0.69</v>
      </c>
      <c r="J47" s="47">
        <f t="shared" si="3"/>
        <v>0</v>
      </c>
      <c r="K47" s="21">
        <f t="shared" si="2"/>
        <v>108.71132322648607</v>
      </c>
    </row>
    <row r="48" spans="1:11" s="22" customFormat="1" x14ac:dyDescent="0.35">
      <c r="A48" s="19">
        <v>35</v>
      </c>
      <c r="B48" s="19">
        <v>96137</v>
      </c>
      <c r="C48" s="20" t="s">
        <v>335</v>
      </c>
      <c r="D48" s="116">
        <f>'Schedule 4 Adjustments'!F47</f>
        <v>0</v>
      </c>
      <c r="E48" s="410">
        <v>1.1299999999999999</v>
      </c>
      <c r="F48" s="47">
        <f t="shared" si="4"/>
        <v>0</v>
      </c>
      <c r="G48" s="21">
        <f t="shared" si="0"/>
        <v>178.03448586366559</v>
      </c>
      <c r="H48" s="150">
        <f>'Schedule 4 Adjustments'!N47</f>
        <v>0</v>
      </c>
      <c r="I48" s="410">
        <v>0.53</v>
      </c>
      <c r="J48" s="47">
        <f t="shared" si="3"/>
        <v>0</v>
      </c>
      <c r="K48" s="21">
        <f t="shared" si="2"/>
        <v>83.502900449329886</v>
      </c>
    </row>
    <row r="49" spans="1:11" s="22" customFormat="1" x14ac:dyDescent="0.35">
      <c r="A49" s="19">
        <v>36</v>
      </c>
      <c r="B49" s="19">
        <v>96138</v>
      </c>
      <c r="C49" s="20" t="s">
        <v>336</v>
      </c>
      <c r="D49" s="116">
        <f>'Schedule 4 Adjustments'!F48</f>
        <v>0</v>
      </c>
      <c r="E49" s="410">
        <v>1.03</v>
      </c>
      <c r="F49" s="47">
        <f t="shared" si="4"/>
        <v>0</v>
      </c>
      <c r="G49" s="21">
        <f t="shared" si="0"/>
        <v>162.279221627943</v>
      </c>
      <c r="H49" s="150">
        <f>'Schedule 4 Adjustments'!N48</f>
        <v>0</v>
      </c>
      <c r="I49" s="410">
        <v>0.56999999999999995</v>
      </c>
      <c r="J49" s="47">
        <f t="shared" si="3"/>
        <v>0</v>
      </c>
      <c r="K49" s="21">
        <f t="shared" si="2"/>
        <v>89.805006143618925</v>
      </c>
    </row>
    <row r="50" spans="1:11" s="22" customFormat="1" x14ac:dyDescent="0.35">
      <c r="A50" s="19">
        <v>37</v>
      </c>
      <c r="B50" s="19">
        <v>96139</v>
      </c>
      <c r="C50" s="20" t="s">
        <v>337</v>
      </c>
      <c r="D50" s="116">
        <f>'Schedule 4 Adjustments'!F49</f>
        <v>0</v>
      </c>
      <c r="E50" s="410">
        <v>1.06</v>
      </c>
      <c r="F50" s="47">
        <f t="shared" si="4"/>
        <v>0</v>
      </c>
      <c r="G50" s="21">
        <f t="shared" si="0"/>
        <v>167.00580089865977</v>
      </c>
      <c r="H50" s="150">
        <f>'Schedule 4 Adjustments'!N49</f>
        <v>0</v>
      </c>
      <c r="I50" s="410">
        <v>0.5</v>
      </c>
      <c r="J50" s="47">
        <f t="shared" si="3"/>
        <v>0</v>
      </c>
      <c r="K50" s="21">
        <f t="shared" si="2"/>
        <v>78.776321178613102</v>
      </c>
    </row>
    <row r="51" spans="1:11" s="22" customFormat="1" x14ac:dyDescent="0.35">
      <c r="A51" s="19">
        <v>38</v>
      </c>
      <c r="B51" s="19">
        <v>96146</v>
      </c>
      <c r="C51" s="20" t="s">
        <v>331</v>
      </c>
      <c r="D51" s="116">
        <f>'Schedule 4 Adjustments'!F50</f>
        <v>0</v>
      </c>
      <c r="E51" s="410">
        <v>7.0000000000000007E-2</v>
      </c>
      <c r="F51" s="47">
        <f t="shared" si="4"/>
        <v>0</v>
      </c>
      <c r="G51" s="21">
        <f t="shared" si="0"/>
        <v>11.028684965005835</v>
      </c>
      <c r="H51" s="150">
        <f>'Schedule 4 Adjustments'!N50</f>
        <v>0</v>
      </c>
      <c r="I51" s="410">
        <v>7.0000000000000007E-2</v>
      </c>
      <c r="J51" s="47">
        <f t="shared" si="3"/>
        <v>0</v>
      </c>
      <c r="K51" s="21">
        <f t="shared" si="2"/>
        <v>11.028684965005835</v>
      </c>
    </row>
    <row r="52" spans="1:11" s="22" customFormat="1" x14ac:dyDescent="0.35">
      <c r="A52" s="19">
        <v>39</v>
      </c>
      <c r="B52" s="19">
        <v>96372</v>
      </c>
      <c r="C52" s="20" t="s">
        <v>118</v>
      </c>
      <c r="D52" s="116">
        <f>'Schedule 4 Adjustments'!F51</f>
        <v>0</v>
      </c>
      <c r="E52" s="410">
        <v>0.43</v>
      </c>
      <c r="F52" s="47">
        <f t="shared" si="4"/>
        <v>0</v>
      </c>
      <c r="G52" s="21">
        <f t="shared" si="0"/>
        <v>67.747636213607265</v>
      </c>
      <c r="H52" s="150">
        <f>'Schedule 4 Adjustments'!N51</f>
        <v>0</v>
      </c>
      <c r="I52" s="410">
        <v>0.43</v>
      </c>
      <c r="J52" s="47">
        <f t="shared" si="3"/>
        <v>0</v>
      </c>
      <c r="K52" s="21">
        <f t="shared" si="2"/>
        <v>67.747636213607265</v>
      </c>
    </row>
    <row r="53" spans="1:11" s="22" customFormat="1" x14ac:dyDescent="0.35">
      <c r="A53" s="19">
        <v>40</v>
      </c>
      <c r="B53" s="19">
        <v>97535</v>
      </c>
      <c r="C53" s="20" t="s">
        <v>119</v>
      </c>
      <c r="D53" s="116">
        <f>'Schedule 4 Adjustments'!F52</f>
        <v>0</v>
      </c>
      <c r="E53" s="410">
        <v>0.98</v>
      </c>
      <c r="F53" s="47">
        <f t="shared" si="4"/>
        <v>0</v>
      </c>
      <c r="G53" s="21">
        <f t="shared" si="0"/>
        <v>154.40158951008169</v>
      </c>
      <c r="H53" s="150">
        <f>'Schedule 4 Adjustments'!N52</f>
        <v>0</v>
      </c>
      <c r="I53" s="410">
        <v>0.98</v>
      </c>
      <c r="J53" s="47">
        <f t="shared" si="3"/>
        <v>0</v>
      </c>
      <c r="K53" s="21">
        <f t="shared" si="2"/>
        <v>154.40158951008169</v>
      </c>
    </row>
    <row r="54" spans="1:11" s="22" customFormat="1" x14ac:dyDescent="0.35">
      <c r="A54" s="19">
        <v>41</v>
      </c>
      <c r="B54" s="19">
        <v>97537</v>
      </c>
      <c r="C54" s="20" t="s">
        <v>120</v>
      </c>
      <c r="D54" s="116">
        <f>'Schedule 4 Adjustments'!F53</f>
        <v>0</v>
      </c>
      <c r="E54" s="410">
        <v>0.95</v>
      </c>
      <c r="F54" s="47">
        <f t="shared" si="4"/>
        <v>0</v>
      </c>
      <c r="G54" s="21">
        <f t="shared" si="0"/>
        <v>149.67501023936489</v>
      </c>
      <c r="H54" s="150">
        <f>'Schedule 4 Adjustments'!N53</f>
        <v>0</v>
      </c>
      <c r="I54" s="410">
        <v>0.95</v>
      </c>
      <c r="J54" s="47">
        <f t="shared" si="3"/>
        <v>0</v>
      </c>
      <c r="K54" s="21">
        <f t="shared" si="2"/>
        <v>149.67501023936489</v>
      </c>
    </row>
    <row r="55" spans="1:11" s="22" customFormat="1" x14ac:dyDescent="0.35">
      <c r="A55" s="19">
        <v>42</v>
      </c>
      <c r="B55" s="19">
        <v>98966</v>
      </c>
      <c r="C55" s="20" t="s">
        <v>342</v>
      </c>
      <c r="D55" s="116">
        <f>'Schedule 4 Adjustments'!F54</f>
        <v>0</v>
      </c>
      <c r="E55" s="410">
        <v>0.39</v>
      </c>
      <c r="F55" s="47">
        <f t="shared" si="4"/>
        <v>0</v>
      </c>
      <c r="G55" s="21">
        <f t="shared" si="0"/>
        <v>61.445530519318218</v>
      </c>
      <c r="H55" s="150">
        <f>'Schedule 4 Adjustments'!N54</f>
        <v>0</v>
      </c>
      <c r="I55" s="410">
        <v>0.34</v>
      </c>
      <c r="J55" s="47">
        <f t="shared" si="3"/>
        <v>0</v>
      </c>
      <c r="K55" s="21">
        <f t="shared" si="2"/>
        <v>53.567898401456915</v>
      </c>
    </row>
    <row r="56" spans="1:11" s="22" customFormat="1" x14ac:dyDescent="0.35">
      <c r="A56" s="19">
        <v>43</v>
      </c>
      <c r="B56" s="19">
        <v>98967</v>
      </c>
      <c r="C56" s="20" t="s">
        <v>343</v>
      </c>
      <c r="D56" s="116">
        <f>'Schedule 4 Adjustments'!F55</f>
        <v>0</v>
      </c>
      <c r="E56" s="410">
        <v>0.72</v>
      </c>
      <c r="F56" s="47">
        <f t="shared" si="4"/>
        <v>0</v>
      </c>
      <c r="G56" s="21">
        <f t="shared" si="0"/>
        <v>113.43790249720287</v>
      </c>
      <c r="H56" s="150">
        <f>'Schedule 4 Adjustments'!N55</f>
        <v>0</v>
      </c>
      <c r="I56" s="410">
        <v>0.66</v>
      </c>
      <c r="J56" s="47">
        <f t="shared" si="3"/>
        <v>0</v>
      </c>
      <c r="K56" s="21">
        <f t="shared" si="2"/>
        <v>103.9847439557693</v>
      </c>
    </row>
    <row r="57" spans="1:11" s="22" customFormat="1" x14ac:dyDescent="0.35">
      <c r="A57" s="19">
        <v>44</v>
      </c>
      <c r="B57" s="19">
        <v>98968</v>
      </c>
      <c r="C57" s="20" t="s">
        <v>344</v>
      </c>
      <c r="D57" s="116">
        <f>'Schedule 4 Adjustments'!F56</f>
        <v>0</v>
      </c>
      <c r="E57" s="410">
        <v>0.99</v>
      </c>
      <c r="F57" s="47">
        <f t="shared" si="4"/>
        <v>0</v>
      </c>
      <c r="G57" s="21">
        <f t="shared" si="0"/>
        <v>155.97711593365395</v>
      </c>
      <c r="H57" s="150">
        <f>'Schedule 4 Adjustments'!N56</f>
        <v>0</v>
      </c>
      <c r="I57" s="410">
        <v>0.92</v>
      </c>
      <c r="J57" s="47">
        <f t="shared" si="3"/>
        <v>0</v>
      </c>
      <c r="K57" s="21">
        <f t="shared" si="2"/>
        <v>144.94843096864813</v>
      </c>
    </row>
    <row r="58" spans="1:11" s="22" customFormat="1" x14ac:dyDescent="0.35">
      <c r="A58" s="19">
        <v>45</v>
      </c>
      <c r="B58" s="19">
        <v>99202</v>
      </c>
      <c r="C58" s="20" t="s">
        <v>154</v>
      </c>
      <c r="D58" s="116">
        <f>'Schedule 4 Adjustments'!F57</f>
        <v>0</v>
      </c>
      <c r="E58" s="410">
        <v>2.17</v>
      </c>
      <c r="F58" s="47">
        <f t="shared" si="4"/>
        <v>0</v>
      </c>
      <c r="G58" s="21">
        <f t="shared" si="0"/>
        <v>341.88923391518085</v>
      </c>
      <c r="H58" s="150">
        <f>'Schedule 4 Adjustments'!N57</f>
        <v>0</v>
      </c>
      <c r="I58" s="410">
        <v>1.41</v>
      </c>
      <c r="J58" s="47">
        <f t="shared" si="3"/>
        <v>0</v>
      </c>
      <c r="K58" s="21">
        <f t="shared" si="2"/>
        <v>222.14922572368894</v>
      </c>
    </row>
    <row r="59" spans="1:11" s="22" customFormat="1" x14ac:dyDescent="0.35">
      <c r="A59" s="19">
        <v>46</v>
      </c>
      <c r="B59" s="19">
        <v>99203</v>
      </c>
      <c r="C59" s="20" t="s">
        <v>154</v>
      </c>
      <c r="D59" s="116">
        <f>'Schedule 4 Adjustments'!F58</f>
        <v>0</v>
      </c>
      <c r="E59" s="410">
        <v>3.35</v>
      </c>
      <c r="F59" s="47">
        <f t="shared" si="4"/>
        <v>0</v>
      </c>
      <c r="G59" s="21">
        <f t="shared" si="0"/>
        <v>527.80135189670784</v>
      </c>
      <c r="H59" s="150">
        <f>'Schedule 4 Adjustments'!N58</f>
        <v>2</v>
      </c>
      <c r="I59" s="410">
        <v>2.44</v>
      </c>
      <c r="J59" s="47">
        <f t="shared" si="3"/>
        <v>4.88</v>
      </c>
      <c r="K59" s="21">
        <f t="shared" si="2"/>
        <v>384.42844735163192</v>
      </c>
    </row>
    <row r="60" spans="1:11" s="22" customFormat="1" x14ac:dyDescent="0.35">
      <c r="A60" s="19">
        <v>47</v>
      </c>
      <c r="B60" s="19">
        <v>99204</v>
      </c>
      <c r="C60" s="20" t="s">
        <v>154</v>
      </c>
      <c r="D60" s="116">
        <f>'Schedule 4 Adjustments'!F59</f>
        <v>0</v>
      </c>
      <c r="E60" s="410">
        <v>5.0199999999999996</v>
      </c>
      <c r="F60" s="47">
        <f t="shared" si="4"/>
        <v>0</v>
      </c>
      <c r="G60" s="21">
        <f t="shared" si="0"/>
        <v>790.91426463327548</v>
      </c>
      <c r="H60" s="150">
        <f>'Schedule 4 Adjustments'!N59</f>
        <v>9</v>
      </c>
      <c r="I60" s="410">
        <v>3.97</v>
      </c>
      <c r="J60" s="47">
        <f t="shared" si="3"/>
        <v>35.730000000000004</v>
      </c>
      <c r="K60" s="21">
        <f t="shared" si="2"/>
        <v>625.48399015818802</v>
      </c>
    </row>
    <row r="61" spans="1:11" s="22" customFormat="1" x14ac:dyDescent="0.35">
      <c r="A61" s="19">
        <v>48</v>
      </c>
      <c r="B61" s="19">
        <v>99205</v>
      </c>
      <c r="C61" s="20" t="s">
        <v>154</v>
      </c>
      <c r="D61" s="116">
        <f>'Schedule 4 Adjustments'!F60</f>
        <v>0</v>
      </c>
      <c r="E61" s="410">
        <v>6.62</v>
      </c>
      <c r="F61" s="47">
        <f t="shared" si="4"/>
        <v>0</v>
      </c>
      <c r="G61" s="21">
        <f t="shared" si="0"/>
        <v>1042.9984924048374</v>
      </c>
      <c r="H61" s="150">
        <f>'Schedule 4 Adjustments'!N60</f>
        <v>47</v>
      </c>
      <c r="I61" s="410">
        <v>5.4</v>
      </c>
      <c r="J61" s="47">
        <f t="shared" si="3"/>
        <v>253.8</v>
      </c>
      <c r="K61" s="21">
        <f t="shared" si="2"/>
        <v>850.78426872902151</v>
      </c>
    </row>
    <row r="62" spans="1:11" s="22" customFormat="1" ht="43.5" x14ac:dyDescent="0.35">
      <c r="A62" s="19">
        <v>49</v>
      </c>
      <c r="B62" s="19">
        <v>99211</v>
      </c>
      <c r="C62" s="20" t="s">
        <v>345</v>
      </c>
      <c r="D62" s="116">
        <f>'Schedule 4 Adjustments'!F61</f>
        <v>0</v>
      </c>
      <c r="E62" s="410">
        <v>0.7</v>
      </c>
      <c r="F62" s="47">
        <f t="shared" si="4"/>
        <v>0</v>
      </c>
      <c r="G62" s="21">
        <f t="shared" si="0"/>
        <v>110.28684965005834</v>
      </c>
      <c r="H62" s="150">
        <f>'Schedule 4 Adjustments'!N61</f>
        <v>1</v>
      </c>
      <c r="I62" s="410">
        <v>0.26</v>
      </c>
      <c r="J62" s="47">
        <f t="shared" si="3"/>
        <v>0.26</v>
      </c>
      <c r="K62" s="21">
        <f t="shared" si="2"/>
        <v>40.963687012878815</v>
      </c>
    </row>
    <row r="63" spans="1:11" s="22" customFormat="1" x14ac:dyDescent="0.35">
      <c r="A63" s="19">
        <v>50</v>
      </c>
      <c r="B63" s="19">
        <v>99212</v>
      </c>
      <c r="C63" s="20" t="s">
        <v>155</v>
      </c>
      <c r="D63" s="116">
        <f>'Schedule 4 Adjustments'!F62</f>
        <v>0</v>
      </c>
      <c r="E63" s="410">
        <v>1.7</v>
      </c>
      <c r="F63" s="47">
        <f t="shared" si="4"/>
        <v>0</v>
      </c>
      <c r="G63" s="21">
        <f t="shared" si="0"/>
        <v>267.83949200728455</v>
      </c>
      <c r="H63" s="150">
        <f>'Schedule 4 Adjustments'!N62</f>
        <v>0</v>
      </c>
      <c r="I63" s="410">
        <v>1.05</v>
      </c>
      <c r="J63" s="47">
        <f t="shared" si="3"/>
        <v>0</v>
      </c>
      <c r="K63" s="21">
        <f t="shared" si="2"/>
        <v>165.43027447508751</v>
      </c>
    </row>
    <row r="64" spans="1:11" s="22" customFormat="1" x14ac:dyDescent="0.35">
      <c r="A64" s="19">
        <v>51</v>
      </c>
      <c r="B64" s="19">
        <v>99213</v>
      </c>
      <c r="C64" s="20" t="s">
        <v>155</v>
      </c>
      <c r="D64" s="116">
        <f>'Schedule 4 Adjustments'!F63</f>
        <v>0</v>
      </c>
      <c r="E64" s="410">
        <v>2.73</v>
      </c>
      <c r="F64" s="47">
        <f t="shared" si="4"/>
        <v>0</v>
      </c>
      <c r="G64" s="21">
        <f t="shared" si="0"/>
        <v>430.11871363522755</v>
      </c>
      <c r="H64" s="150">
        <f>'Schedule 4 Adjustments'!N63</f>
        <v>71</v>
      </c>
      <c r="I64" s="410">
        <v>1.96</v>
      </c>
      <c r="J64" s="47">
        <f t="shared" si="3"/>
        <v>139.16</v>
      </c>
      <c r="K64" s="21">
        <f t="shared" si="2"/>
        <v>308.80317902016338</v>
      </c>
    </row>
    <row r="65" spans="1:11" s="22" customFormat="1" x14ac:dyDescent="0.35">
      <c r="A65" s="19">
        <v>52</v>
      </c>
      <c r="B65" s="19">
        <v>99214</v>
      </c>
      <c r="C65" s="20" t="s">
        <v>155</v>
      </c>
      <c r="D65" s="116">
        <f>'Schedule 4 Adjustments'!F64</f>
        <v>0</v>
      </c>
      <c r="E65" s="410">
        <v>3.85</v>
      </c>
      <c r="F65" s="47">
        <f t="shared" si="4"/>
        <v>0</v>
      </c>
      <c r="G65" s="21">
        <f t="shared" si="0"/>
        <v>606.57767307532094</v>
      </c>
      <c r="H65" s="150">
        <f>'Schedule 4 Adjustments'!N64</f>
        <v>1300</v>
      </c>
      <c r="I65" s="410">
        <v>2.89</v>
      </c>
      <c r="J65" s="47">
        <f t="shared" si="3"/>
        <v>3757</v>
      </c>
      <c r="K65" s="21">
        <f t="shared" si="2"/>
        <v>455.32713641238377</v>
      </c>
    </row>
    <row r="66" spans="1:11" s="22" customFormat="1" x14ac:dyDescent="0.35">
      <c r="A66" s="19">
        <v>53</v>
      </c>
      <c r="B66" s="19">
        <v>99215</v>
      </c>
      <c r="C66" s="20" t="s">
        <v>155</v>
      </c>
      <c r="D66" s="116">
        <f>'Schedule 4 Adjustments'!F65</f>
        <v>0</v>
      </c>
      <c r="E66" s="410">
        <v>5.42</v>
      </c>
      <c r="F66" s="47">
        <f t="shared" si="4"/>
        <v>0</v>
      </c>
      <c r="G66" s="21">
        <f t="shared" si="0"/>
        <v>853.93532157616607</v>
      </c>
      <c r="H66" s="150">
        <f>'Schedule 4 Adjustments'!N65</f>
        <v>5546</v>
      </c>
      <c r="I66" s="410">
        <v>4.29</v>
      </c>
      <c r="J66" s="47">
        <f t="shared" si="3"/>
        <v>23792.34</v>
      </c>
      <c r="K66" s="21">
        <f t="shared" si="2"/>
        <v>675.90083571250045</v>
      </c>
    </row>
    <row r="67" spans="1:11" s="22" customFormat="1" x14ac:dyDescent="0.35">
      <c r="A67" s="19">
        <v>54</v>
      </c>
      <c r="B67" s="19">
        <v>99221</v>
      </c>
      <c r="C67" s="20" t="s">
        <v>121</v>
      </c>
      <c r="D67" s="116">
        <f>'Schedule 4 Adjustments'!F66</f>
        <v>0</v>
      </c>
      <c r="E67" s="410">
        <v>2.46</v>
      </c>
      <c r="F67" s="47">
        <f t="shared" si="4"/>
        <v>0</v>
      </c>
      <c r="G67" s="21">
        <f t="shared" si="0"/>
        <v>387.57950019877649</v>
      </c>
      <c r="H67" s="150">
        <f>'Schedule 4 Adjustments'!N66</f>
        <v>0</v>
      </c>
      <c r="I67" s="410">
        <v>2.46</v>
      </c>
      <c r="J67" s="47">
        <f t="shared" si="3"/>
        <v>0</v>
      </c>
      <c r="K67" s="21">
        <f t="shared" si="2"/>
        <v>387.57950019877649</v>
      </c>
    </row>
    <row r="68" spans="1:11" s="22" customFormat="1" x14ac:dyDescent="0.35">
      <c r="A68" s="19">
        <v>55</v>
      </c>
      <c r="B68" s="19">
        <v>99222</v>
      </c>
      <c r="C68" s="20" t="s">
        <v>122</v>
      </c>
      <c r="D68" s="116">
        <f>'Schedule 4 Adjustments'!F67</f>
        <v>0</v>
      </c>
      <c r="E68" s="410">
        <v>3.88</v>
      </c>
      <c r="F68" s="47">
        <f t="shared" si="4"/>
        <v>0</v>
      </c>
      <c r="G68" s="21">
        <f t="shared" si="0"/>
        <v>611.30425234603763</v>
      </c>
      <c r="H68" s="150">
        <f>'Schedule 4 Adjustments'!N67</f>
        <v>0</v>
      </c>
      <c r="I68" s="410">
        <v>3.88</v>
      </c>
      <c r="J68" s="47">
        <f t="shared" si="3"/>
        <v>0</v>
      </c>
      <c r="K68" s="21">
        <f t="shared" si="2"/>
        <v>611.30425234603763</v>
      </c>
    </row>
    <row r="69" spans="1:11" s="22" customFormat="1" x14ac:dyDescent="0.35">
      <c r="A69" s="19">
        <v>56</v>
      </c>
      <c r="B69" s="19">
        <v>99223</v>
      </c>
      <c r="C69" s="20" t="s">
        <v>123</v>
      </c>
      <c r="D69" s="116">
        <f>'Schedule 4 Adjustments'!F68</f>
        <v>0</v>
      </c>
      <c r="E69" s="410">
        <v>5.14</v>
      </c>
      <c r="F69" s="47">
        <f t="shared" si="4"/>
        <v>0</v>
      </c>
      <c r="G69" s="21">
        <f t="shared" si="0"/>
        <v>809.82058171614267</v>
      </c>
      <c r="H69" s="150">
        <f>'Schedule 4 Adjustments'!N68</f>
        <v>0</v>
      </c>
      <c r="I69" s="410">
        <v>5.14</v>
      </c>
      <c r="J69" s="47">
        <f t="shared" si="3"/>
        <v>0</v>
      </c>
      <c r="K69" s="21">
        <f t="shared" si="2"/>
        <v>809.82058171614267</v>
      </c>
    </row>
    <row r="70" spans="1:11" s="22" customFormat="1" x14ac:dyDescent="0.35">
      <c r="A70" s="19">
        <v>57</v>
      </c>
      <c r="B70" s="19">
        <v>99231</v>
      </c>
      <c r="C70" s="20" t="s">
        <v>124</v>
      </c>
      <c r="D70" s="116">
        <f>'Schedule 4 Adjustments'!F69</f>
        <v>0</v>
      </c>
      <c r="E70" s="410">
        <v>1.47</v>
      </c>
      <c r="F70" s="47">
        <f t="shared" si="4"/>
        <v>0</v>
      </c>
      <c r="G70" s="21">
        <f t="shared" si="0"/>
        <v>231.60238426512251</v>
      </c>
      <c r="H70" s="150">
        <f>'Schedule 4 Adjustments'!N69</f>
        <v>0</v>
      </c>
      <c r="I70" s="410">
        <v>1.47</v>
      </c>
      <c r="J70" s="47">
        <f t="shared" si="3"/>
        <v>0</v>
      </c>
      <c r="K70" s="21">
        <f t="shared" si="2"/>
        <v>231.60238426512251</v>
      </c>
    </row>
    <row r="71" spans="1:11" s="22" customFormat="1" x14ac:dyDescent="0.35">
      <c r="A71" s="19">
        <v>58</v>
      </c>
      <c r="B71" s="19">
        <v>99232</v>
      </c>
      <c r="C71" s="20" t="s">
        <v>125</v>
      </c>
      <c r="D71" s="116">
        <f>'Schedule 4 Adjustments'!F70</f>
        <v>0</v>
      </c>
      <c r="E71" s="410">
        <v>2.34</v>
      </c>
      <c r="F71" s="47">
        <f t="shared" si="4"/>
        <v>0</v>
      </c>
      <c r="G71" s="21">
        <f t="shared" si="0"/>
        <v>368.6731831159093</v>
      </c>
      <c r="H71" s="150">
        <f>'Schedule 4 Adjustments'!N70</f>
        <v>0</v>
      </c>
      <c r="I71" s="410">
        <v>2.34</v>
      </c>
      <c r="J71" s="47">
        <f t="shared" si="3"/>
        <v>0</v>
      </c>
      <c r="K71" s="21">
        <f t="shared" si="2"/>
        <v>368.6731831159093</v>
      </c>
    </row>
    <row r="72" spans="1:11" s="22" customFormat="1" x14ac:dyDescent="0.35">
      <c r="A72" s="19">
        <v>59</v>
      </c>
      <c r="B72" s="19">
        <v>99233</v>
      </c>
      <c r="C72" s="20" t="s">
        <v>126</v>
      </c>
      <c r="D72" s="116">
        <f>'Schedule 4 Adjustments'!F71</f>
        <v>0</v>
      </c>
      <c r="E72" s="410">
        <v>3.52</v>
      </c>
      <c r="F72" s="47">
        <f t="shared" si="4"/>
        <v>0</v>
      </c>
      <c r="G72" s="21">
        <f t="shared" si="0"/>
        <v>554.58530109743629</v>
      </c>
      <c r="H72" s="150">
        <f>'Schedule 4 Adjustments'!N71</f>
        <v>0</v>
      </c>
      <c r="I72" s="410">
        <v>3.52</v>
      </c>
      <c r="J72" s="47">
        <f t="shared" si="3"/>
        <v>0</v>
      </c>
      <c r="K72" s="21">
        <f t="shared" si="2"/>
        <v>554.58530109743629</v>
      </c>
    </row>
    <row r="73" spans="1:11" s="22" customFormat="1" ht="29" x14ac:dyDescent="0.35">
      <c r="A73" s="19">
        <v>60</v>
      </c>
      <c r="B73" s="19">
        <v>99234</v>
      </c>
      <c r="C73" s="20" t="s">
        <v>360</v>
      </c>
      <c r="D73" s="116">
        <f>'Schedule 4 Adjustments'!F72</f>
        <v>0</v>
      </c>
      <c r="E73" s="410">
        <v>2.9</v>
      </c>
      <c r="F73" s="47">
        <f t="shared" si="4"/>
        <v>0</v>
      </c>
      <c r="G73" s="21">
        <f t="shared" si="0"/>
        <v>456.90266283595599</v>
      </c>
      <c r="H73" s="150">
        <f>'Schedule 4 Adjustments'!N72</f>
        <v>0</v>
      </c>
      <c r="I73" s="410">
        <v>2.9</v>
      </c>
      <c r="J73" s="47">
        <f t="shared" si="3"/>
        <v>0</v>
      </c>
      <c r="K73" s="21">
        <f t="shared" si="2"/>
        <v>456.90266283595599</v>
      </c>
    </row>
    <row r="74" spans="1:11" s="22" customFormat="1" ht="29" x14ac:dyDescent="0.35">
      <c r="A74" s="19">
        <v>61</v>
      </c>
      <c r="B74" s="19">
        <v>99235</v>
      </c>
      <c r="C74" s="20" t="s">
        <v>361</v>
      </c>
      <c r="D74" s="116">
        <f>'Schedule 4 Adjustments'!F73</f>
        <v>0</v>
      </c>
      <c r="E74" s="410">
        <v>4.7300000000000004</v>
      </c>
      <c r="F74" s="47">
        <f t="shared" si="4"/>
        <v>0</v>
      </c>
      <c r="G74" s="21">
        <f t="shared" si="0"/>
        <v>745.22399834967996</v>
      </c>
      <c r="H74" s="150">
        <f>'Schedule 4 Adjustments'!N73</f>
        <v>0</v>
      </c>
      <c r="I74" s="410">
        <v>4.7300000000000004</v>
      </c>
      <c r="J74" s="47">
        <f t="shared" si="3"/>
        <v>0</v>
      </c>
      <c r="K74" s="21">
        <f t="shared" si="2"/>
        <v>745.22399834967996</v>
      </c>
    </row>
    <row r="75" spans="1:11" s="22" customFormat="1" ht="29" x14ac:dyDescent="0.35">
      <c r="A75" s="19">
        <v>62</v>
      </c>
      <c r="B75" s="19">
        <v>99236</v>
      </c>
      <c r="C75" s="20" t="s">
        <v>362</v>
      </c>
      <c r="D75" s="116">
        <f>'Schedule 4 Adjustments'!F74</f>
        <v>0</v>
      </c>
      <c r="E75" s="410">
        <v>6.18</v>
      </c>
      <c r="F75" s="47">
        <f t="shared" si="4"/>
        <v>0</v>
      </c>
      <c r="G75" s="21">
        <f t="shared" si="0"/>
        <v>973.6753297676579</v>
      </c>
      <c r="H75" s="150">
        <f>'Schedule 4 Adjustments'!N74</f>
        <v>0</v>
      </c>
      <c r="I75" s="410">
        <v>6.18</v>
      </c>
      <c r="J75" s="47">
        <f t="shared" si="3"/>
        <v>0</v>
      </c>
      <c r="K75" s="21">
        <f t="shared" si="2"/>
        <v>973.6753297676579</v>
      </c>
    </row>
    <row r="76" spans="1:11" s="22" customFormat="1" x14ac:dyDescent="0.35">
      <c r="A76" s="19">
        <v>63</v>
      </c>
      <c r="B76" s="19">
        <v>99238</v>
      </c>
      <c r="C76" s="20" t="s">
        <v>346</v>
      </c>
      <c r="D76" s="116">
        <f>'Schedule 4 Adjustments'!F75</f>
        <v>0</v>
      </c>
      <c r="E76" s="410">
        <v>2.41</v>
      </c>
      <c r="F76" s="47">
        <f t="shared" si="4"/>
        <v>0</v>
      </c>
      <c r="G76" s="21">
        <f t="shared" si="0"/>
        <v>379.70186808091518</v>
      </c>
      <c r="H76" s="150">
        <f>'Schedule 4 Adjustments'!N75</f>
        <v>0</v>
      </c>
      <c r="I76" s="410">
        <v>2.41</v>
      </c>
      <c r="J76" s="47">
        <f t="shared" si="3"/>
        <v>0</v>
      </c>
      <c r="K76" s="21">
        <f t="shared" si="2"/>
        <v>379.70186808091518</v>
      </c>
    </row>
    <row r="77" spans="1:11" s="22" customFormat="1" x14ac:dyDescent="0.35">
      <c r="A77" s="19">
        <v>64</v>
      </c>
      <c r="B77" s="19">
        <v>99239</v>
      </c>
      <c r="C77" s="20" t="s">
        <v>127</v>
      </c>
      <c r="D77" s="116">
        <f>'Schedule 4 Adjustments'!F76</f>
        <v>0</v>
      </c>
      <c r="E77" s="410">
        <v>3.4</v>
      </c>
      <c r="F77" s="47">
        <f t="shared" si="4"/>
        <v>0</v>
      </c>
      <c r="G77" s="21">
        <f t="shared" si="0"/>
        <v>535.6789840145691</v>
      </c>
      <c r="H77" s="150">
        <f>'Schedule 4 Adjustments'!N76</f>
        <v>0</v>
      </c>
      <c r="I77" s="410">
        <v>3.4</v>
      </c>
      <c r="J77" s="47">
        <f t="shared" si="3"/>
        <v>0</v>
      </c>
      <c r="K77" s="21">
        <f t="shared" si="2"/>
        <v>535.6789840145691</v>
      </c>
    </row>
    <row r="78" spans="1:11" s="22" customFormat="1" x14ac:dyDescent="0.35">
      <c r="A78" s="19">
        <v>65</v>
      </c>
      <c r="B78" s="19">
        <v>99242</v>
      </c>
      <c r="C78" s="20" t="s">
        <v>347</v>
      </c>
      <c r="D78" s="116">
        <f>'Schedule 4 Adjustments'!F77</f>
        <v>0</v>
      </c>
      <c r="E78" s="410">
        <v>2.25</v>
      </c>
      <c r="F78" s="148">
        <f t="shared" si="4"/>
        <v>0</v>
      </c>
      <c r="G78" s="149">
        <f t="shared" si="0"/>
        <v>354.49344530375896</v>
      </c>
      <c r="H78" s="150">
        <f>'Schedule 4 Adjustments'!N77</f>
        <v>0</v>
      </c>
      <c r="I78" s="410">
        <v>1.66</v>
      </c>
      <c r="J78" s="47">
        <f t="shared" si="3"/>
        <v>0</v>
      </c>
      <c r="K78" s="21">
        <f t="shared" si="2"/>
        <v>261.53738631299547</v>
      </c>
    </row>
    <row r="79" spans="1:11" s="22" customFormat="1" x14ac:dyDescent="0.35">
      <c r="A79" s="19">
        <v>66</v>
      </c>
      <c r="B79" s="19">
        <v>99243</v>
      </c>
      <c r="C79" s="20" t="s">
        <v>348</v>
      </c>
      <c r="D79" s="116">
        <f>'Schedule 4 Adjustments'!F78</f>
        <v>0</v>
      </c>
      <c r="E79" s="410">
        <v>3.37</v>
      </c>
      <c r="F79" s="47">
        <f t="shared" si="4"/>
        <v>0</v>
      </c>
      <c r="G79" s="21">
        <f t="shared" si="0"/>
        <v>530.9524047438523</v>
      </c>
      <c r="H79" s="150">
        <f>'Schedule 4 Adjustments'!N78</f>
        <v>0</v>
      </c>
      <c r="I79" s="410">
        <v>2.62</v>
      </c>
      <c r="J79" s="47">
        <f t="shared" si="3"/>
        <v>0</v>
      </c>
      <c r="K79" s="21">
        <f t="shared" si="2"/>
        <v>412.78792297593264</v>
      </c>
    </row>
    <row r="80" spans="1:11" s="22" customFormat="1" x14ac:dyDescent="0.35">
      <c r="A80" s="19">
        <v>67</v>
      </c>
      <c r="B80" s="19">
        <v>99244</v>
      </c>
      <c r="C80" s="20" t="s">
        <v>349</v>
      </c>
      <c r="D80" s="116">
        <f>'Schedule 4 Adjustments'!F79</f>
        <v>0</v>
      </c>
      <c r="E80" s="410">
        <v>4.8099999999999996</v>
      </c>
      <c r="F80" s="47">
        <f t="shared" si="4"/>
        <v>0</v>
      </c>
      <c r="G80" s="21">
        <f t="shared" si="0"/>
        <v>757.82820973825801</v>
      </c>
      <c r="H80" s="150">
        <f>'Schedule 4 Adjustments'!N79</f>
        <v>0</v>
      </c>
      <c r="I80" s="410">
        <v>3.99</v>
      </c>
      <c r="J80" s="47">
        <f t="shared" si="3"/>
        <v>0</v>
      </c>
      <c r="K80" s="21">
        <f t="shared" si="2"/>
        <v>628.63504300533259</v>
      </c>
    </row>
    <row r="81" spans="1:11" s="22" customFormat="1" x14ac:dyDescent="0.35">
      <c r="A81" s="19">
        <v>68</v>
      </c>
      <c r="B81" s="19">
        <v>99245</v>
      </c>
      <c r="C81" s="20" t="s">
        <v>350</v>
      </c>
      <c r="D81" s="116">
        <f>'Schedule 4 Adjustments'!F80</f>
        <v>0</v>
      </c>
      <c r="E81" s="410">
        <v>6.28</v>
      </c>
      <c r="F81" s="47">
        <f t="shared" si="4"/>
        <v>0</v>
      </c>
      <c r="G81" s="21">
        <f t="shared" si="0"/>
        <v>989.43059400338063</v>
      </c>
      <c r="H81" s="150">
        <f>'Schedule 4 Adjustments'!N80</f>
        <v>0</v>
      </c>
      <c r="I81" s="410">
        <v>5.36</v>
      </c>
      <c r="J81" s="47">
        <f t="shared" si="3"/>
        <v>0</v>
      </c>
      <c r="K81" s="21">
        <f t="shared" si="2"/>
        <v>844.48216303473248</v>
      </c>
    </row>
    <row r="82" spans="1:11" s="22" customFormat="1" x14ac:dyDescent="0.35">
      <c r="A82" s="19">
        <v>69</v>
      </c>
      <c r="B82" s="19">
        <v>99252</v>
      </c>
      <c r="C82" s="20" t="s">
        <v>351</v>
      </c>
      <c r="D82" s="116">
        <f>'Schedule 4 Adjustments'!F81</f>
        <v>0</v>
      </c>
      <c r="E82" s="410">
        <v>2.11</v>
      </c>
      <c r="F82" s="47">
        <f t="shared" si="4"/>
        <v>0</v>
      </c>
      <c r="G82" s="21">
        <f t="shared" si="0"/>
        <v>332.43607537374726</v>
      </c>
      <c r="H82" s="150">
        <f>'Schedule 4 Adjustments'!N81</f>
        <v>0</v>
      </c>
      <c r="I82" s="410">
        <v>2.11</v>
      </c>
      <c r="J82" s="47">
        <f t="shared" si="3"/>
        <v>0</v>
      </c>
      <c r="K82" s="21">
        <f t="shared" si="2"/>
        <v>332.43607537374726</v>
      </c>
    </row>
    <row r="83" spans="1:11" s="22" customFormat="1" x14ac:dyDescent="0.35">
      <c r="A83" s="19">
        <v>70</v>
      </c>
      <c r="B83" s="19">
        <v>99253</v>
      </c>
      <c r="C83" s="20" t="s">
        <v>352</v>
      </c>
      <c r="D83" s="116">
        <f>'Schedule 4 Adjustments'!F82</f>
        <v>0</v>
      </c>
      <c r="E83" s="410">
        <v>2.96</v>
      </c>
      <c r="F83" s="47">
        <f t="shared" si="4"/>
        <v>0</v>
      </c>
      <c r="G83" s="21">
        <f t="shared" ref="G83:G146" si="5">E83*$F$13</f>
        <v>466.35582137738959</v>
      </c>
      <c r="H83" s="150">
        <f>'Schedule 4 Adjustments'!N82</f>
        <v>0</v>
      </c>
      <c r="I83" s="410">
        <v>2.96</v>
      </c>
      <c r="J83" s="47">
        <f t="shared" si="3"/>
        <v>0</v>
      </c>
      <c r="K83" s="21">
        <f t="shared" ref="K83:K146" si="6">I83*$F$13</f>
        <v>466.35582137738959</v>
      </c>
    </row>
    <row r="84" spans="1:11" s="22" customFormat="1" x14ac:dyDescent="0.35">
      <c r="A84" s="19">
        <v>71</v>
      </c>
      <c r="B84" s="19">
        <v>99254</v>
      </c>
      <c r="C84" s="20" t="s">
        <v>353</v>
      </c>
      <c r="D84" s="116">
        <f>'Schedule 4 Adjustments'!F83</f>
        <v>0</v>
      </c>
      <c r="E84" s="410">
        <v>4.1100000000000003</v>
      </c>
      <c r="F84" s="47">
        <f t="shared" si="4"/>
        <v>0</v>
      </c>
      <c r="G84" s="21">
        <f t="shared" si="5"/>
        <v>647.54136008819978</v>
      </c>
      <c r="H84" s="150">
        <f>'Schedule 4 Adjustments'!N83</f>
        <v>0</v>
      </c>
      <c r="I84" s="410">
        <v>4.1100000000000003</v>
      </c>
      <c r="J84" s="47">
        <f t="shared" ref="J84:J147" si="7">H84*I84</f>
        <v>0</v>
      </c>
      <c r="K84" s="21">
        <f t="shared" si="6"/>
        <v>647.54136008819978</v>
      </c>
    </row>
    <row r="85" spans="1:11" s="22" customFormat="1" x14ac:dyDescent="0.35">
      <c r="A85" s="19">
        <v>72</v>
      </c>
      <c r="B85" s="19">
        <v>99255</v>
      </c>
      <c r="C85" s="20" t="s">
        <v>354</v>
      </c>
      <c r="D85" s="116">
        <f>'Schedule 4 Adjustments'!F84</f>
        <v>0</v>
      </c>
      <c r="E85" s="410">
        <v>5.53</v>
      </c>
      <c r="F85" s="47">
        <f t="shared" ref="F85:F148" si="8">D85*E85</f>
        <v>0</v>
      </c>
      <c r="G85" s="21">
        <f t="shared" si="5"/>
        <v>871.26611223546092</v>
      </c>
      <c r="H85" s="150">
        <f>'Schedule 4 Adjustments'!N84</f>
        <v>0</v>
      </c>
      <c r="I85" s="410">
        <v>5.53</v>
      </c>
      <c r="J85" s="47">
        <f t="shared" si="7"/>
        <v>0</v>
      </c>
      <c r="K85" s="21">
        <f t="shared" si="6"/>
        <v>871.26611223546092</v>
      </c>
    </row>
    <row r="86" spans="1:11" s="22" customFormat="1" x14ac:dyDescent="0.35">
      <c r="A86" s="19">
        <v>73</v>
      </c>
      <c r="B86" s="19">
        <v>99281</v>
      </c>
      <c r="C86" s="20" t="s">
        <v>355</v>
      </c>
      <c r="D86" s="116">
        <f>'Schedule 4 Adjustments'!F85</f>
        <v>0</v>
      </c>
      <c r="E86" s="410">
        <v>0.34</v>
      </c>
      <c r="F86" s="47">
        <f t="shared" si="8"/>
        <v>0</v>
      </c>
      <c r="G86" s="21">
        <f t="shared" si="5"/>
        <v>53.567898401456915</v>
      </c>
      <c r="H86" s="150">
        <f>'Schedule 4 Adjustments'!N85</f>
        <v>0</v>
      </c>
      <c r="I86" s="410">
        <v>0.34</v>
      </c>
      <c r="J86" s="47">
        <f t="shared" si="7"/>
        <v>0</v>
      </c>
      <c r="K86" s="21">
        <f t="shared" si="6"/>
        <v>53.567898401456915</v>
      </c>
    </row>
    <row r="87" spans="1:11" s="22" customFormat="1" x14ac:dyDescent="0.35">
      <c r="A87" s="19">
        <v>74</v>
      </c>
      <c r="B87" s="19">
        <v>99282</v>
      </c>
      <c r="C87" s="20" t="s">
        <v>356</v>
      </c>
      <c r="D87" s="116">
        <f>'Schedule 4 Adjustments'!F86</f>
        <v>0</v>
      </c>
      <c r="E87" s="410">
        <v>1.24</v>
      </c>
      <c r="F87" s="47">
        <f t="shared" si="8"/>
        <v>0</v>
      </c>
      <c r="G87" s="21">
        <f t="shared" si="5"/>
        <v>195.3652765229605</v>
      </c>
      <c r="H87" s="150">
        <f>'Schedule 4 Adjustments'!N86</f>
        <v>0</v>
      </c>
      <c r="I87" s="410">
        <v>1.24</v>
      </c>
      <c r="J87" s="47">
        <f t="shared" si="7"/>
        <v>0</v>
      </c>
      <c r="K87" s="21">
        <f t="shared" si="6"/>
        <v>195.3652765229605</v>
      </c>
    </row>
    <row r="88" spans="1:11" s="22" customFormat="1" x14ac:dyDescent="0.35">
      <c r="A88" s="19">
        <v>75</v>
      </c>
      <c r="B88" s="19">
        <v>99283</v>
      </c>
      <c r="C88" s="20" t="s">
        <v>357</v>
      </c>
      <c r="D88" s="116">
        <f>'Schedule 4 Adjustments'!F87</f>
        <v>0</v>
      </c>
      <c r="E88" s="410">
        <v>2.11</v>
      </c>
      <c r="F88" s="47">
        <f t="shared" si="8"/>
        <v>0</v>
      </c>
      <c r="G88" s="21">
        <f t="shared" si="5"/>
        <v>332.43607537374726</v>
      </c>
      <c r="H88" s="150">
        <f>'Schedule 4 Adjustments'!N87</f>
        <v>0</v>
      </c>
      <c r="I88" s="410">
        <v>2.11</v>
      </c>
      <c r="J88" s="47">
        <f t="shared" si="7"/>
        <v>0</v>
      </c>
      <c r="K88" s="21">
        <f t="shared" si="6"/>
        <v>332.43607537374726</v>
      </c>
    </row>
    <row r="89" spans="1:11" s="22" customFormat="1" x14ac:dyDescent="0.35">
      <c r="A89" s="19">
        <v>76</v>
      </c>
      <c r="B89" s="19">
        <v>99284</v>
      </c>
      <c r="C89" s="20" t="s">
        <v>358</v>
      </c>
      <c r="D89" s="116">
        <f>'Schedule 4 Adjustments'!F88</f>
        <v>0</v>
      </c>
      <c r="E89" s="410">
        <v>3.59</v>
      </c>
      <c r="F89" s="47">
        <f t="shared" si="8"/>
        <v>0</v>
      </c>
      <c r="G89" s="21">
        <f t="shared" si="5"/>
        <v>565.61398606244211</v>
      </c>
      <c r="H89" s="150">
        <f>'Schedule 4 Adjustments'!N88</f>
        <v>0</v>
      </c>
      <c r="I89" s="410">
        <v>3.59</v>
      </c>
      <c r="J89" s="47">
        <f t="shared" si="7"/>
        <v>0</v>
      </c>
      <c r="K89" s="21">
        <f t="shared" si="6"/>
        <v>565.61398606244211</v>
      </c>
    </row>
    <row r="90" spans="1:11" s="22" customFormat="1" x14ac:dyDescent="0.35">
      <c r="A90" s="19">
        <v>77</v>
      </c>
      <c r="B90" s="19">
        <v>99285</v>
      </c>
      <c r="C90" s="20" t="s">
        <v>359</v>
      </c>
      <c r="D90" s="116">
        <f>'Schedule 4 Adjustments'!F89</f>
        <v>0</v>
      </c>
      <c r="E90" s="410">
        <v>5.2</v>
      </c>
      <c r="F90" s="47">
        <f t="shared" si="8"/>
        <v>0</v>
      </c>
      <c r="G90" s="21">
        <f t="shared" si="5"/>
        <v>819.27374025757626</v>
      </c>
      <c r="H90" s="150">
        <f>'Schedule 4 Adjustments'!N89</f>
        <v>0</v>
      </c>
      <c r="I90" s="410">
        <v>5.2</v>
      </c>
      <c r="J90" s="47">
        <f t="shared" si="7"/>
        <v>0</v>
      </c>
      <c r="K90" s="21">
        <f t="shared" si="6"/>
        <v>819.27374025757626</v>
      </c>
    </row>
    <row r="91" spans="1:11" s="22" customFormat="1" x14ac:dyDescent="0.35">
      <c r="A91" s="19">
        <v>78</v>
      </c>
      <c r="B91" s="19">
        <v>99304</v>
      </c>
      <c r="C91" s="20" t="s">
        <v>363</v>
      </c>
      <c r="D91" s="116">
        <f>'Schedule 4 Adjustments'!F90</f>
        <v>0</v>
      </c>
      <c r="E91" s="410">
        <v>2.39</v>
      </c>
      <c r="F91" s="47">
        <f t="shared" si="8"/>
        <v>0</v>
      </c>
      <c r="G91" s="21">
        <f t="shared" si="5"/>
        <v>376.55081523377066</v>
      </c>
      <c r="H91" s="150">
        <f>'Schedule 4 Adjustments'!N90</f>
        <v>0</v>
      </c>
      <c r="I91" s="410">
        <v>2.39</v>
      </c>
      <c r="J91" s="47">
        <f t="shared" si="7"/>
        <v>0</v>
      </c>
      <c r="K91" s="21">
        <f t="shared" si="6"/>
        <v>376.55081523377066</v>
      </c>
    </row>
    <row r="92" spans="1:11" s="22" customFormat="1" x14ac:dyDescent="0.35">
      <c r="A92" s="19">
        <v>79</v>
      </c>
      <c r="B92" s="19">
        <v>99305</v>
      </c>
      <c r="C92" s="20" t="s">
        <v>364</v>
      </c>
      <c r="D92" s="116">
        <f>'Schedule 4 Adjustments'!F91</f>
        <v>0</v>
      </c>
      <c r="E92" s="410">
        <v>3.97</v>
      </c>
      <c r="F92" s="47">
        <f t="shared" si="8"/>
        <v>0</v>
      </c>
      <c r="G92" s="21">
        <f t="shared" si="5"/>
        <v>625.48399015818802</v>
      </c>
      <c r="H92" s="150">
        <f>'Schedule 4 Adjustments'!N91</f>
        <v>0</v>
      </c>
      <c r="I92" s="410">
        <v>3.97</v>
      </c>
      <c r="J92" s="47">
        <f t="shared" si="7"/>
        <v>0</v>
      </c>
      <c r="K92" s="21">
        <f t="shared" si="6"/>
        <v>625.48399015818802</v>
      </c>
    </row>
    <row r="93" spans="1:11" s="22" customFormat="1" x14ac:dyDescent="0.35">
      <c r="A93" s="19">
        <v>80</v>
      </c>
      <c r="B93" s="19">
        <v>99306</v>
      </c>
      <c r="C93" s="20" t="s">
        <v>365</v>
      </c>
      <c r="D93" s="116">
        <f>'Schedule 4 Adjustments'!F92</f>
        <v>0</v>
      </c>
      <c r="E93" s="410">
        <v>5.42</v>
      </c>
      <c r="F93" s="47">
        <f t="shared" si="8"/>
        <v>0</v>
      </c>
      <c r="G93" s="21">
        <f t="shared" si="5"/>
        <v>853.93532157616607</v>
      </c>
      <c r="H93" s="150">
        <f>'Schedule 4 Adjustments'!N92</f>
        <v>0</v>
      </c>
      <c r="I93" s="410">
        <v>5.42</v>
      </c>
      <c r="J93" s="47">
        <f t="shared" si="7"/>
        <v>0</v>
      </c>
      <c r="K93" s="21">
        <f t="shared" si="6"/>
        <v>853.93532157616607</v>
      </c>
    </row>
    <row r="94" spans="1:11" s="22" customFormat="1" x14ac:dyDescent="0.35">
      <c r="A94" s="19">
        <v>81</v>
      </c>
      <c r="B94" s="19">
        <v>99307</v>
      </c>
      <c r="C94" s="20" t="s">
        <v>366</v>
      </c>
      <c r="D94" s="116">
        <f>'Schedule 4 Adjustments'!F93</f>
        <v>0</v>
      </c>
      <c r="E94" s="410">
        <v>1.2</v>
      </c>
      <c r="F94" s="47">
        <f t="shared" si="8"/>
        <v>0</v>
      </c>
      <c r="G94" s="21">
        <f t="shared" si="5"/>
        <v>189.06317082867145</v>
      </c>
      <c r="H94" s="150">
        <f>'Schedule 4 Adjustments'!N93</f>
        <v>0</v>
      </c>
      <c r="I94" s="410">
        <v>1.2</v>
      </c>
      <c r="J94" s="47">
        <f t="shared" si="7"/>
        <v>0</v>
      </c>
      <c r="K94" s="21">
        <f t="shared" si="6"/>
        <v>189.06317082867145</v>
      </c>
    </row>
    <row r="95" spans="1:11" s="22" customFormat="1" x14ac:dyDescent="0.35">
      <c r="A95" s="19">
        <v>82</v>
      </c>
      <c r="B95" s="19">
        <v>99308</v>
      </c>
      <c r="C95" s="20" t="s">
        <v>367</v>
      </c>
      <c r="D95" s="116">
        <f>'Schedule 4 Adjustments'!F94</f>
        <v>0</v>
      </c>
      <c r="E95" s="410">
        <v>2.2200000000000002</v>
      </c>
      <c r="F95" s="47">
        <f t="shared" si="8"/>
        <v>0</v>
      </c>
      <c r="G95" s="21">
        <f t="shared" si="5"/>
        <v>349.76686603304222</v>
      </c>
      <c r="H95" s="150">
        <f>'Schedule 4 Adjustments'!N94</f>
        <v>0</v>
      </c>
      <c r="I95" s="410">
        <v>2.2200000000000002</v>
      </c>
      <c r="J95" s="47">
        <f t="shared" si="7"/>
        <v>0</v>
      </c>
      <c r="K95" s="21">
        <f t="shared" si="6"/>
        <v>349.76686603304222</v>
      </c>
    </row>
    <row r="96" spans="1:11" s="22" customFormat="1" x14ac:dyDescent="0.35">
      <c r="A96" s="19">
        <v>83</v>
      </c>
      <c r="B96" s="19">
        <v>99309</v>
      </c>
      <c r="C96" s="20" t="s">
        <v>368</v>
      </c>
      <c r="D96" s="116">
        <f>'Schedule 4 Adjustments'!F95</f>
        <v>0</v>
      </c>
      <c r="E96" s="410">
        <v>3.21</v>
      </c>
      <c r="F96" s="47">
        <f t="shared" si="8"/>
        <v>0</v>
      </c>
      <c r="G96" s="21">
        <f t="shared" si="5"/>
        <v>505.74398196669614</v>
      </c>
      <c r="H96" s="150">
        <f>'Schedule 4 Adjustments'!N95</f>
        <v>0</v>
      </c>
      <c r="I96" s="410">
        <v>3.21</v>
      </c>
      <c r="J96" s="47">
        <f t="shared" si="7"/>
        <v>0</v>
      </c>
      <c r="K96" s="21">
        <f t="shared" si="6"/>
        <v>505.74398196669614</v>
      </c>
    </row>
    <row r="97" spans="1:11" s="22" customFormat="1" x14ac:dyDescent="0.35">
      <c r="A97" s="19">
        <v>84</v>
      </c>
      <c r="B97" s="19">
        <v>99310</v>
      </c>
      <c r="C97" s="20" t="s">
        <v>369</v>
      </c>
      <c r="D97" s="116">
        <f>'Schedule 4 Adjustments'!F96</f>
        <v>0</v>
      </c>
      <c r="E97" s="410">
        <v>4.58</v>
      </c>
      <c r="F97" s="47">
        <f t="shared" si="8"/>
        <v>0</v>
      </c>
      <c r="G97" s="21">
        <f t="shared" si="5"/>
        <v>721.59110199609597</v>
      </c>
      <c r="H97" s="150">
        <f>'Schedule 4 Adjustments'!N96</f>
        <v>0</v>
      </c>
      <c r="I97" s="410">
        <v>4.58</v>
      </c>
      <c r="J97" s="47">
        <f t="shared" si="7"/>
        <v>0</v>
      </c>
      <c r="K97" s="21">
        <f t="shared" si="6"/>
        <v>721.59110199609597</v>
      </c>
    </row>
    <row r="98" spans="1:11" s="22" customFormat="1" x14ac:dyDescent="0.35">
      <c r="A98" s="19">
        <v>85</v>
      </c>
      <c r="B98" s="19">
        <v>99315</v>
      </c>
      <c r="C98" s="20" t="s">
        <v>370</v>
      </c>
      <c r="D98" s="116">
        <f>'Schedule 4 Adjustments'!F97</f>
        <v>0</v>
      </c>
      <c r="E98" s="410">
        <v>2.4300000000000002</v>
      </c>
      <c r="F98" s="47">
        <f t="shared" si="8"/>
        <v>0</v>
      </c>
      <c r="G98" s="21">
        <f t="shared" si="5"/>
        <v>382.85292092805969</v>
      </c>
      <c r="H98" s="150">
        <f>'Schedule 4 Adjustments'!N97</f>
        <v>0</v>
      </c>
      <c r="I98" s="410">
        <v>2.4300000000000002</v>
      </c>
      <c r="J98" s="47">
        <f t="shared" si="7"/>
        <v>0</v>
      </c>
      <c r="K98" s="21">
        <f t="shared" si="6"/>
        <v>382.85292092805969</v>
      </c>
    </row>
    <row r="99" spans="1:11" s="22" customFormat="1" x14ac:dyDescent="0.35">
      <c r="A99" s="19">
        <v>86</v>
      </c>
      <c r="B99" s="19">
        <v>99316</v>
      </c>
      <c r="C99" s="20" t="s">
        <v>128</v>
      </c>
      <c r="D99" s="116">
        <f>'Schedule 4 Adjustments'!F98</f>
        <v>0</v>
      </c>
      <c r="E99" s="410">
        <v>3.9</v>
      </c>
      <c r="F99" s="47">
        <f t="shared" si="8"/>
        <v>0</v>
      </c>
      <c r="G99" s="21">
        <f t="shared" si="5"/>
        <v>614.4553051931822</v>
      </c>
      <c r="H99" s="150">
        <f>'Schedule 4 Adjustments'!N98</f>
        <v>0</v>
      </c>
      <c r="I99" s="410">
        <v>3.9</v>
      </c>
      <c r="J99" s="47">
        <f t="shared" si="7"/>
        <v>0</v>
      </c>
      <c r="K99" s="21">
        <f t="shared" si="6"/>
        <v>614.4553051931822</v>
      </c>
    </row>
    <row r="100" spans="1:11" s="22" customFormat="1" x14ac:dyDescent="0.35">
      <c r="A100" s="19">
        <v>87</v>
      </c>
      <c r="B100" s="19">
        <v>99341</v>
      </c>
      <c r="C100" s="20" t="s">
        <v>371</v>
      </c>
      <c r="D100" s="116">
        <f>'Schedule 4 Adjustments'!F99</f>
        <v>0</v>
      </c>
      <c r="E100" s="410">
        <v>1.47</v>
      </c>
      <c r="F100" s="47">
        <f t="shared" si="8"/>
        <v>0</v>
      </c>
      <c r="G100" s="21">
        <f t="shared" si="5"/>
        <v>231.60238426512251</v>
      </c>
      <c r="H100" s="150">
        <f>'Schedule 4 Adjustments'!N99</f>
        <v>0</v>
      </c>
      <c r="I100" s="410">
        <v>1.47</v>
      </c>
      <c r="J100" s="47">
        <f t="shared" si="7"/>
        <v>0</v>
      </c>
      <c r="K100" s="21">
        <f t="shared" si="6"/>
        <v>231.60238426512251</v>
      </c>
    </row>
    <row r="101" spans="1:11" s="22" customFormat="1" x14ac:dyDescent="0.35">
      <c r="A101" s="19">
        <v>88</v>
      </c>
      <c r="B101" s="19">
        <v>99342</v>
      </c>
      <c r="C101" s="20" t="s">
        <v>372</v>
      </c>
      <c r="D101" s="116">
        <f>'Schedule 4 Adjustments'!F100</f>
        <v>0</v>
      </c>
      <c r="E101" s="410">
        <v>2.33</v>
      </c>
      <c r="F101" s="47">
        <f t="shared" si="8"/>
        <v>0</v>
      </c>
      <c r="G101" s="21">
        <f t="shared" si="5"/>
        <v>367.09765669233707</v>
      </c>
      <c r="H101" s="150">
        <f>'Schedule 4 Adjustments'!N100</f>
        <v>0</v>
      </c>
      <c r="I101" s="410">
        <v>2.33</v>
      </c>
      <c r="J101" s="47">
        <f t="shared" si="7"/>
        <v>0</v>
      </c>
      <c r="K101" s="21">
        <f t="shared" si="6"/>
        <v>367.09765669233707</v>
      </c>
    </row>
    <row r="102" spans="1:11" s="22" customFormat="1" x14ac:dyDescent="0.35">
      <c r="A102" s="19">
        <v>89</v>
      </c>
      <c r="B102" s="19">
        <v>99344</v>
      </c>
      <c r="C102" s="20" t="s">
        <v>373</v>
      </c>
      <c r="D102" s="116">
        <f>'Schedule 4 Adjustments'!F101</f>
        <v>0</v>
      </c>
      <c r="E102" s="410">
        <v>4.2300000000000004</v>
      </c>
      <c r="F102" s="47">
        <f t="shared" si="8"/>
        <v>0</v>
      </c>
      <c r="G102" s="21">
        <f t="shared" si="5"/>
        <v>666.44767717106686</v>
      </c>
      <c r="H102" s="150">
        <f>'Schedule 4 Adjustments'!N101</f>
        <v>0</v>
      </c>
      <c r="I102" s="410">
        <v>4.2300000000000004</v>
      </c>
      <c r="J102" s="47">
        <f t="shared" si="7"/>
        <v>0</v>
      </c>
      <c r="K102" s="21">
        <f t="shared" si="6"/>
        <v>666.44767717106686</v>
      </c>
    </row>
    <row r="103" spans="1:11" s="22" customFormat="1" x14ac:dyDescent="0.35">
      <c r="A103" s="19">
        <v>90</v>
      </c>
      <c r="B103" s="19">
        <v>99345</v>
      </c>
      <c r="C103" s="20" t="s">
        <v>374</v>
      </c>
      <c r="D103" s="116">
        <f>'Schedule 4 Adjustments'!F102</f>
        <v>0</v>
      </c>
      <c r="E103" s="410">
        <v>6.01</v>
      </c>
      <c r="F103" s="47">
        <f t="shared" si="8"/>
        <v>0</v>
      </c>
      <c r="G103" s="21">
        <f t="shared" si="5"/>
        <v>946.89138056692946</v>
      </c>
      <c r="H103" s="150">
        <f>'Schedule 4 Adjustments'!N102</f>
        <v>0</v>
      </c>
      <c r="I103" s="410">
        <v>6.01</v>
      </c>
      <c r="J103" s="47">
        <f t="shared" si="7"/>
        <v>0</v>
      </c>
      <c r="K103" s="21">
        <f t="shared" si="6"/>
        <v>946.89138056692946</v>
      </c>
    </row>
    <row r="104" spans="1:11" s="22" customFormat="1" x14ac:dyDescent="0.35">
      <c r="A104" s="19">
        <v>91</v>
      </c>
      <c r="B104" s="19">
        <v>99347</v>
      </c>
      <c r="C104" s="20" t="s">
        <v>375</v>
      </c>
      <c r="D104" s="116">
        <f>'Schedule 4 Adjustments'!F103</f>
        <v>0</v>
      </c>
      <c r="E104" s="410">
        <v>1.35</v>
      </c>
      <c r="F104" s="47">
        <f t="shared" si="8"/>
        <v>0</v>
      </c>
      <c r="G104" s="21">
        <f t="shared" si="5"/>
        <v>212.69606718225538</v>
      </c>
      <c r="H104" s="150">
        <f>'Schedule 4 Adjustments'!N103</f>
        <v>0</v>
      </c>
      <c r="I104" s="410">
        <v>1.35</v>
      </c>
      <c r="J104" s="47">
        <f t="shared" si="7"/>
        <v>0</v>
      </c>
      <c r="K104" s="21">
        <f t="shared" si="6"/>
        <v>212.69606718225538</v>
      </c>
    </row>
    <row r="105" spans="1:11" s="22" customFormat="1" x14ac:dyDescent="0.35">
      <c r="A105" s="19">
        <v>92</v>
      </c>
      <c r="B105" s="19">
        <v>99348</v>
      </c>
      <c r="C105" s="20" t="s">
        <v>376</v>
      </c>
      <c r="D105" s="116">
        <f>'Schedule 4 Adjustments'!F104</f>
        <v>0</v>
      </c>
      <c r="E105" s="410">
        <v>2.2799999999999998</v>
      </c>
      <c r="F105" s="47">
        <f t="shared" si="8"/>
        <v>0</v>
      </c>
      <c r="G105" s="21">
        <f t="shared" si="5"/>
        <v>359.2200245744757</v>
      </c>
      <c r="H105" s="150">
        <f>'Schedule 4 Adjustments'!N104</f>
        <v>0</v>
      </c>
      <c r="I105" s="410">
        <v>2.2799999999999998</v>
      </c>
      <c r="J105" s="47">
        <f t="shared" si="7"/>
        <v>0</v>
      </c>
      <c r="K105" s="21">
        <f t="shared" si="6"/>
        <v>359.2200245744757</v>
      </c>
    </row>
    <row r="106" spans="1:11" s="22" customFormat="1" x14ac:dyDescent="0.35">
      <c r="A106" s="19">
        <v>93</v>
      </c>
      <c r="B106" s="19">
        <v>99349</v>
      </c>
      <c r="C106" s="20" t="s">
        <v>377</v>
      </c>
      <c r="D106" s="116">
        <f>'Schedule 4 Adjustments'!F105</f>
        <v>0</v>
      </c>
      <c r="E106" s="410">
        <v>3.79</v>
      </c>
      <c r="F106" s="47">
        <f t="shared" si="8"/>
        <v>0</v>
      </c>
      <c r="G106" s="21">
        <f t="shared" si="5"/>
        <v>597.12451453388735</v>
      </c>
      <c r="H106" s="150">
        <f>'Schedule 4 Adjustments'!N105</f>
        <v>0</v>
      </c>
      <c r="I106" s="410">
        <v>3.79</v>
      </c>
      <c r="J106" s="47">
        <f t="shared" si="7"/>
        <v>0</v>
      </c>
      <c r="K106" s="21">
        <f t="shared" si="6"/>
        <v>597.12451453388735</v>
      </c>
    </row>
    <row r="107" spans="1:11" s="22" customFormat="1" x14ac:dyDescent="0.35">
      <c r="A107" s="19">
        <v>94</v>
      </c>
      <c r="B107" s="19">
        <v>99350</v>
      </c>
      <c r="C107" s="20" t="s">
        <v>378</v>
      </c>
      <c r="D107" s="116">
        <f>'Schedule 4 Adjustments'!F106</f>
        <v>0</v>
      </c>
      <c r="E107" s="410">
        <v>5.52</v>
      </c>
      <c r="F107" s="47">
        <f t="shared" si="8"/>
        <v>0</v>
      </c>
      <c r="G107" s="21">
        <f t="shared" si="5"/>
        <v>869.69058581188858</v>
      </c>
      <c r="H107" s="150">
        <f>'Schedule 4 Adjustments'!N106</f>
        <v>0</v>
      </c>
      <c r="I107" s="410">
        <v>5.52</v>
      </c>
      <c r="J107" s="47">
        <f t="shared" si="7"/>
        <v>0</v>
      </c>
      <c r="K107" s="21">
        <f t="shared" si="6"/>
        <v>869.69058581188858</v>
      </c>
    </row>
    <row r="108" spans="1:11" s="22" customFormat="1" x14ac:dyDescent="0.35">
      <c r="A108" s="19">
        <v>95</v>
      </c>
      <c r="B108" s="19">
        <v>99366</v>
      </c>
      <c r="C108" s="20" t="s">
        <v>379</v>
      </c>
      <c r="D108" s="116">
        <f>'Schedule 4 Adjustments'!F107</f>
        <v>0</v>
      </c>
      <c r="E108" s="410">
        <v>1.22</v>
      </c>
      <c r="F108" s="47">
        <f t="shared" si="8"/>
        <v>0</v>
      </c>
      <c r="G108" s="21">
        <f t="shared" si="5"/>
        <v>192.21422367581596</v>
      </c>
      <c r="H108" s="150">
        <f>'Schedule 4 Adjustments'!N107</f>
        <v>0</v>
      </c>
      <c r="I108" s="410">
        <v>1.19</v>
      </c>
      <c r="J108" s="47">
        <f t="shared" si="7"/>
        <v>0</v>
      </c>
      <c r="K108" s="21">
        <f t="shared" si="6"/>
        <v>187.48764440509919</v>
      </c>
    </row>
    <row r="109" spans="1:11" s="22" customFormat="1" x14ac:dyDescent="0.35">
      <c r="A109" s="19">
        <v>96</v>
      </c>
      <c r="B109" s="19">
        <v>99367</v>
      </c>
      <c r="C109" s="20" t="s">
        <v>380</v>
      </c>
      <c r="D109" s="116">
        <f>'Schedule 4 Adjustments'!F108</f>
        <v>0</v>
      </c>
      <c r="E109" s="410">
        <v>1.6</v>
      </c>
      <c r="F109" s="47">
        <f t="shared" si="8"/>
        <v>0</v>
      </c>
      <c r="G109" s="21">
        <f t="shared" si="5"/>
        <v>252.08422777156193</v>
      </c>
      <c r="H109" s="150">
        <f>'Schedule 4 Adjustments'!N108</f>
        <v>0</v>
      </c>
      <c r="I109" s="410">
        <v>1.6</v>
      </c>
      <c r="J109" s="47">
        <f t="shared" si="7"/>
        <v>0</v>
      </c>
      <c r="K109" s="21">
        <f t="shared" si="6"/>
        <v>252.08422777156193</v>
      </c>
    </row>
    <row r="110" spans="1:11" s="22" customFormat="1" x14ac:dyDescent="0.35">
      <c r="A110" s="19">
        <v>97</v>
      </c>
      <c r="B110" s="19">
        <v>99368</v>
      </c>
      <c r="C110" s="20" t="s">
        <v>381</v>
      </c>
      <c r="D110" s="116">
        <f>'Schedule 4 Adjustments'!F109</f>
        <v>0</v>
      </c>
      <c r="E110" s="410">
        <v>1.04</v>
      </c>
      <c r="F110" s="47">
        <f t="shared" si="8"/>
        <v>0</v>
      </c>
      <c r="G110" s="21">
        <f t="shared" si="5"/>
        <v>163.85474805151526</v>
      </c>
      <c r="H110" s="150">
        <f>'Schedule 4 Adjustments'!N109</f>
        <v>0</v>
      </c>
      <c r="I110" s="410">
        <v>1.04</v>
      </c>
      <c r="J110" s="47">
        <f t="shared" si="7"/>
        <v>0</v>
      </c>
      <c r="K110" s="21">
        <f t="shared" si="6"/>
        <v>163.85474805151526</v>
      </c>
    </row>
    <row r="111" spans="1:11" s="22" customFormat="1" x14ac:dyDescent="0.35">
      <c r="A111" s="19">
        <v>98</v>
      </c>
      <c r="B111" s="19">
        <v>99441</v>
      </c>
      <c r="C111" s="20" t="s">
        <v>382</v>
      </c>
      <c r="D111" s="116">
        <f>'Schedule 4 Adjustments'!F110</f>
        <v>0</v>
      </c>
      <c r="E111" s="410">
        <v>1.69</v>
      </c>
      <c r="F111" s="47">
        <f t="shared" si="8"/>
        <v>0</v>
      </c>
      <c r="G111" s="21">
        <f t="shared" si="5"/>
        <v>266.26396558371226</v>
      </c>
      <c r="H111" s="150">
        <f>'Schedule 4 Adjustments'!N110</f>
        <v>0</v>
      </c>
      <c r="I111" s="410">
        <v>1.04</v>
      </c>
      <c r="J111" s="47">
        <f t="shared" si="7"/>
        <v>0</v>
      </c>
      <c r="K111" s="21">
        <f t="shared" si="6"/>
        <v>163.85474805151526</v>
      </c>
    </row>
    <row r="112" spans="1:11" s="22" customFormat="1" x14ac:dyDescent="0.35">
      <c r="A112" s="19">
        <v>99</v>
      </c>
      <c r="B112" s="19">
        <v>99442</v>
      </c>
      <c r="C112" s="20" t="s">
        <v>383</v>
      </c>
      <c r="D112" s="116">
        <f>'Schedule 4 Adjustments'!F111</f>
        <v>0</v>
      </c>
      <c r="E112" s="410">
        <v>2.72</v>
      </c>
      <c r="F112" s="47">
        <f t="shared" si="8"/>
        <v>0</v>
      </c>
      <c r="G112" s="21">
        <f t="shared" si="5"/>
        <v>428.54318721165532</v>
      </c>
      <c r="H112" s="150">
        <f>'Schedule 4 Adjustments'!N111</f>
        <v>0</v>
      </c>
      <c r="I112" s="410">
        <v>1.95</v>
      </c>
      <c r="J112" s="47">
        <f t="shared" si="7"/>
        <v>0</v>
      </c>
      <c r="K112" s="21">
        <f t="shared" si="6"/>
        <v>307.2276525965911</v>
      </c>
    </row>
    <row r="113" spans="1:11" s="22" customFormat="1" x14ac:dyDescent="0.35">
      <c r="A113" s="19">
        <v>100</v>
      </c>
      <c r="B113" s="19">
        <v>99443</v>
      </c>
      <c r="C113" s="20" t="s">
        <v>384</v>
      </c>
      <c r="D113" s="116">
        <f>'Schedule 4 Adjustments'!F112</f>
        <v>0</v>
      </c>
      <c r="E113" s="410">
        <v>3.85</v>
      </c>
      <c r="F113" s="47">
        <f t="shared" si="8"/>
        <v>0</v>
      </c>
      <c r="G113" s="21">
        <f t="shared" si="5"/>
        <v>606.57767307532094</v>
      </c>
      <c r="H113" s="150">
        <f>'Schedule 4 Adjustments'!N112</f>
        <v>2</v>
      </c>
      <c r="I113" s="410">
        <v>2.89</v>
      </c>
      <c r="J113" s="47">
        <f t="shared" si="7"/>
        <v>5.78</v>
      </c>
      <c r="K113" s="21">
        <f t="shared" si="6"/>
        <v>455.32713641238377</v>
      </c>
    </row>
    <row r="114" spans="1:11" s="22" customFormat="1" ht="34.5" customHeight="1" x14ac:dyDescent="0.35">
      <c r="A114" s="19">
        <v>101</v>
      </c>
      <c r="B114" s="19" t="s">
        <v>42</v>
      </c>
      <c r="C114" s="20" t="s">
        <v>385</v>
      </c>
      <c r="D114" s="116">
        <f>'Schedule 4 Adjustments'!F113</f>
        <v>0</v>
      </c>
      <c r="E114" s="410">
        <v>1.27</v>
      </c>
      <c r="F114" s="47">
        <f t="shared" si="8"/>
        <v>0</v>
      </c>
      <c r="G114" s="21">
        <f t="shared" si="5"/>
        <v>200.09185579367727</v>
      </c>
      <c r="H114" s="150">
        <f>'Schedule 4 Adjustments'!N113</f>
        <v>0</v>
      </c>
      <c r="I114" s="410">
        <v>1.1100000000000001</v>
      </c>
      <c r="J114" s="47">
        <f t="shared" si="7"/>
        <v>0</v>
      </c>
      <c r="K114" s="21">
        <f t="shared" si="6"/>
        <v>174.88343301652111</v>
      </c>
    </row>
    <row r="115" spans="1:11" s="22" customFormat="1" ht="29" x14ac:dyDescent="0.35">
      <c r="A115" s="19">
        <v>102</v>
      </c>
      <c r="B115" s="19" t="s">
        <v>43</v>
      </c>
      <c r="C115" s="20" t="s">
        <v>386</v>
      </c>
      <c r="D115" s="116">
        <f>'Schedule 4 Adjustments'!F114</f>
        <v>0</v>
      </c>
      <c r="E115" s="410">
        <v>0.75</v>
      </c>
      <c r="F115" s="47">
        <f t="shared" si="8"/>
        <v>0</v>
      </c>
      <c r="G115" s="21">
        <f t="shared" si="5"/>
        <v>118.16448176791965</v>
      </c>
      <c r="H115" s="150">
        <f>'Schedule 4 Adjustments'!N114</f>
        <v>0</v>
      </c>
      <c r="I115" s="410">
        <v>0.37</v>
      </c>
      <c r="J115" s="47">
        <f t="shared" si="7"/>
        <v>0</v>
      </c>
      <c r="K115" s="21">
        <f t="shared" si="6"/>
        <v>58.294477672173699</v>
      </c>
    </row>
    <row r="116" spans="1:11" s="22" customFormat="1" x14ac:dyDescent="0.35">
      <c r="A116" s="19">
        <v>103</v>
      </c>
      <c r="B116" s="19" t="s">
        <v>44</v>
      </c>
      <c r="C116" s="20" t="s">
        <v>129</v>
      </c>
      <c r="D116" s="116">
        <f>'Schedule 4 Adjustments'!F115</f>
        <v>0</v>
      </c>
      <c r="E116" s="410">
        <v>5.17</v>
      </c>
      <c r="F116" s="47">
        <f t="shared" si="8"/>
        <v>0</v>
      </c>
      <c r="G116" s="21">
        <f t="shared" si="5"/>
        <v>814.54716098685947</v>
      </c>
      <c r="H116" s="150">
        <f>'Schedule 4 Adjustments'!N115</f>
        <v>0</v>
      </c>
      <c r="I116" s="410">
        <v>4.43</v>
      </c>
      <c r="J116" s="47">
        <f t="shared" si="7"/>
        <v>0</v>
      </c>
      <c r="K116" s="21">
        <f t="shared" si="6"/>
        <v>697.9582056425121</v>
      </c>
    </row>
    <row r="117" spans="1:11" s="22" customFormat="1" x14ac:dyDescent="0.35">
      <c r="A117" s="19">
        <v>104</v>
      </c>
      <c r="B117" s="19" t="s">
        <v>45</v>
      </c>
      <c r="C117" s="20" t="s">
        <v>387</v>
      </c>
      <c r="D117" s="116">
        <f>'Schedule 4 Adjustments'!F116</f>
        <v>0</v>
      </c>
      <c r="E117" s="410">
        <v>0.72</v>
      </c>
      <c r="F117" s="47">
        <f t="shared" si="8"/>
        <v>0</v>
      </c>
      <c r="G117" s="21">
        <f t="shared" si="5"/>
        <v>113.43790249720287</v>
      </c>
      <c r="H117" s="150">
        <f>'Schedule 4 Adjustments'!N116</f>
        <v>0</v>
      </c>
      <c r="I117" s="410">
        <v>0.66</v>
      </c>
      <c r="J117" s="47">
        <f t="shared" si="7"/>
        <v>0</v>
      </c>
      <c r="K117" s="21">
        <f t="shared" si="6"/>
        <v>103.9847439557693</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0</v>
      </c>
      <c r="E119" s="410">
        <v>1.18</v>
      </c>
      <c r="F119" s="47">
        <f t="shared" si="8"/>
        <v>0</v>
      </c>
      <c r="G119" s="21">
        <f t="shared" si="5"/>
        <v>185.9121179815269</v>
      </c>
      <c r="H119" s="150">
        <f>'Schedule 4 Adjustments'!N118</f>
        <v>0</v>
      </c>
      <c r="I119" s="410">
        <v>1.03</v>
      </c>
      <c r="J119" s="47">
        <f t="shared" si="7"/>
        <v>0</v>
      </c>
      <c r="K119" s="21">
        <f t="shared" si="6"/>
        <v>162.279221627943</v>
      </c>
    </row>
    <row r="120" spans="1:11" s="22" customFormat="1" x14ac:dyDescent="0.35">
      <c r="A120" s="19">
        <v>107</v>
      </c>
      <c r="B120" s="19" t="s">
        <v>47</v>
      </c>
      <c r="C120" s="20" t="s">
        <v>131</v>
      </c>
      <c r="D120" s="116">
        <f>'Schedule 4 Adjustments'!F119</f>
        <v>0</v>
      </c>
      <c r="E120" s="410">
        <v>0.83</v>
      </c>
      <c r="F120" s="47">
        <f t="shared" si="8"/>
        <v>0</v>
      </c>
      <c r="G120" s="21">
        <f t="shared" si="5"/>
        <v>130.76869315649773</v>
      </c>
      <c r="H120" s="150">
        <f>'Schedule 4 Adjustments'!N119</f>
        <v>0</v>
      </c>
      <c r="I120" s="410">
        <v>0.72</v>
      </c>
      <c r="J120" s="47">
        <f t="shared" si="7"/>
        <v>0</v>
      </c>
      <c r="K120" s="21">
        <f t="shared" si="6"/>
        <v>113.43790249720287</v>
      </c>
    </row>
    <row r="121" spans="1:11" s="22" customFormat="1" x14ac:dyDescent="0.35">
      <c r="A121" s="19">
        <v>108</v>
      </c>
      <c r="B121" s="19" t="s">
        <v>48</v>
      </c>
      <c r="C121" s="20" t="s">
        <v>132</v>
      </c>
      <c r="D121" s="116">
        <f>'Schedule 4 Adjustments'!F120</f>
        <v>0</v>
      </c>
      <c r="E121" s="410">
        <v>0.64</v>
      </c>
      <c r="F121" s="47">
        <f t="shared" si="8"/>
        <v>0</v>
      </c>
      <c r="G121" s="21">
        <f t="shared" si="5"/>
        <v>100.83369110862478</v>
      </c>
      <c r="H121" s="150">
        <f>'Schedule 4 Adjustments'!N120</f>
        <v>0</v>
      </c>
      <c r="I121" s="410">
        <v>0.6</v>
      </c>
      <c r="J121" s="47">
        <f t="shared" si="7"/>
        <v>0</v>
      </c>
      <c r="K121" s="21">
        <f t="shared" si="6"/>
        <v>94.531585414335723</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415.93897582307721</v>
      </c>
      <c r="H125" s="150">
        <f>'Schedule 4 Adjustments'!N124</f>
        <v>0</v>
      </c>
      <c r="I125" s="410">
        <v>2.64</v>
      </c>
      <c r="J125" s="47">
        <f t="shared" si="7"/>
        <v>0</v>
      </c>
      <c r="K125" s="21">
        <f t="shared" si="6"/>
        <v>415.93897582307721</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160.70369520437072</v>
      </c>
      <c r="H129" s="150">
        <f>'Schedule 4 Adjustments'!N128</f>
        <v>0</v>
      </c>
      <c r="I129" s="410">
        <v>0.94</v>
      </c>
      <c r="J129" s="47">
        <f t="shared" si="7"/>
        <v>0</v>
      </c>
      <c r="K129" s="21">
        <f t="shared" si="6"/>
        <v>148.09948381579264</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18.906317082867144</v>
      </c>
      <c r="H131" s="150">
        <f>'Schedule 4 Adjustments'!N130</f>
        <v>0</v>
      </c>
      <c r="I131" s="410">
        <v>0.09</v>
      </c>
      <c r="J131" s="47">
        <f t="shared" si="7"/>
        <v>0</v>
      </c>
      <c r="K131" s="21">
        <f t="shared" si="6"/>
        <v>14.179737812150359</v>
      </c>
    </row>
    <row r="132" spans="1:11" s="22" customFormat="1" x14ac:dyDescent="0.35">
      <c r="A132" s="19">
        <v>119</v>
      </c>
      <c r="B132" s="19" t="s">
        <v>56</v>
      </c>
      <c r="C132" s="20" t="s">
        <v>393</v>
      </c>
      <c r="D132" s="116">
        <f>'Schedule 4 Adjustments'!F131</f>
        <v>1775</v>
      </c>
      <c r="E132" s="410">
        <v>0.59</v>
      </c>
      <c r="F132" s="47">
        <f t="shared" si="8"/>
        <v>1047.25</v>
      </c>
      <c r="G132" s="21">
        <f t="shared" si="5"/>
        <v>92.956058990763452</v>
      </c>
      <c r="H132" s="150">
        <f>'Schedule 4 Adjustments'!N131</f>
        <v>0</v>
      </c>
      <c r="I132" s="410">
        <v>0.55000000000000004</v>
      </c>
      <c r="J132" s="47">
        <f t="shared" si="7"/>
        <v>0</v>
      </c>
      <c r="K132" s="21">
        <f t="shared" si="6"/>
        <v>86.653953296474413</v>
      </c>
    </row>
    <row r="133" spans="1:11" s="22" customFormat="1" ht="29" x14ac:dyDescent="0.35">
      <c r="A133" s="19">
        <v>120</v>
      </c>
      <c r="B133" s="19" t="s">
        <v>57</v>
      </c>
      <c r="C133" s="20" t="s">
        <v>136</v>
      </c>
      <c r="D133" s="116">
        <f>'Schedule 4 Adjustments'!F132</f>
        <v>0</v>
      </c>
      <c r="E133" s="410">
        <v>0.75</v>
      </c>
      <c r="F133" s="47">
        <f t="shared" si="8"/>
        <v>0</v>
      </c>
      <c r="G133" s="21">
        <f t="shared" si="5"/>
        <v>118.16448176791965</v>
      </c>
      <c r="H133" s="150">
        <f>'Schedule 4 Adjustments'!N132</f>
        <v>0</v>
      </c>
      <c r="I133" s="410">
        <v>0.37</v>
      </c>
      <c r="J133" s="47">
        <f t="shared" si="7"/>
        <v>0</v>
      </c>
      <c r="K133" s="21">
        <f t="shared" si="6"/>
        <v>58.294477672173699</v>
      </c>
    </row>
    <row r="134" spans="1:11" s="22" customFormat="1" ht="29" x14ac:dyDescent="0.35">
      <c r="A134" s="19">
        <v>121</v>
      </c>
      <c r="B134" s="19" t="s">
        <v>58</v>
      </c>
      <c r="C134" s="20" t="s">
        <v>137</v>
      </c>
      <c r="D134" s="116">
        <f>'Schedule 4 Adjustments'!F133</f>
        <v>0</v>
      </c>
      <c r="E134" s="410">
        <v>0.75</v>
      </c>
      <c r="F134" s="47">
        <f t="shared" si="8"/>
        <v>0</v>
      </c>
      <c r="G134" s="21">
        <f t="shared" si="5"/>
        <v>118.16448176791965</v>
      </c>
      <c r="H134" s="150">
        <f>'Schedule 4 Adjustments'!N133</f>
        <v>0</v>
      </c>
      <c r="I134" s="410">
        <v>0.37</v>
      </c>
      <c r="J134" s="47">
        <f t="shared" si="7"/>
        <v>0</v>
      </c>
      <c r="K134" s="21">
        <f t="shared" si="6"/>
        <v>58.294477672173699</v>
      </c>
    </row>
    <row r="135" spans="1:11" s="22" customFormat="1" ht="43.5" x14ac:dyDescent="0.35">
      <c r="A135" s="19">
        <v>122</v>
      </c>
      <c r="B135" s="19" t="s">
        <v>15</v>
      </c>
      <c r="C135" s="20" t="s">
        <v>18</v>
      </c>
      <c r="D135" s="116">
        <f>'Schedule 4 Adjustments'!F134</f>
        <v>2</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10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0</v>
      </c>
      <c r="E139" s="410">
        <v>3.27</v>
      </c>
      <c r="F139" s="47">
        <f t="shared" si="8"/>
        <v>0</v>
      </c>
      <c r="G139" s="21">
        <f t="shared" si="5"/>
        <v>515.19714050812968</v>
      </c>
      <c r="H139" s="150">
        <f>'Schedule 4 Adjustments'!N138</f>
        <v>0</v>
      </c>
      <c r="I139" s="410">
        <v>2.17</v>
      </c>
      <c r="J139" s="47">
        <f t="shared" si="7"/>
        <v>0</v>
      </c>
      <c r="K139" s="21">
        <f t="shared" si="6"/>
        <v>341.88923391518085</v>
      </c>
    </row>
    <row r="140" spans="1:11" s="22" customFormat="1" x14ac:dyDescent="0.35">
      <c r="A140" s="19">
        <v>127</v>
      </c>
      <c r="B140" s="19" t="s">
        <v>60</v>
      </c>
      <c r="C140" s="20" t="s">
        <v>394</v>
      </c>
      <c r="D140" s="116">
        <f>'Schedule 4 Adjustments'!F139</f>
        <v>1</v>
      </c>
      <c r="E140" s="410">
        <v>1.1499999999999999</v>
      </c>
      <c r="F140" s="47">
        <f t="shared" si="8"/>
        <v>1.1499999999999999</v>
      </c>
      <c r="G140" s="21">
        <f t="shared" si="5"/>
        <v>181.18553871081014</v>
      </c>
      <c r="H140" s="150">
        <f>'Schedule 4 Adjustments'!N139</f>
        <v>0</v>
      </c>
      <c r="I140" s="410">
        <v>0.7</v>
      </c>
      <c r="J140" s="47">
        <f t="shared" si="7"/>
        <v>0</v>
      </c>
      <c r="K140" s="21">
        <f t="shared" si="6"/>
        <v>110.28684965005834</v>
      </c>
    </row>
    <row r="141" spans="1:11" s="22" customFormat="1" x14ac:dyDescent="0.35">
      <c r="A141" s="19">
        <v>128</v>
      </c>
      <c r="B141" s="19" t="s">
        <v>61</v>
      </c>
      <c r="C141" s="20" t="s">
        <v>141</v>
      </c>
      <c r="D141" s="116">
        <f>'Schedule 4 Adjustments'!F140</f>
        <v>0</v>
      </c>
      <c r="E141" s="410">
        <v>0.44</v>
      </c>
      <c r="F141" s="47">
        <f t="shared" si="8"/>
        <v>0</v>
      </c>
      <c r="G141" s="21">
        <f t="shared" si="5"/>
        <v>69.323162637179536</v>
      </c>
      <c r="H141" s="150">
        <f>'Schedule 4 Adjustments'!N140</f>
        <v>0</v>
      </c>
      <c r="I141" s="410">
        <v>0.44</v>
      </c>
      <c r="J141" s="47">
        <f t="shared" si="7"/>
        <v>0</v>
      </c>
      <c r="K141" s="21">
        <f t="shared" si="6"/>
        <v>69.323162637179536</v>
      </c>
    </row>
    <row r="142" spans="1:11" s="22" customFormat="1" x14ac:dyDescent="0.35">
      <c r="A142" s="19">
        <v>129</v>
      </c>
      <c r="B142" s="19" t="s">
        <v>62</v>
      </c>
      <c r="C142" s="20" t="s">
        <v>396</v>
      </c>
      <c r="D142" s="116">
        <f>'Schedule 4 Adjustments'!F141</f>
        <v>0</v>
      </c>
      <c r="E142" s="410">
        <v>0.92</v>
      </c>
      <c r="F142" s="47">
        <f t="shared" si="8"/>
        <v>0</v>
      </c>
      <c r="G142" s="21">
        <f t="shared" si="5"/>
        <v>144.94843096864813</v>
      </c>
      <c r="H142" s="150">
        <f>'Schedule 4 Adjustments'!N141</f>
        <v>0</v>
      </c>
      <c r="I142" s="410">
        <v>0.92</v>
      </c>
      <c r="J142" s="47">
        <f t="shared" si="7"/>
        <v>0</v>
      </c>
      <c r="K142" s="21">
        <f t="shared" si="6"/>
        <v>144.94843096864813</v>
      </c>
    </row>
    <row r="143" spans="1:11" s="22" customFormat="1" x14ac:dyDescent="0.35">
      <c r="A143" s="19">
        <v>130</v>
      </c>
      <c r="B143" s="19" t="s">
        <v>63</v>
      </c>
      <c r="C143" s="20" t="s">
        <v>397</v>
      </c>
      <c r="D143" s="116">
        <f>'Schedule 4 Adjustments'!F142</f>
        <v>0</v>
      </c>
      <c r="E143" s="410">
        <v>5.28</v>
      </c>
      <c r="F143" s="47">
        <f t="shared" si="8"/>
        <v>0</v>
      </c>
      <c r="G143" s="21">
        <f t="shared" si="5"/>
        <v>831.87795164615443</v>
      </c>
      <c r="H143" s="150">
        <f>'Schedule 4 Adjustments'!N142</f>
        <v>0</v>
      </c>
      <c r="I143" s="410">
        <v>5.28</v>
      </c>
      <c r="J143" s="47">
        <f t="shared" si="7"/>
        <v>0</v>
      </c>
      <c r="K143" s="21">
        <f t="shared" si="6"/>
        <v>831.87795164615443</v>
      </c>
    </row>
    <row r="144" spans="1:11" s="22" customFormat="1" x14ac:dyDescent="0.35">
      <c r="A144" s="19">
        <v>131</v>
      </c>
      <c r="B144" s="19" t="s">
        <v>64</v>
      </c>
      <c r="C144" s="20" t="s">
        <v>399</v>
      </c>
      <c r="D144" s="116">
        <f>'Schedule 4 Adjustments'!F143</f>
        <v>0</v>
      </c>
      <c r="E144" s="410">
        <v>0.44</v>
      </c>
      <c r="F144" s="47">
        <f t="shared" si="8"/>
        <v>0</v>
      </c>
      <c r="G144" s="21">
        <f t="shared" si="5"/>
        <v>69.323162637179536</v>
      </c>
      <c r="H144" s="150">
        <f>'Schedule 4 Adjustments'!N143</f>
        <v>0</v>
      </c>
      <c r="I144" s="410">
        <v>0.44</v>
      </c>
      <c r="J144" s="47">
        <f t="shared" si="7"/>
        <v>0</v>
      </c>
      <c r="K144" s="21">
        <f t="shared" si="6"/>
        <v>69.323162637179536</v>
      </c>
    </row>
    <row r="145" spans="1:11" s="22" customFormat="1" x14ac:dyDescent="0.35">
      <c r="A145" s="19">
        <v>132</v>
      </c>
      <c r="B145" s="19" t="s">
        <v>65</v>
      </c>
      <c r="C145" s="20" t="s">
        <v>398</v>
      </c>
      <c r="D145" s="116">
        <f>'Schedule 4 Adjustments'!F144</f>
        <v>0</v>
      </c>
      <c r="E145" s="410">
        <v>5.28</v>
      </c>
      <c r="F145" s="47">
        <f t="shared" si="8"/>
        <v>0</v>
      </c>
      <c r="G145" s="21">
        <f t="shared" si="5"/>
        <v>831.87795164615443</v>
      </c>
      <c r="H145" s="150">
        <f>'Schedule 4 Adjustments'!N144</f>
        <v>0</v>
      </c>
      <c r="I145" s="410">
        <v>5.28</v>
      </c>
      <c r="J145" s="47">
        <f t="shared" si="7"/>
        <v>0</v>
      </c>
      <c r="K145" s="21">
        <f t="shared" si="6"/>
        <v>831.87795164615443</v>
      </c>
    </row>
    <row r="146" spans="1:11" s="22" customFormat="1" x14ac:dyDescent="0.35">
      <c r="A146" s="19">
        <v>133</v>
      </c>
      <c r="B146" s="19" t="s">
        <v>66</v>
      </c>
      <c r="C146" s="20" t="s">
        <v>142</v>
      </c>
      <c r="D146" s="116">
        <f>'Schedule 4 Adjustments'!F145</f>
        <v>0</v>
      </c>
      <c r="E146" s="410">
        <v>0.54</v>
      </c>
      <c r="F146" s="47">
        <f t="shared" si="8"/>
        <v>0</v>
      </c>
      <c r="G146" s="21">
        <f t="shared" si="5"/>
        <v>85.078426872902156</v>
      </c>
      <c r="H146" s="150">
        <f>'Schedule 4 Adjustments'!N145</f>
        <v>0</v>
      </c>
      <c r="I146" s="410">
        <v>0.54</v>
      </c>
      <c r="J146" s="47">
        <f t="shared" si="7"/>
        <v>0</v>
      </c>
      <c r="K146" s="21">
        <f t="shared" si="6"/>
        <v>85.078426872902156</v>
      </c>
    </row>
    <row r="147" spans="1:11" s="22" customFormat="1" x14ac:dyDescent="0.35">
      <c r="A147" s="19">
        <v>134</v>
      </c>
      <c r="B147" s="19" t="s">
        <v>67</v>
      </c>
      <c r="C147" s="20" t="s">
        <v>400</v>
      </c>
      <c r="D147" s="116">
        <f>'Schedule 4 Adjustments'!F146</f>
        <v>539</v>
      </c>
      <c r="E147" s="410">
        <v>1.29</v>
      </c>
      <c r="F147" s="47">
        <f t="shared" si="8"/>
        <v>695.31000000000006</v>
      </c>
      <c r="G147" s="21">
        <f t="shared" ref="G147:G197" si="9">E147*$F$13</f>
        <v>203.24290864082181</v>
      </c>
      <c r="H147" s="150">
        <f>'Schedule 4 Adjustments'!N146</f>
        <v>0</v>
      </c>
      <c r="I147" s="410">
        <v>1.1299999999999999</v>
      </c>
      <c r="J147" s="47">
        <f t="shared" si="7"/>
        <v>0</v>
      </c>
      <c r="K147" s="21">
        <f t="shared" ref="K147:K197" si="10">I147*$F$13</f>
        <v>178.03448586366559</v>
      </c>
    </row>
    <row r="148" spans="1:11" s="22" customFormat="1" x14ac:dyDescent="0.35">
      <c r="A148" s="19">
        <v>135</v>
      </c>
      <c r="B148" s="19" t="s">
        <v>68</v>
      </c>
      <c r="C148" s="20" t="s">
        <v>401</v>
      </c>
      <c r="D148" s="116">
        <f>'Schedule 4 Adjustments'!F147</f>
        <v>0</v>
      </c>
      <c r="E148" s="410">
        <v>5.28</v>
      </c>
      <c r="F148" s="47">
        <f t="shared" si="8"/>
        <v>0</v>
      </c>
      <c r="G148" s="21">
        <f t="shared" si="9"/>
        <v>831.87795164615443</v>
      </c>
      <c r="H148" s="150">
        <f>'Schedule 4 Adjustments'!N147</f>
        <v>0</v>
      </c>
      <c r="I148" s="410">
        <v>5.28</v>
      </c>
      <c r="J148" s="47">
        <f t="shared" ref="J148:J197" si="11">H148*I148</f>
        <v>0</v>
      </c>
      <c r="K148" s="21">
        <f t="shared" si="10"/>
        <v>831.87795164615443</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22.057369930011671</v>
      </c>
      <c r="H149" s="150">
        <f>'Schedule 4 Adjustments'!N148</f>
        <v>0</v>
      </c>
      <c r="I149" s="410">
        <v>0.12</v>
      </c>
      <c r="J149" s="47">
        <f t="shared" si="11"/>
        <v>0</v>
      </c>
      <c r="K149" s="21">
        <f t="shared" si="10"/>
        <v>18.906317082867144</v>
      </c>
    </row>
    <row r="150" spans="1:11" s="22" customFormat="1" x14ac:dyDescent="0.35">
      <c r="A150" s="19">
        <v>137</v>
      </c>
      <c r="B150" s="19" t="s">
        <v>70</v>
      </c>
      <c r="C150" s="20" t="s">
        <v>403</v>
      </c>
      <c r="D150" s="116">
        <f>'Schedule 4 Adjustments'!F149</f>
        <v>0</v>
      </c>
      <c r="E150" s="410">
        <v>3.08</v>
      </c>
      <c r="F150" s="47">
        <f t="shared" si="12"/>
        <v>0</v>
      </c>
      <c r="G150" s="21">
        <f t="shared" si="9"/>
        <v>485.26213846025672</v>
      </c>
      <c r="H150" s="150">
        <f>'Schedule 4 Adjustments'!N149</f>
        <v>0</v>
      </c>
      <c r="I150" s="410">
        <v>2.6399999999999997</v>
      </c>
      <c r="J150" s="47">
        <f t="shared" si="11"/>
        <v>0</v>
      </c>
      <c r="K150" s="21">
        <f t="shared" si="10"/>
        <v>415.93897582307716</v>
      </c>
    </row>
    <row r="151" spans="1:11" s="22" customFormat="1" x14ac:dyDescent="0.35">
      <c r="A151" s="19">
        <v>138</v>
      </c>
      <c r="B151" s="19" t="s">
        <v>71</v>
      </c>
      <c r="C151" s="20" t="s">
        <v>404</v>
      </c>
      <c r="D151" s="116">
        <f>'Schedule 4 Adjustments'!F150</f>
        <v>0</v>
      </c>
      <c r="E151" s="410">
        <v>5.28</v>
      </c>
      <c r="F151" s="47">
        <f t="shared" si="12"/>
        <v>0</v>
      </c>
      <c r="G151" s="21">
        <f t="shared" si="9"/>
        <v>831.87795164615443</v>
      </c>
      <c r="H151" s="150">
        <f>'Schedule 4 Adjustments'!N150</f>
        <v>0</v>
      </c>
      <c r="I151" s="410">
        <v>5.28</v>
      </c>
      <c r="J151" s="47">
        <f t="shared" si="11"/>
        <v>0</v>
      </c>
      <c r="K151" s="21">
        <f t="shared" si="10"/>
        <v>831.87795164615443</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18.906317082867144</v>
      </c>
      <c r="H152" s="150">
        <f>'Schedule 4 Adjustments'!N151</f>
        <v>0</v>
      </c>
      <c r="I152" s="410">
        <v>0.09</v>
      </c>
      <c r="J152" s="47">
        <f t="shared" ref="J152" si="15">H152*I152</f>
        <v>0</v>
      </c>
      <c r="K152" s="21">
        <f t="shared" ref="K152" si="16">I152*$F$13</f>
        <v>14.179737812150359</v>
      </c>
    </row>
    <row r="153" spans="1:11" s="22" customFormat="1" x14ac:dyDescent="0.35">
      <c r="A153" s="19">
        <v>140</v>
      </c>
      <c r="B153" s="19" t="s">
        <v>72</v>
      </c>
      <c r="C153" s="20" t="s">
        <v>405</v>
      </c>
      <c r="D153" s="116">
        <f>'Schedule 4 Adjustments'!F152</f>
        <v>0</v>
      </c>
      <c r="E153" s="410">
        <v>1.02</v>
      </c>
      <c r="F153" s="47">
        <f t="shared" si="12"/>
        <v>0</v>
      </c>
      <c r="G153" s="21">
        <f t="shared" si="9"/>
        <v>160.70369520437072</v>
      </c>
      <c r="H153" s="150">
        <f>'Schedule 4 Adjustments'!N152</f>
        <v>0</v>
      </c>
      <c r="I153" s="410">
        <v>0.94</v>
      </c>
      <c r="J153" s="47">
        <f t="shared" si="11"/>
        <v>0</v>
      </c>
      <c r="K153" s="21">
        <f t="shared" si="10"/>
        <v>148.09948381579264</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814.54716098685947</v>
      </c>
      <c r="H155" s="150">
        <f>'Schedule 4 Adjustments'!N154</f>
        <v>0</v>
      </c>
      <c r="I155" s="410">
        <v>4.43</v>
      </c>
      <c r="J155" s="47">
        <f t="shared" si="11"/>
        <v>0</v>
      </c>
      <c r="K155" s="21">
        <f t="shared" si="10"/>
        <v>697.9582056425121</v>
      </c>
    </row>
    <row r="156" spans="1:11" s="22" customFormat="1" x14ac:dyDescent="0.35">
      <c r="A156" s="19">
        <v>143</v>
      </c>
      <c r="B156" s="19" t="s">
        <v>74</v>
      </c>
      <c r="C156" s="20" t="s">
        <v>144</v>
      </c>
      <c r="D156" s="116">
        <f>'Schedule 4 Adjustments'!F155</f>
        <v>0</v>
      </c>
      <c r="E156" s="410">
        <v>1.7</v>
      </c>
      <c r="F156" s="47">
        <f t="shared" si="12"/>
        <v>0</v>
      </c>
      <c r="G156" s="21">
        <f t="shared" si="9"/>
        <v>267.83949200728455</v>
      </c>
      <c r="H156" s="150">
        <f>'Schedule 4 Adjustments'!N155</f>
        <v>0</v>
      </c>
      <c r="I156" s="410">
        <v>1.05</v>
      </c>
      <c r="J156" s="47">
        <f t="shared" si="11"/>
        <v>0</v>
      </c>
      <c r="K156" s="21">
        <f t="shared" si="10"/>
        <v>165.43027447508751</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212.69606718225538</v>
      </c>
      <c r="H158" s="150">
        <f>'Schedule 4 Adjustments'!N157</f>
        <v>0</v>
      </c>
      <c r="I158" s="410">
        <v>1.35</v>
      </c>
      <c r="J158" s="47">
        <f t="shared" si="11"/>
        <v>0</v>
      </c>
      <c r="K158" s="21">
        <f t="shared" si="10"/>
        <v>212.69606718225538</v>
      </c>
    </row>
    <row r="159" spans="1:11" s="22" customFormat="1" x14ac:dyDescent="0.35">
      <c r="A159" s="19">
        <v>146</v>
      </c>
      <c r="B159" s="19" t="s">
        <v>76</v>
      </c>
      <c r="C159" s="20" t="s">
        <v>146</v>
      </c>
      <c r="D159" s="116">
        <f>'Schedule 4 Adjustments'!F158</f>
        <v>0</v>
      </c>
      <c r="E159" s="410">
        <v>2.56</v>
      </c>
      <c r="F159" s="47">
        <f t="shared" si="12"/>
        <v>0</v>
      </c>
      <c r="G159" s="21">
        <f t="shared" si="9"/>
        <v>403.33476443449911</v>
      </c>
      <c r="H159" s="150">
        <f>'Schedule 4 Adjustments'!N158</f>
        <v>0</v>
      </c>
      <c r="I159" s="410">
        <v>2.14</v>
      </c>
      <c r="J159" s="47">
        <f t="shared" si="11"/>
        <v>0</v>
      </c>
      <c r="K159" s="21">
        <f t="shared" si="10"/>
        <v>337.16265464446411</v>
      </c>
    </row>
    <row r="160" spans="1:11" s="22" customFormat="1" x14ac:dyDescent="0.35">
      <c r="A160" s="19">
        <v>147</v>
      </c>
      <c r="B160" s="19" t="s">
        <v>77</v>
      </c>
      <c r="C160" s="20" t="s">
        <v>407</v>
      </c>
      <c r="D160" s="116">
        <f>'Schedule 4 Adjustments'!F159</f>
        <v>0</v>
      </c>
      <c r="E160" s="410">
        <v>1.6</v>
      </c>
      <c r="F160" s="47">
        <f t="shared" si="12"/>
        <v>0</v>
      </c>
      <c r="G160" s="21">
        <f t="shared" si="9"/>
        <v>252.08422777156193</v>
      </c>
      <c r="H160" s="150">
        <f>'Schedule 4 Adjustments'!N159</f>
        <v>0</v>
      </c>
      <c r="I160" s="410">
        <v>1.6</v>
      </c>
      <c r="J160" s="47">
        <f t="shared" si="11"/>
        <v>0</v>
      </c>
      <c r="K160" s="21">
        <f t="shared" si="10"/>
        <v>252.08422777156193</v>
      </c>
    </row>
    <row r="161" spans="1:11" s="22" customFormat="1" x14ac:dyDescent="0.35">
      <c r="A161" s="19">
        <v>148</v>
      </c>
      <c r="B161" s="19" t="s">
        <v>78</v>
      </c>
      <c r="C161" s="20" t="s">
        <v>408</v>
      </c>
      <c r="D161" s="116">
        <f>'Schedule 4 Adjustments'!F160</f>
        <v>0</v>
      </c>
      <c r="E161" s="410">
        <v>2.64</v>
      </c>
      <c r="F161" s="47">
        <f t="shared" si="12"/>
        <v>0</v>
      </c>
      <c r="G161" s="21">
        <f t="shared" si="9"/>
        <v>415.93897582307721</v>
      </c>
      <c r="H161" s="150">
        <f>'Schedule 4 Adjustments'!N160</f>
        <v>0</v>
      </c>
      <c r="I161" s="410">
        <v>2.64</v>
      </c>
      <c r="J161" s="47">
        <f t="shared" si="11"/>
        <v>0</v>
      </c>
      <c r="K161" s="21">
        <f t="shared" si="10"/>
        <v>415.93897582307721</v>
      </c>
    </row>
    <row r="162" spans="1:11" s="22" customFormat="1" x14ac:dyDescent="0.35">
      <c r="A162" s="19">
        <v>149</v>
      </c>
      <c r="B162" s="19" t="s">
        <v>79</v>
      </c>
      <c r="C162" s="20" t="s">
        <v>409</v>
      </c>
      <c r="D162" s="116">
        <f>'Schedule 4 Adjustments'!F161</f>
        <v>4599</v>
      </c>
      <c r="E162" s="410">
        <v>1.24</v>
      </c>
      <c r="F162" s="47">
        <f t="shared" si="12"/>
        <v>5702.76</v>
      </c>
      <c r="G162" s="21">
        <f t="shared" si="9"/>
        <v>195.3652765229605</v>
      </c>
      <c r="H162" s="150">
        <f>'Schedule 4 Adjustments'!N161</f>
        <v>0</v>
      </c>
      <c r="I162" s="410">
        <v>1.24</v>
      </c>
      <c r="J162" s="47">
        <f t="shared" si="11"/>
        <v>0</v>
      </c>
      <c r="K162" s="21">
        <f t="shared" si="10"/>
        <v>195.3652765229605</v>
      </c>
    </row>
    <row r="163" spans="1:11" s="22" customFormat="1" x14ac:dyDescent="0.35">
      <c r="A163" s="19">
        <v>150</v>
      </c>
      <c r="B163" s="19" t="s">
        <v>80</v>
      </c>
      <c r="C163" s="20" t="s">
        <v>410</v>
      </c>
      <c r="D163" s="116">
        <f>'Schedule 4 Adjustments'!F162</f>
        <v>0</v>
      </c>
      <c r="E163" s="410">
        <v>0.83</v>
      </c>
      <c r="F163" s="47">
        <f t="shared" si="12"/>
        <v>0</v>
      </c>
      <c r="G163" s="21">
        <f t="shared" si="9"/>
        <v>130.76869315649773</v>
      </c>
      <c r="H163" s="150">
        <f>'Schedule 4 Adjustments'!N162</f>
        <v>0</v>
      </c>
      <c r="I163" s="410">
        <v>0.72</v>
      </c>
      <c r="J163" s="47">
        <f t="shared" si="11"/>
        <v>0</v>
      </c>
      <c r="K163" s="21">
        <f t="shared" si="10"/>
        <v>113.43790249720287</v>
      </c>
    </row>
    <row r="164" spans="1:11" s="22" customFormat="1" x14ac:dyDescent="0.35">
      <c r="A164" s="19">
        <v>151</v>
      </c>
      <c r="B164" s="19" t="s">
        <v>81</v>
      </c>
      <c r="C164" s="20" t="s">
        <v>411</v>
      </c>
      <c r="D164" s="116">
        <f>'Schedule 4 Adjustments'!F163</f>
        <v>0</v>
      </c>
      <c r="E164" s="410">
        <v>0.92</v>
      </c>
      <c r="F164" s="47">
        <f t="shared" si="12"/>
        <v>0</v>
      </c>
      <c r="G164" s="21">
        <f t="shared" si="9"/>
        <v>144.94843096864813</v>
      </c>
      <c r="H164" s="150">
        <f>'Schedule 4 Adjustments'!N163</f>
        <v>827</v>
      </c>
      <c r="I164" s="410">
        <v>0.92</v>
      </c>
      <c r="J164" s="47">
        <f t="shared" si="11"/>
        <v>760.84</v>
      </c>
      <c r="K164" s="21">
        <f t="shared" si="10"/>
        <v>144.94843096864813</v>
      </c>
    </row>
    <row r="165" spans="1:11" s="22" customFormat="1" x14ac:dyDescent="0.35">
      <c r="A165" s="19">
        <v>152</v>
      </c>
      <c r="B165" s="19" t="s">
        <v>82</v>
      </c>
      <c r="C165" s="20" t="s">
        <v>412</v>
      </c>
      <c r="D165" s="116">
        <f>'Schedule 4 Adjustments'!F164</f>
        <v>0</v>
      </c>
      <c r="E165" s="410">
        <v>0.14000000000000001</v>
      </c>
      <c r="F165" s="47">
        <f t="shared" si="12"/>
        <v>0</v>
      </c>
      <c r="G165" s="21">
        <f t="shared" si="9"/>
        <v>22.057369930011671</v>
      </c>
      <c r="H165" s="150">
        <f>'Schedule 4 Adjustments'!N164</f>
        <v>0</v>
      </c>
      <c r="I165" s="410">
        <v>0.12</v>
      </c>
      <c r="J165" s="47">
        <f t="shared" si="11"/>
        <v>0</v>
      </c>
      <c r="K165" s="21">
        <f t="shared" si="10"/>
        <v>18.906317082867144</v>
      </c>
    </row>
    <row r="166" spans="1:11" s="22" customFormat="1" x14ac:dyDescent="0.35">
      <c r="A166" s="19">
        <v>153</v>
      </c>
      <c r="B166" s="19" t="s">
        <v>83</v>
      </c>
      <c r="C166" s="20" t="s">
        <v>417</v>
      </c>
      <c r="D166" s="116">
        <f>'Schedule 4 Adjustments'!F165</f>
        <v>0</v>
      </c>
      <c r="E166" s="410">
        <v>3.3600000000000003</v>
      </c>
      <c r="F166" s="47">
        <f t="shared" si="12"/>
        <v>0</v>
      </c>
      <c r="G166" s="21">
        <f t="shared" si="9"/>
        <v>529.37687832028007</v>
      </c>
      <c r="H166" s="150">
        <f>'Schedule 4 Adjustments'!N165</f>
        <v>0</v>
      </c>
      <c r="I166" s="410">
        <v>2.88</v>
      </c>
      <c r="J166" s="47">
        <f t="shared" si="11"/>
        <v>0</v>
      </c>
      <c r="K166" s="21">
        <f t="shared" si="10"/>
        <v>453.75160998881148</v>
      </c>
    </row>
    <row r="167" spans="1:11" s="22" customFormat="1" x14ac:dyDescent="0.35">
      <c r="A167" s="19">
        <v>154</v>
      </c>
      <c r="B167" s="19" t="s">
        <v>84</v>
      </c>
      <c r="C167" s="20" t="s">
        <v>415</v>
      </c>
      <c r="D167" s="116">
        <f>'Schedule 4 Adjustments'!F166</f>
        <v>0</v>
      </c>
      <c r="E167" s="410">
        <v>0.44</v>
      </c>
      <c r="F167" s="47">
        <f t="shared" si="12"/>
        <v>0</v>
      </c>
      <c r="G167" s="21">
        <f t="shared" si="9"/>
        <v>69.323162637179536</v>
      </c>
      <c r="H167" s="150">
        <f>'Schedule 4 Adjustments'!N166</f>
        <v>0</v>
      </c>
      <c r="I167" s="410">
        <v>0.44</v>
      </c>
      <c r="J167" s="47">
        <f t="shared" si="11"/>
        <v>0</v>
      </c>
      <c r="K167" s="21">
        <f t="shared" si="10"/>
        <v>69.323162637179536</v>
      </c>
    </row>
    <row r="168" spans="1:11" s="22" customFormat="1" x14ac:dyDescent="0.35">
      <c r="A168" s="19">
        <v>155</v>
      </c>
      <c r="B168" s="19" t="s">
        <v>85</v>
      </c>
      <c r="C168" s="20" t="s">
        <v>416</v>
      </c>
      <c r="D168" s="116">
        <f>'Schedule 4 Adjustments'!F167</f>
        <v>0</v>
      </c>
      <c r="E168" s="410">
        <v>5.28</v>
      </c>
      <c r="F168" s="47">
        <f t="shared" si="12"/>
        <v>0</v>
      </c>
      <c r="G168" s="21">
        <f t="shared" si="9"/>
        <v>831.87795164615443</v>
      </c>
      <c r="H168" s="150">
        <f>'Schedule 4 Adjustments'!N167</f>
        <v>0</v>
      </c>
      <c r="I168" s="410">
        <v>5.28</v>
      </c>
      <c r="J168" s="47">
        <f t="shared" si="11"/>
        <v>0</v>
      </c>
      <c r="K168" s="21">
        <f t="shared" si="10"/>
        <v>831.87795164615443</v>
      </c>
    </row>
    <row r="169" spans="1:11" s="22" customFormat="1" x14ac:dyDescent="0.35">
      <c r="A169" s="19">
        <v>156</v>
      </c>
      <c r="B169" s="19" t="s">
        <v>86</v>
      </c>
      <c r="C169" s="20" t="s">
        <v>414</v>
      </c>
      <c r="D169" s="116">
        <f>'Schedule 4 Adjustments'!F168</f>
        <v>0</v>
      </c>
      <c r="E169" s="410">
        <v>0.44</v>
      </c>
      <c r="F169" s="47">
        <f t="shared" si="12"/>
        <v>0</v>
      </c>
      <c r="G169" s="21">
        <f t="shared" si="9"/>
        <v>69.323162637179536</v>
      </c>
      <c r="H169" s="150">
        <f>'Schedule 4 Adjustments'!N168</f>
        <v>0</v>
      </c>
      <c r="I169" s="410">
        <v>0.44</v>
      </c>
      <c r="J169" s="47">
        <f t="shared" si="11"/>
        <v>0</v>
      </c>
      <c r="K169" s="21">
        <f t="shared" si="10"/>
        <v>69.323162637179536</v>
      </c>
    </row>
    <row r="170" spans="1:11" s="22" customFormat="1" x14ac:dyDescent="0.35">
      <c r="A170" s="19">
        <v>157</v>
      </c>
      <c r="B170" s="19" t="s">
        <v>87</v>
      </c>
      <c r="C170" s="20" t="s">
        <v>413</v>
      </c>
      <c r="D170" s="116">
        <f>'Schedule 4 Adjustments'!F169</f>
        <v>0</v>
      </c>
      <c r="E170" s="410">
        <v>5.28</v>
      </c>
      <c r="F170" s="47">
        <f t="shared" si="12"/>
        <v>0</v>
      </c>
      <c r="G170" s="21">
        <f t="shared" si="9"/>
        <v>831.87795164615443</v>
      </c>
      <c r="H170" s="150">
        <f>'Schedule 4 Adjustments'!N169</f>
        <v>0</v>
      </c>
      <c r="I170" s="410">
        <v>5.28</v>
      </c>
      <c r="J170" s="47">
        <f t="shared" si="11"/>
        <v>0</v>
      </c>
      <c r="K170" s="21">
        <f t="shared" si="10"/>
        <v>831.87795164615443</v>
      </c>
    </row>
    <row r="171" spans="1:11" s="22" customFormat="1" x14ac:dyDescent="0.35">
      <c r="A171" s="19">
        <v>158</v>
      </c>
      <c r="B171" s="19" t="s">
        <v>88</v>
      </c>
      <c r="C171" s="20" t="s">
        <v>418</v>
      </c>
      <c r="D171" s="116">
        <f>'Schedule 4 Adjustments'!F170</f>
        <v>0</v>
      </c>
      <c r="E171" s="410">
        <v>0.14000000000000001</v>
      </c>
      <c r="F171" s="47">
        <f t="shared" si="12"/>
        <v>0</v>
      </c>
      <c r="G171" s="21">
        <f t="shared" si="9"/>
        <v>22.057369930011671</v>
      </c>
      <c r="H171" s="150">
        <f>'Schedule 4 Adjustments'!N170</f>
        <v>0</v>
      </c>
      <c r="I171" s="410">
        <v>0.12</v>
      </c>
      <c r="J171" s="47">
        <f t="shared" si="11"/>
        <v>0</v>
      </c>
      <c r="K171" s="21">
        <f t="shared" si="10"/>
        <v>18.906317082867144</v>
      </c>
    </row>
    <row r="172" spans="1:11" s="22" customFormat="1" x14ac:dyDescent="0.35">
      <c r="A172" s="19">
        <v>159</v>
      </c>
      <c r="B172" s="19" t="s">
        <v>89</v>
      </c>
      <c r="C172" s="20" t="s">
        <v>419</v>
      </c>
      <c r="D172" s="116">
        <f>'Schedule 4 Adjustments'!F171</f>
        <v>0</v>
      </c>
      <c r="E172" s="410">
        <v>3.3600000000000003</v>
      </c>
      <c r="F172" s="47">
        <f t="shared" si="12"/>
        <v>0</v>
      </c>
      <c r="G172" s="21">
        <f t="shared" si="9"/>
        <v>529.37687832028007</v>
      </c>
      <c r="H172" s="150">
        <f>'Schedule 4 Adjustments'!N171</f>
        <v>0</v>
      </c>
      <c r="I172" s="410">
        <v>2.88</v>
      </c>
      <c r="J172" s="47">
        <f t="shared" si="11"/>
        <v>0</v>
      </c>
      <c r="K172" s="21">
        <f t="shared" si="10"/>
        <v>453.75160998881148</v>
      </c>
    </row>
    <row r="173" spans="1:11" s="22" customFormat="1" x14ac:dyDescent="0.35">
      <c r="A173" s="19">
        <v>160</v>
      </c>
      <c r="B173" s="19" t="s">
        <v>90</v>
      </c>
      <c r="C173" s="20" t="s">
        <v>420</v>
      </c>
      <c r="D173" s="116">
        <f>'Schedule 4 Adjustments'!F172</f>
        <v>0</v>
      </c>
      <c r="E173" s="410">
        <v>0.14000000000000001</v>
      </c>
      <c r="F173" s="47">
        <f t="shared" si="12"/>
        <v>0</v>
      </c>
      <c r="G173" s="21">
        <f t="shared" si="9"/>
        <v>22.057369930011671</v>
      </c>
      <c r="H173" s="150">
        <f>'Schedule 4 Adjustments'!N172</f>
        <v>0</v>
      </c>
      <c r="I173" s="410">
        <v>0.12</v>
      </c>
      <c r="J173" s="47">
        <f t="shared" si="11"/>
        <v>0</v>
      </c>
      <c r="K173" s="21">
        <f t="shared" si="10"/>
        <v>18.906317082867144</v>
      </c>
    </row>
    <row r="174" spans="1:11" s="22" customFormat="1" x14ac:dyDescent="0.35">
      <c r="A174" s="19">
        <v>161</v>
      </c>
      <c r="B174" s="19" t="s">
        <v>91</v>
      </c>
      <c r="C174" s="20" t="s">
        <v>421</v>
      </c>
      <c r="D174" s="116">
        <f>'Schedule 4 Adjustments'!F173</f>
        <v>0</v>
      </c>
      <c r="E174" s="410">
        <v>3.3600000000000003</v>
      </c>
      <c r="F174" s="47">
        <f t="shared" si="12"/>
        <v>0</v>
      </c>
      <c r="G174" s="21">
        <f t="shared" si="9"/>
        <v>529.37687832028007</v>
      </c>
      <c r="H174" s="150">
        <f>'Schedule 4 Adjustments'!N173</f>
        <v>0</v>
      </c>
      <c r="I174" s="410">
        <v>2.88</v>
      </c>
      <c r="J174" s="47">
        <f t="shared" si="11"/>
        <v>0</v>
      </c>
      <c r="K174" s="21">
        <f t="shared" si="10"/>
        <v>453.75160998881148</v>
      </c>
    </row>
    <row r="175" spans="1:11" s="22" customFormat="1" x14ac:dyDescent="0.35">
      <c r="A175" s="19">
        <v>162</v>
      </c>
      <c r="B175" s="19" t="s">
        <v>92</v>
      </c>
      <c r="C175" s="20" t="s">
        <v>422</v>
      </c>
      <c r="D175" s="116">
        <f>'Schedule 4 Adjustments'!F174</f>
        <v>0</v>
      </c>
      <c r="E175" s="410">
        <v>0.14000000000000001</v>
      </c>
      <c r="F175" s="47">
        <f t="shared" si="12"/>
        <v>0</v>
      </c>
      <c r="G175" s="21">
        <f t="shared" si="9"/>
        <v>22.057369930011671</v>
      </c>
      <c r="H175" s="150">
        <f>'Schedule 4 Adjustments'!N174</f>
        <v>0</v>
      </c>
      <c r="I175" s="410">
        <v>0.12</v>
      </c>
      <c r="J175" s="47">
        <f t="shared" si="11"/>
        <v>0</v>
      </c>
      <c r="K175" s="21">
        <f t="shared" si="10"/>
        <v>18.906317082867144</v>
      </c>
    </row>
    <row r="176" spans="1:11" s="22" customFormat="1" x14ac:dyDescent="0.35">
      <c r="A176" s="19">
        <v>163</v>
      </c>
      <c r="B176" s="19" t="s">
        <v>93</v>
      </c>
      <c r="C176" s="20" t="s">
        <v>423</v>
      </c>
      <c r="D176" s="116">
        <f>'Schedule 4 Adjustments'!F175</f>
        <v>0</v>
      </c>
      <c r="E176" s="410">
        <v>0.14000000000000001</v>
      </c>
      <c r="F176" s="47">
        <f t="shared" si="12"/>
        <v>0</v>
      </c>
      <c r="G176" s="21">
        <f t="shared" si="9"/>
        <v>22.057369930011671</v>
      </c>
      <c r="H176" s="150">
        <f>'Schedule 4 Adjustments'!N175</f>
        <v>0</v>
      </c>
      <c r="I176" s="410">
        <v>0.12</v>
      </c>
      <c r="J176" s="47">
        <f t="shared" si="11"/>
        <v>0</v>
      </c>
      <c r="K176" s="21">
        <f t="shared" si="10"/>
        <v>18.906317082867144</v>
      </c>
    </row>
    <row r="177" spans="1:11" s="22" customFormat="1" x14ac:dyDescent="0.35">
      <c r="A177" s="19">
        <v>164</v>
      </c>
      <c r="B177" s="19" t="s">
        <v>94</v>
      </c>
      <c r="C177" s="20" t="s">
        <v>424</v>
      </c>
      <c r="D177" s="116">
        <f>'Schedule 4 Adjustments'!F176</f>
        <v>0</v>
      </c>
      <c r="E177" s="410">
        <v>3.3600000000000003</v>
      </c>
      <c r="F177" s="47">
        <f t="shared" si="12"/>
        <v>0</v>
      </c>
      <c r="G177" s="21">
        <f t="shared" si="9"/>
        <v>529.37687832028007</v>
      </c>
      <c r="H177" s="150">
        <f>'Schedule 4 Adjustments'!N176</f>
        <v>0</v>
      </c>
      <c r="I177" s="410">
        <v>2.88</v>
      </c>
      <c r="J177" s="47">
        <f t="shared" si="11"/>
        <v>0</v>
      </c>
      <c r="K177" s="21">
        <f t="shared" si="10"/>
        <v>453.75160998881148</v>
      </c>
    </row>
    <row r="178" spans="1:11" s="22" customFormat="1" x14ac:dyDescent="0.35">
      <c r="A178" s="19">
        <v>165</v>
      </c>
      <c r="B178" s="19" t="s">
        <v>95</v>
      </c>
      <c r="C178" s="20" t="s">
        <v>425</v>
      </c>
      <c r="D178" s="116">
        <f>'Schedule 4 Adjustments'!F177</f>
        <v>0</v>
      </c>
      <c r="E178" s="410">
        <v>0.14000000000000001</v>
      </c>
      <c r="F178" s="47">
        <f t="shared" si="12"/>
        <v>0</v>
      </c>
      <c r="G178" s="21">
        <f t="shared" si="9"/>
        <v>22.057369930011671</v>
      </c>
      <c r="H178" s="150">
        <f>'Schedule 4 Adjustments'!N177</f>
        <v>0</v>
      </c>
      <c r="I178" s="410">
        <v>0.12</v>
      </c>
      <c r="J178" s="47">
        <f t="shared" si="11"/>
        <v>0</v>
      </c>
      <c r="K178" s="21">
        <f t="shared" si="10"/>
        <v>18.906317082867144</v>
      </c>
    </row>
    <row r="179" spans="1:11" s="22" customFormat="1" x14ac:dyDescent="0.35">
      <c r="A179" s="19">
        <v>166</v>
      </c>
      <c r="B179" s="19" t="s">
        <v>96</v>
      </c>
      <c r="C179" s="20" t="s">
        <v>426</v>
      </c>
      <c r="D179" s="116">
        <f>'Schedule 4 Adjustments'!F178</f>
        <v>0</v>
      </c>
      <c r="E179" s="410">
        <v>1.29</v>
      </c>
      <c r="F179" s="47">
        <f t="shared" si="12"/>
        <v>0</v>
      </c>
      <c r="G179" s="21">
        <f t="shared" si="9"/>
        <v>203.24290864082181</v>
      </c>
      <c r="H179" s="150">
        <f>'Schedule 4 Adjustments'!N178</f>
        <v>0</v>
      </c>
      <c r="I179" s="410">
        <v>1.1299999999999999</v>
      </c>
      <c r="J179" s="47">
        <f t="shared" si="11"/>
        <v>0</v>
      </c>
      <c r="K179" s="21">
        <f t="shared" si="10"/>
        <v>178.03448586366559</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34.661581318589768</v>
      </c>
      <c r="H182" s="150">
        <f>'Schedule 4 Adjustments'!N181</f>
        <v>0</v>
      </c>
      <c r="I182" s="410">
        <v>0.22</v>
      </c>
      <c r="J182" s="47">
        <f t="shared" si="11"/>
        <v>0</v>
      </c>
      <c r="K182" s="21">
        <f t="shared" si="10"/>
        <v>34.661581318589768</v>
      </c>
    </row>
    <row r="183" spans="1:11" s="22" customFormat="1" x14ac:dyDescent="0.35">
      <c r="A183" s="19">
        <v>170</v>
      </c>
      <c r="B183" s="19" t="s">
        <v>99</v>
      </c>
      <c r="C183" s="20" t="s">
        <v>429</v>
      </c>
      <c r="D183" s="116">
        <f>'Schedule 4 Adjustments'!F182</f>
        <v>0</v>
      </c>
      <c r="E183" s="410">
        <v>4.4000000000000004</v>
      </c>
      <c r="F183" s="47">
        <f t="shared" si="12"/>
        <v>0</v>
      </c>
      <c r="G183" s="21">
        <f t="shared" si="9"/>
        <v>693.2316263717953</v>
      </c>
      <c r="H183" s="150">
        <f>'Schedule 4 Adjustments'!N182</f>
        <v>0</v>
      </c>
      <c r="I183" s="410">
        <v>4.4000000000000004</v>
      </c>
      <c r="J183" s="47">
        <f t="shared" si="11"/>
        <v>0</v>
      </c>
      <c r="K183" s="21">
        <f t="shared" si="10"/>
        <v>693.2316263717953</v>
      </c>
    </row>
    <row r="184" spans="1:11" s="22" customFormat="1" x14ac:dyDescent="0.35">
      <c r="A184" s="19">
        <v>171</v>
      </c>
      <c r="B184" s="19" t="s">
        <v>100</v>
      </c>
      <c r="C184" s="20" t="s">
        <v>147</v>
      </c>
      <c r="D184" s="116">
        <f>'Schedule 4 Adjustments'!F183</f>
        <v>0</v>
      </c>
      <c r="E184" s="410">
        <v>1.02</v>
      </c>
      <c r="F184" s="47">
        <f t="shared" si="12"/>
        <v>0</v>
      </c>
      <c r="G184" s="21">
        <f t="shared" si="9"/>
        <v>160.70369520437072</v>
      </c>
      <c r="H184" s="150">
        <f>'Schedule 4 Adjustments'!N183</f>
        <v>0</v>
      </c>
      <c r="I184" s="410">
        <v>0.94</v>
      </c>
      <c r="J184" s="47">
        <f t="shared" si="11"/>
        <v>0</v>
      </c>
      <c r="K184" s="21">
        <f t="shared" si="10"/>
        <v>148.09948381579264</v>
      </c>
    </row>
    <row r="185" spans="1:11" s="22" customFormat="1" x14ac:dyDescent="0.35">
      <c r="A185" s="19">
        <v>172</v>
      </c>
      <c r="B185" s="19" t="s">
        <v>101</v>
      </c>
      <c r="C185" s="20" t="s">
        <v>148</v>
      </c>
      <c r="D185" s="116">
        <f>'Schedule 4 Adjustments'!F184</f>
        <v>0</v>
      </c>
      <c r="E185" s="410">
        <v>0.75</v>
      </c>
      <c r="F185" s="47">
        <f t="shared" si="12"/>
        <v>0</v>
      </c>
      <c r="G185" s="21">
        <f t="shared" si="9"/>
        <v>118.16448176791965</v>
      </c>
      <c r="H185" s="150">
        <f>'Schedule 4 Adjustments'!N184</f>
        <v>0</v>
      </c>
      <c r="I185" s="410">
        <v>0.37</v>
      </c>
      <c r="J185" s="47">
        <f t="shared" si="11"/>
        <v>0</v>
      </c>
      <c r="K185" s="21">
        <f t="shared" si="10"/>
        <v>58.294477672173699</v>
      </c>
    </row>
    <row r="186" spans="1:11" s="22" customFormat="1" x14ac:dyDescent="0.35">
      <c r="A186" s="19">
        <v>173</v>
      </c>
      <c r="B186" s="19" t="s">
        <v>102</v>
      </c>
      <c r="C186" s="20" t="s">
        <v>430</v>
      </c>
      <c r="D186" s="116">
        <f>'Schedule 4 Adjustments'!F185</f>
        <v>0</v>
      </c>
      <c r="E186" s="410">
        <v>0.75</v>
      </c>
      <c r="F186" s="47">
        <f t="shared" si="12"/>
        <v>0</v>
      </c>
      <c r="G186" s="21">
        <f t="shared" si="9"/>
        <v>118.16448176791965</v>
      </c>
      <c r="H186" s="150">
        <f>'Schedule 4 Adjustments'!N185</f>
        <v>0</v>
      </c>
      <c r="I186" s="410">
        <v>0.37</v>
      </c>
      <c r="J186" s="47">
        <f t="shared" si="11"/>
        <v>0</v>
      </c>
      <c r="K186" s="21">
        <f t="shared" si="10"/>
        <v>58.294477672173699</v>
      </c>
    </row>
    <row r="187" spans="1:11" s="22" customFormat="1" x14ac:dyDescent="0.35">
      <c r="A187" s="19">
        <v>174</v>
      </c>
      <c r="B187" s="19" t="s">
        <v>103</v>
      </c>
      <c r="C187" s="20" t="s">
        <v>431</v>
      </c>
      <c r="D187" s="116">
        <f>'Schedule 4 Adjustments'!F186</f>
        <v>0</v>
      </c>
      <c r="E187" s="410">
        <v>3.96</v>
      </c>
      <c r="F187" s="47">
        <f t="shared" si="12"/>
        <v>0</v>
      </c>
      <c r="G187" s="21">
        <f t="shared" si="9"/>
        <v>623.90846373461579</v>
      </c>
      <c r="H187" s="150">
        <f>'Schedule 4 Adjustments'!N186</f>
        <v>0</v>
      </c>
      <c r="I187" s="410">
        <v>3.96</v>
      </c>
      <c r="J187" s="47">
        <f t="shared" si="11"/>
        <v>0</v>
      </c>
      <c r="K187" s="21">
        <f t="shared" si="10"/>
        <v>623.90846373461579</v>
      </c>
    </row>
    <row r="188" spans="1:11" s="22" customFormat="1" x14ac:dyDescent="0.35">
      <c r="A188" s="19">
        <v>175</v>
      </c>
      <c r="B188" s="19" t="s">
        <v>104</v>
      </c>
      <c r="C188" s="20" t="s">
        <v>432</v>
      </c>
      <c r="D188" s="116">
        <f>'Schedule 4 Adjustments'!F187</f>
        <v>0</v>
      </c>
      <c r="E188" s="410">
        <v>3.59</v>
      </c>
      <c r="F188" s="47">
        <f t="shared" si="12"/>
        <v>0</v>
      </c>
      <c r="G188" s="21">
        <f t="shared" si="9"/>
        <v>565.61398606244211</v>
      </c>
      <c r="H188" s="150">
        <f>'Schedule 4 Adjustments'!N187</f>
        <v>0</v>
      </c>
      <c r="I188" s="410">
        <v>3.59</v>
      </c>
      <c r="J188" s="47">
        <f t="shared" si="11"/>
        <v>0</v>
      </c>
      <c r="K188" s="21">
        <f t="shared" si="10"/>
        <v>565.61398606244211</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45.690266283595598</v>
      </c>
      <c r="H190" s="150">
        <f>'Schedule 4 Adjustments'!N189</f>
        <v>0</v>
      </c>
      <c r="I190" s="410">
        <v>0.28999999999999998</v>
      </c>
      <c r="J190" s="47">
        <f t="shared" si="11"/>
        <v>0</v>
      </c>
      <c r="K190" s="21">
        <f t="shared" si="10"/>
        <v>45.690266283595598</v>
      </c>
    </row>
    <row r="191" spans="1:11" s="22" customFormat="1" x14ac:dyDescent="0.35">
      <c r="A191" s="19">
        <v>178</v>
      </c>
      <c r="B191" s="19" t="s">
        <v>106</v>
      </c>
      <c r="C191" s="20" t="s">
        <v>149</v>
      </c>
      <c r="D191" s="116">
        <f>'Schedule 4 Adjustments'!F190</f>
        <v>0</v>
      </c>
      <c r="E191" s="410">
        <v>3.07</v>
      </c>
      <c r="F191" s="47">
        <f t="shared" si="12"/>
        <v>0</v>
      </c>
      <c r="G191" s="21">
        <f t="shared" si="9"/>
        <v>483.68661203668444</v>
      </c>
      <c r="H191" s="150">
        <f>'Schedule 4 Adjustments'!N190</f>
        <v>0</v>
      </c>
      <c r="I191" s="410">
        <v>3.05</v>
      </c>
      <c r="J191" s="47">
        <f t="shared" si="11"/>
        <v>0</v>
      </c>
      <c r="K191" s="21">
        <f t="shared" si="10"/>
        <v>480.53555918953992</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92.956058990763452</v>
      </c>
      <c r="H193" s="150">
        <f>'Schedule 4 Adjustments'!N192</f>
        <v>0</v>
      </c>
      <c r="I193" s="410">
        <v>0.55000000000000004</v>
      </c>
      <c r="J193" s="47">
        <f t="shared" si="11"/>
        <v>0</v>
      </c>
      <c r="K193" s="21">
        <f t="shared" si="10"/>
        <v>86.653953296474413</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100.83369110862478</v>
      </c>
      <c r="H195" s="150">
        <f>'Schedule 4 Adjustments'!N194</f>
        <v>6</v>
      </c>
      <c r="I195" s="410">
        <v>0.6</v>
      </c>
      <c r="J195" s="47">
        <f t="shared" si="11"/>
        <v>3.5999999999999996</v>
      </c>
      <c r="K195" s="21">
        <f t="shared" si="10"/>
        <v>94.531585414335723</v>
      </c>
    </row>
    <row r="196" spans="1:11" s="22" customFormat="1" x14ac:dyDescent="0.35">
      <c r="A196" s="19">
        <v>183</v>
      </c>
      <c r="B196" s="19" t="s">
        <v>109</v>
      </c>
      <c r="C196" s="20" t="s">
        <v>151</v>
      </c>
      <c r="D196" s="116">
        <f>'Schedule 4 Adjustments'!F195</f>
        <v>12574</v>
      </c>
      <c r="E196" s="410">
        <v>0.65000000000000013</v>
      </c>
      <c r="F196" s="47">
        <f t="shared" si="12"/>
        <v>8173.1000000000013</v>
      </c>
      <c r="G196" s="21">
        <f t="shared" si="9"/>
        <v>102.40921753219705</v>
      </c>
      <c r="H196" s="150">
        <f>'Schedule 4 Adjustments'!N195</f>
        <v>4951</v>
      </c>
      <c r="I196" s="410">
        <v>0.59999999999999987</v>
      </c>
      <c r="J196" s="47">
        <f t="shared" si="11"/>
        <v>2970.5999999999995</v>
      </c>
      <c r="K196" s="21">
        <f t="shared" si="10"/>
        <v>94.531585414335709</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29414</v>
      </c>
      <c r="E198" s="13"/>
      <c r="F198" s="9">
        <f>SUM(F19:F197)</f>
        <v>45778.080000000002</v>
      </c>
      <c r="H198" s="9">
        <f>SUM(H19:H197)</f>
        <v>25944</v>
      </c>
      <c r="J198" s="9">
        <f>SUM(J19:J197)</f>
        <v>82929.980000000025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Eagle Valley Behavioral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10" t="s">
        <v>868</v>
      </c>
      <c r="C10" s="510"/>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11" t="s">
        <v>870</v>
      </c>
      <c r="B12" s="512"/>
      <c r="C12" s="512"/>
      <c r="D12" s="513"/>
      <c r="G12" s="128"/>
      <c r="H12" s="128"/>
      <c r="I12" s="128"/>
      <c r="J12" s="128"/>
      <c r="K12" s="128"/>
      <c r="L12" s="128"/>
      <c r="M12" s="128"/>
    </row>
    <row r="13" spans="1:13" s="22" customFormat="1" x14ac:dyDescent="0.35">
      <c r="A13" s="155">
        <v>1</v>
      </c>
      <c r="B13" s="514" t="s">
        <v>871</v>
      </c>
      <c r="C13" s="515"/>
      <c r="D13" s="157">
        <f>'Schedule 5 Adjustments'!F12</f>
        <v>3683482.42</v>
      </c>
      <c r="G13" s="140"/>
    </row>
    <row r="14" spans="1:13" s="22" customFormat="1" x14ac:dyDescent="0.35">
      <c r="A14" s="155">
        <v>2</v>
      </c>
      <c r="B14" s="514" t="s">
        <v>872</v>
      </c>
      <c r="C14" s="515"/>
      <c r="D14" s="157">
        <f>'Schedule 5 Adjustments'!F13</f>
        <v>0</v>
      </c>
      <c r="G14" s="140"/>
    </row>
    <row r="15" spans="1:13" s="22" customFormat="1" x14ac:dyDescent="0.35">
      <c r="A15" s="155">
        <v>3</v>
      </c>
      <c r="B15" s="173" t="s">
        <v>873</v>
      </c>
      <c r="C15" s="168"/>
      <c r="D15" s="157">
        <f>'Schedule 5 Adjustments'!F14</f>
        <v>407657.10000000009</v>
      </c>
      <c r="G15" s="140"/>
    </row>
    <row r="16" spans="1:13" s="22" customFormat="1" x14ac:dyDescent="0.35">
      <c r="A16" s="155">
        <v>4</v>
      </c>
      <c r="B16" s="173" t="s">
        <v>874</v>
      </c>
      <c r="C16" s="168"/>
      <c r="D16" s="157">
        <f>'Schedule 5 Adjustments'!F15</f>
        <v>2293459.7000000007</v>
      </c>
      <c r="G16" s="140"/>
    </row>
    <row r="17" spans="1:7" s="22" customFormat="1" x14ac:dyDescent="0.35">
      <c r="A17" s="155">
        <v>5</v>
      </c>
      <c r="B17" s="173" t="s">
        <v>875</v>
      </c>
      <c r="C17" s="168"/>
      <c r="D17" s="157">
        <f>'Schedule 5 Adjustments'!F16</f>
        <v>0</v>
      </c>
      <c r="G17" s="140"/>
    </row>
    <row r="18" spans="1:7" s="22" customFormat="1" x14ac:dyDescent="0.35">
      <c r="A18" s="155">
        <v>6</v>
      </c>
      <c r="B18" s="173" t="s">
        <v>876</v>
      </c>
      <c r="C18" s="168"/>
      <c r="D18" s="157">
        <f>'Schedule 5 Adjustments'!F17</f>
        <v>111298.05000000002</v>
      </c>
      <c r="G18" s="140"/>
    </row>
    <row r="19" spans="1:7" s="22" customFormat="1" x14ac:dyDescent="0.35">
      <c r="A19" s="155">
        <v>7</v>
      </c>
      <c r="B19" s="514" t="s">
        <v>877</v>
      </c>
      <c r="C19" s="515"/>
      <c r="D19" s="157">
        <f>'Schedule 5 Adjustments'!F18</f>
        <v>630042.57000000007</v>
      </c>
      <c r="G19" s="140"/>
    </row>
    <row r="20" spans="1:7" s="22" customFormat="1" x14ac:dyDescent="0.35">
      <c r="A20" s="155">
        <v>8</v>
      </c>
      <c r="B20" s="508" t="s">
        <v>878</v>
      </c>
      <c r="C20" s="509"/>
      <c r="D20" s="160">
        <f>SUM(D13:D19)</f>
        <v>7125939.8400000008</v>
      </c>
      <c r="G20" s="140"/>
    </row>
    <row r="21" spans="1:7" s="22" customFormat="1" x14ac:dyDescent="0.35">
      <c r="A21" s="161"/>
      <c r="B21" s="162"/>
      <c r="C21" s="162"/>
      <c r="D21" s="164"/>
      <c r="G21" s="140"/>
    </row>
    <row r="22" spans="1:7" s="22" customFormat="1" x14ac:dyDescent="0.35">
      <c r="A22" s="511" t="s">
        <v>879</v>
      </c>
      <c r="B22" s="512"/>
      <c r="C22" s="512"/>
      <c r="D22" s="513"/>
      <c r="E22" s="140"/>
      <c r="F22" s="140"/>
      <c r="G22" s="140"/>
    </row>
    <row r="23" spans="1:7" s="22" customFormat="1" x14ac:dyDescent="0.35">
      <c r="A23" s="155">
        <v>9</v>
      </c>
      <c r="B23" s="514" t="s">
        <v>880</v>
      </c>
      <c r="C23" s="515"/>
      <c r="D23" s="157">
        <f>'Schedule 5 Adjustments'!F22</f>
        <v>4298487.93</v>
      </c>
      <c r="E23" s="140"/>
      <c r="F23" s="140"/>
      <c r="G23" s="140"/>
    </row>
    <row r="24" spans="1:7" s="22" customFormat="1" x14ac:dyDescent="0.35">
      <c r="A24" s="155">
        <v>10</v>
      </c>
      <c r="B24" s="173" t="s">
        <v>881</v>
      </c>
      <c r="C24" s="168"/>
      <c r="D24" s="157">
        <f>'Schedule 5 Adjustments'!F23</f>
        <v>233978</v>
      </c>
      <c r="E24" s="140"/>
      <c r="F24" s="140"/>
      <c r="G24" s="140"/>
    </row>
    <row r="25" spans="1:7" s="22" customFormat="1" x14ac:dyDescent="0.35">
      <c r="A25" s="155">
        <v>11</v>
      </c>
      <c r="B25" s="173" t="s">
        <v>882</v>
      </c>
      <c r="C25" s="168"/>
      <c r="D25" s="157">
        <f>'Schedule 5 Adjustments'!F24</f>
        <v>1672621.25</v>
      </c>
      <c r="E25" s="140"/>
      <c r="F25" s="140"/>
      <c r="G25" s="140"/>
    </row>
    <row r="26" spans="1:7" s="22" customFormat="1" x14ac:dyDescent="0.35">
      <c r="A26" s="155">
        <v>12</v>
      </c>
      <c r="B26" s="173" t="s">
        <v>883</v>
      </c>
      <c r="C26" s="168"/>
      <c r="D26" s="157">
        <f>'Schedule 5 Adjustments'!F25</f>
        <v>1181899</v>
      </c>
      <c r="E26" s="140"/>
      <c r="F26" s="140"/>
      <c r="G26" s="140"/>
    </row>
    <row r="27" spans="1:7" s="22" customFormat="1" x14ac:dyDescent="0.35">
      <c r="A27" s="155">
        <v>13</v>
      </c>
      <c r="B27" s="173" t="s">
        <v>884</v>
      </c>
      <c r="C27" s="168"/>
      <c r="D27" s="157">
        <f>'Schedule 5 Adjustments'!F26</f>
        <v>1181310.8999999999</v>
      </c>
      <c r="E27" s="140"/>
      <c r="F27" s="140"/>
      <c r="G27" s="140"/>
    </row>
    <row r="28" spans="1:7" s="22" customFormat="1" x14ac:dyDescent="0.35">
      <c r="A28" s="155">
        <v>14</v>
      </c>
      <c r="B28" s="508" t="s">
        <v>885</v>
      </c>
      <c r="C28" s="509"/>
      <c r="D28" s="160">
        <f>SUM(D23:D27)</f>
        <v>8568297.0800000001</v>
      </c>
      <c r="E28" s="140"/>
      <c r="F28" s="140"/>
      <c r="G28" s="140"/>
    </row>
    <row r="29" spans="1:7" s="22" customFormat="1" x14ac:dyDescent="0.35">
      <c r="A29" s="161"/>
      <c r="B29" s="162"/>
      <c r="C29" s="162"/>
      <c r="D29" s="164"/>
      <c r="F29" s="140"/>
      <c r="G29" s="140"/>
    </row>
    <row r="30" spans="1:7" s="22" customFormat="1" x14ac:dyDescent="0.35">
      <c r="A30" s="511" t="s">
        <v>886</v>
      </c>
      <c r="B30" s="512"/>
      <c r="C30" s="512"/>
      <c r="D30" s="513"/>
      <c r="F30" s="140"/>
      <c r="G30" s="140"/>
    </row>
    <row r="31" spans="1:7" s="22" customFormat="1" x14ac:dyDescent="0.35">
      <c r="A31" s="155">
        <v>15</v>
      </c>
      <c r="B31" s="514" t="s">
        <v>887</v>
      </c>
      <c r="C31" s="515"/>
      <c r="D31" s="157">
        <f>'Schedule 5 Adjustments'!F30</f>
        <v>0</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3962381</v>
      </c>
      <c r="G35" s="140"/>
    </row>
    <row r="36" spans="1:7" s="22" customFormat="1" x14ac:dyDescent="0.35">
      <c r="A36" s="155">
        <v>20</v>
      </c>
      <c r="B36" s="508" t="s">
        <v>892</v>
      </c>
      <c r="C36" s="509"/>
      <c r="D36" s="160">
        <f>SUM(D31:D35)</f>
        <v>3962381</v>
      </c>
      <c r="G36" s="140"/>
    </row>
    <row r="37" spans="1:7" s="22" customFormat="1" x14ac:dyDescent="0.35">
      <c r="A37" s="161"/>
      <c r="B37" s="162"/>
      <c r="C37" s="162"/>
      <c r="D37" s="164"/>
      <c r="G37" s="140"/>
    </row>
    <row r="38" spans="1:7" s="22" customFormat="1" x14ac:dyDescent="0.35">
      <c r="A38" s="511" t="s">
        <v>893</v>
      </c>
      <c r="B38" s="512"/>
      <c r="C38" s="512"/>
      <c r="D38" s="513"/>
      <c r="G38" s="140"/>
    </row>
    <row r="39" spans="1:7" s="22" customFormat="1" x14ac:dyDescent="0.35">
      <c r="A39" s="155">
        <v>21</v>
      </c>
      <c r="B39" s="514" t="s">
        <v>304</v>
      </c>
      <c r="C39" s="517"/>
      <c r="D39" s="157">
        <f>'Schedule 5 Adjustments'!F38</f>
        <v>126086.78</v>
      </c>
      <c r="G39" s="140"/>
    </row>
    <row r="40" spans="1:7" s="22" customFormat="1" x14ac:dyDescent="0.35">
      <c r="A40" s="155">
        <v>22</v>
      </c>
      <c r="B40" s="514" t="s">
        <v>894</v>
      </c>
      <c r="C40" s="517"/>
      <c r="D40" s="157">
        <f>'Schedule 5 Adjustments'!F39</f>
        <v>1271629.6000000001</v>
      </c>
      <c r="G40" s="140"/>
    </row>
    <row r="41" spans="1:7" s="22" customFormat="1" x14ac:dyDescent="0.35">
      <c r="A41" s="155">
        <v>23</v>
      </c>
      <c r="B41" s="514" t="s">
        <v>895</v>
      </c>
      <c r="C41" s="517"/>
      <c r="D41" s="157">
        <f>'Schedule 5 Adjustments'!F40</f>
        <v>356684.49</v>
      </c>
      <c r="G41" s="140"/>
    </row>
    <row r="42" spans="1:7" s="22" customFormat="1" x14ac:dyDescent="0.35">
      <c r="A42" s="155">
        <v>24</v>
      </c>
      <c r="B42" s="508" t="s">
        <v>896</v>
      </c>
      <c r="C42" s="516"/>
      <c r="D42" s="160">
        <f>SUM(D39:D41)</f>
        <v>1754400.87</v>
      </c>
      <c r="G42" s="140"/>
    </row>
    <row r="43" spans="1:7" s="22" customFormat="1" x14ac:dyDescent="0.35">
      <c r="A43" s="161"/>
      <c r="B43" s="162"/>
      <c r="C43" s="162"/>
      <c r="D43" s="164"/>
      <c r="G43" s="140"/>
    </row>
    <row r="44" spans="1:7" s="63" customFormat="1" ht="15.5" x14ac:dyDescent="0.35">
      <c r="A44" s="155">
        <v>25</v>
      </c>
      <c r="B44" s="520" t="s">
        <v>897</v>
      </c>
      <c r="C44" s="522"/>
      <c r="D44" s="169">
        <f>SUM(D20,D28,D36,D42)</f>
        <v>21411018.790000003</v>
      </c>
      <c r="G44" s="141"/>
    </row>
    <row r="45" spans="1:7" s="22" customFormat="1" x14ac:dyDescent="0.35">
      <c r="A45" s="170"/>
      <c r="B45" s="170"/>
      <c r="C45" s="170"/>
      <c r="D45" s="170"/>
      <c r="G45" s="140"/>
    </row>
    <row r="46" spans="1:7" s="22" customFormat="1" x14ac:dyDescent="0.35">
      <c r="A46" s="155">
        <v>26</v>
      </c>
      <c r="B46" s="519" t="s">
        <v>898</v>
      </c>
      <c r="C46" s="519"/>
      <c r="D46" s="157">
        <f>'Schedule 5 Adjustments'!F45</f>
        <v>21411019</v>
      </c>
      <c r="G46" s="140"/>
    </row>
    <row r="47" spans="1:7" s="22" customFormat="1" ht="15.5" x14ac:dyDescent="0.35">
      <c r="A47" s="155">
        <v>27</v>
      </c>
      <c r="B47" s="519" t="s">
        <v>10</v>
      </c>
      <c r="C47" s="519"/>
      <c r="D47" s="169">
        <f>D44-D46</f>
        <v>-0.20999999716877937</v>
      </c>
      <c r="E47" s="33" t="str">
        <f>IF(ABS(D47)&gt;1,"Error - This variance should be 0.","")</f>
        <v/>
      </c>
      <c r="G47"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t="str">
        <f>Adjustments!D5</f>
        <v>Eagle Valley Behavioral Health</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10" t="s">
        <v>1</v>
      </c>
      <c r="C9" s="510"/>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11" t="s">
        <v>280</v>
      </c>
      <c r="B11" s="512"/>
      <c r="C11" s="512"/>
      <c r="D11" s="512"/>
      <c r="E11" s="512"/>
      <c r="F11" s="512"/>
      <c r="G11" s="512"/>
      <c r="H11" s="512"/>
      <c r="I11" s="512"/>
      <c r="J11" s="513"/>
      <c r="M11" s="128"/>
      <c r="N11" s="128"/>
      <c r="O11" s="128"/>
      <c r="P11" s="128"/>
      <c r="Q11" s="128"/>
      <c r="R11" s="128"/>
      <c r="S11" s="128"/>
    </row>
    <row r="12" spans="1:19" s="22" customFormat="1" x14ac:dyDescent="0.35">
      <c r="A12" s="155">
        <v>1</v>
      </c>
      <c r="B12" s="514" t="s">
        <v>458</v>
      </c>
      <c r="C12" s="515"/>
      <c r="D12" s="156">
        <v>4.9928160919540217</v>
      </c>
      <c r="E12" s="150">
        <v>202221.09769581264</v>
      </c>
      <c r="F12" s="150">
        <v>1922457.9191570361</v>
      </c>
      <c r="G12" s="150">
        <v>29522.076428571425</v>
      </c>
      <c r="H12" s="150">
        <v>0</v>
      </c>
      <c r="I12" s="150">
        <v>0</v>
      </c>
      <c r="J12" s="158">
        <f>SUM(E12:I12)</f>
        <v>2154201.0932814199</v>
      </c>
      <c r="M12" s="140"/>
    </row>
    <row r="13" spans="1:19" s="22" customFormat="1" x14ac:dyDescent="0.35">
      <c r="A13" s="155">
        <v>2</v>
      </c>
      <c r="B13" s="514" t="s">
        <v>291</v>
      </c>
      <c r="C13" s="515"/>
      <c r="D13" s="156">
        <v>45.907499904214561</v>
      </c>
      <c r="E13" s="150">
        <v>311124.43381652946</v>
      </c>
      <c r="F13" s="150">
        <v>5016387.8072286826</v>
      </c>
      <c r="G13" s="150">
        <v>130821.87544728453</v>
      </c>
      <c r="H13" s="150">
        <v>1517</v>
      </c>
      <c r="I13" s="150">
        <v>17601.04226798514</v>
      </c>
      <c r="J13" s="158">
        <f>SUM(E13:I13)</f>
        <v>5477452.1587604815</v>
      </c>
      <c r="M13" s="140"/>
    </row>
    <row r="14" spans="1:19" s="22" customFormat="1" x14ac:dyDescent="0.35">
      <c r="A14" s="155">
        <v>3</v>
      </c>
      <c r="B14" s="514" t="s">
        <v>301</v>
      </c>
      <c r="C14" s="515"/>
      <c r="D14" s="156">
        <v>11.911584051724139</v>
      </c>
      <c r="E14" s="150">
        <v>219754.98599445878</v>
      </c>
      <c r="F14" s="150">
        <v>792228.05797573295</v>
      </c>
      <c r="G14" s="150">
        <v>0</v>
      </c>
      <c r="H14" s="150">
        <v>111102.30402940506</v>
      </c>
      <c r="I14" s="150">
        <v>11733.097024820849</v>
      </c>
      <c r="J14" s="158">
        <f>SUM(E14:I14)</f>
        <v>1134818.4450244175</v>
      </c>
      <c r="M14" s="140"/>
    </row>
    <row r="15" spans="1:19" s="22" customFormat="1" x14ac:dyDescent="0.35">
      <c r="A15" s="155">
        <v>4</v>
      </c>
      <c r="B15" s="508" t="s">
        <v>290</v>
      </c>
      <c r="C15" s="509"/>
      <c r="D15" s="159">
        <f t="shared" ref="D15:I15" si="0">SUM(D12:D14)</f>
        <v>62.811900047892721</v>
      </c>
      <c r="E15" s="160">
        <f t="shared" si="0"/>
        <v>733100.51750680082</v>
      </c>
      <c r="F15" s="160">
        <f t="shared" si="0"/>
        <v>7731073.7843614509</v>
      </c>
      <c r="G15" s="160">
        <f t="shared" si="0"/>
        <v>160343.95187585597</v>
      </c>
      <c r="H15" s="160">
        <f t="shared" si="0"/>
        <v>112619.30402940506</v>
      </c>
      <c r="I15" s="160">
        <f t="shared" si="0"/>
        <v>29334.139292805987</v>
      </c>
      <c r="J15" s="160">
        <f>SUM(E15:I15)</f>
        <v>8766471.6970663201</v>
      </c>
      <c r="M15" s="140"/>
    </row>
    <row r="16" spans="1:19" s="22" customFormat="1" x14ac:dyDescent="0.35">
      <c r="A16" s="161"/>
      <c r="B16" s="162"/>
      <c r="C16" s="162"/>
      <c r="D16" s="163"/>
      <c r="E16" s="164"/>
      <c r="F16" s="164"/>
      <c r="G16" s="164"/>
      <c r="H16" s="164"/>
      <c r="I16" s="164"/>
      <c r="J16" s="164"/>
      <c r="M16" s="140"/>
    </row>
    <row r="17" spans="1:13" s="22" customFormat="1" x14ac:dyDescent="0.35">
      <c r="A17" s="511" t="s">
        <v>281</v>
      </c>
      <c r="B17" s="512"/>
      <c r="C17" s="512"/>
      <c r="D17" s="512"/>
      <c r="E17" s="512"/>
      <c r="F17" s="512"/>
      <c r="G17" s="512"/>
      <c r="H17" s="512"/>
      <c r="I17" s="512"/>
      <c r="J17" s="513"/>
      <c r="M17" s="140"/>
    </row>
    <row r="18" spans="1:13" s="22" customFormat="1" x14ac:dyDescent="0.35">
      <c r="A18" s="155">
        <v>5</v>
      </c>
      <c r="B18" s="514" t="s">
        <v>221</v>
      </c>
      <c r="C18" s="515"/>
      <c r="D18" s="156"/>
      <c r="E18" s="150">
        <v>393423.18702070741</v>
      </c>
      <c r="F18" s="150">
        <v>0</v>
      </c>
      <c r="G18" s="150">
        <v>0</v>
      </c>
      <c r="H18" s="150">
        <v>0</v>
      </c>
      <c r="I18" s="150">
        <v>17703.94323188853</v>
      </c>
      <c r="J18" s="158">
        <f>SUM(E18:I18)</f>
        <v>411127.13025259593</v>
      </c>
      <c r="M18" s="140"/>
    </row>
    <row r="19" spans="1:13" s="22" customFormat="1" x14ac:dyDescent="0.35">
      <c r="A19" s="155">
        <v>6</v>
      </c>
      <c r="B19" s="514" t="s">
        <v>293</v>
      </c>
      <c r="C19" s="515"/>
      <c r="D19" s="156">
        <v>19.984729932950192</v>
      </c>
      <c r="E19" s="150">
        <v>1783950.5372343571</v>
      </c>
      <c r="F19" s="150">
        <v>0</v>
      </c>
      <c r="G19" s="150">
        <v>8649.9457142857154</v>
      </c>
      <c r="H19" s="150">
        <v>0</v>
      </c>
      <c r="I19" s="150">
        <v>166599.45604673403</v>
      </c>
      <c r="J19" s="158">
        <f>SUM(E19:I19)</f>
        <v>1959199.9389953769</v>
      </c>
      <c r="M19" s="140"/>
    </row>
    <row r="20" spans="1:13" s="22" customFormat="1" x14ac:dyDescent="0.35">
      <c r="A20" s="155">
        <v>7</v>
      </c>
      <c r="B20" s="508" t="s">
        <v>220</v>
      </c>
      <c r="C20" s="509"/>
      <c r="D20" s="159">
        <f t="shared" ref="D20:I20" si="1">SUM(D18:D19)</f>
        <v>19.984729932950192</v>
      </c>
      <c r="E20" s="160">
        <f t="shared" si="1"/>
        <v>2177373.7242550645</v>
      </c>
      <c r="F20" s="160">
        <f t="shared" si="1"/>
        <v>0</v>
      </c>
      <c r="G20" s="160">
        <f t="shared" si="1"/>
        <v>8649.9457142857154</v>
      </c>
      <c r="H20" s="160">
        <f t="shared" si="1"/>
        <v>0</v>
      </c>
      <c r="I20" s="160">
        <f t="shared" si="1"/>
        <v>184303.39927862256</v>
      </c>
      <c r="J20" s="160">
        <f>SUM(E20:I20)</f>
        <v>2370327.0692479727</v>
      </c>
      <c r="M20" s="140"/>
    </row>
    <row r="21" spans="1:13" s="22" customFormat="1" x14ac:dyDescent="0.35">
      <c r="A21" s="161"/>
      <c r="B21" s="162"/>
      <c r="C21" s="162"/>
      <c r="D21" s="163"/>
      <c r="E21" s="164"/>
      <c r="F21" s="164"/>
      <c r="G21" s="164"/>
      <c r="H21" s="164"/>
      <c r="I21" s="164"/>
      <c r="J21" s="164"/>
      <c r="M21" s="140"/>
    </row>
    <row r="22" spans="1:13" s="22" customFormat="1" x14ac:dyDescent="0.35">
      <c r="A22" s="511" t="s">
        <v>275</v>
      </c>
      <c r="B22" s="512"/>
      <c r="C22" s="512"/>
      <c r="D22" s="512"/>
      <c r="E22" s="512"/>
      <c r="F22" s="512"/>
      <c r="G22" s="512"/>
      <c r="H22" s="512"/>
      <c r="I22" s="512"/>
      <c r="J22" s="513"/>
      <c r="M22" s="140"/>
    </row>
    <row r="23" spans="1:13" s="22" customFormat="1" x14ac:dyDescent="0.35">
      <c r="A23" s="155">
        <v>8</v>
      </c>
      <c r="B23" s="514" t="s">
        <v>276</v>
      </c>
      <c r="C23" s="517"/>
      <c r="D23" s="515"/>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508" t="s">
        <v>222</v>
      </c>
      <c r="C24" s="516"/>
      <c r="D24" s="509"/>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11" t="s">
        <v>235</v>
      </c>
      <c r="B26" s="512"/>
      <c r="C26" s="512"/>
      <c r="D26" s="512"/>
      <c r="E26" s="512"/>
      <c r="F26" s="512"/>
      <c r="G26" s="512"/>
      <c r="H26" s="512"/>
      <c r="I26" s="512"/>
      <c r="J26" s="513"/>
      <c r="M26" s="140"/>
    </row>
    <row r="27" spans="1:13" s="22" customFormat="1" x14ac:dyDescent="0.35">
      <c r="A27" s="155">
        <v>10</v>
      </c>
      <c r="B27" s="514" t="s">
        <v>224</v>
      </c>
      <c r="C27" s="517"/>
      <c r="D27" s="515"/>
      <c r="E27" s="150">
        <v>430703.33096154855</v>
      </c>
      <c r="F27" s="150">
        <v>0</v>
      </c>
      <c r="G27" s="150">
        <v>0</v>
      </c>
      <c r="H27" s="150">
        <v>0</v>
      </c>
      <c r="I27" s="150">
        <v>0</v>
      </c>
      <c r="J27" s="158">
        <f>SUM(E27:I27)</f>
        <v>430703.33096154855</v>
      </c>
      <c r="M27" s="140"/>
    </row>
    <row r="28" spans="1:13" s="22" customFormat="1" x14ac:dyDescent="0.35">
      <c r="A28" s="166">
        <v>11</v>
      </c>
      <c r="B28" s="173" t="s">
        <v>223</v>
      </c>
      <c r="C28" s="167"/>
      <c r="D28" s="168"/>
      <c r="E28" s="150">
        <v>740360.79917452182</v>
      </c>
      <c r="F28" s="150">
        <v>1619129.4499606399</v>
      </c>
      <c r="G28" s="150">
        <v>45363.036433531328</v>
      </c>
      <c r="H28" s="150">
        <v>29993.194431306983</v>
      </c>
      <c r="I28" s="150">
        <v>57231.519999999997</v>
      </c>
      <c r="J28" s="158">
        <f>SUM(E28:I28)</f>
        <v>2492078</v>
      </c>
      <c r="K28" s="128"/>
      <c r="M28" s="140"/>
    </row>
    <row r="29" spans="1:13" s="22" customFormat="1" x14ac:dyDescent="0.35">
      <c r="A29" s="155">
        <v>12</v>
      </c>
      <c r="B29" s="514" t="s">
        <v>300</v>
      </c>
      <c r="C29" s="517"/>
      <c r="D29" s="515"/>
      <c r="E29" s="150">
        <v>244530.90215799955</v>
      </c>
      <c r="F29" s="150">
        <v>191349.7</v>
      </c>
      <c r="G29" s="150">
        <v>0</v>
      </c>
      <c r="H29" s="150">
        <v>0</v>
      </c>
      <c r="I29" s="150">
        <v>7632.3700000000008</v>
      </c>
      <c r="J29" s="158">
        <f t="shared" ref="J29" si="2">SUM(E29:I29)</f>
        <v>443512.97215799952</v>
      </c>
      <c r="M29" s="140"/>
    </row>
    <row r="30" spans="1:13" s="22" customFormat="1" x14ac:dyDescent="0.35">
      <c r="A30" s="155">
        <v>13</v>
      </c>
      <c r="B30" s="508" t="s">
        <v>225</v>
      </c>
      <c r="C30" s="516"/>
      <c r="D30" s="509"/>
      <c r="E30" s="160">
        <f>SUM(E27:E29)</f>
        <v>1415595.0322940699</v>
      </c>
      <c r="F30" s="160">
        <f>SUM(F27:F29)</f>
        <v>1810479.1499606399</v>
      </c>
      <c r="G30" s="160">
        <f>SUM(G27:G29)</f>
        <v>45363.036433531328</v>
      </c>
      <c r="H30" s="160">
        <f>SUM(H27:H29)</f>
        <v>29993.194431306983</v>
      </c>
      <c r="I30" s="160">
        <f>SUM(I27:I29)</f>
        <v>64863.89</v>
      </c>
      <c r="J30" s="160">
        <f>SUM(E30:I30)</f>
        <v>3366294.3031195481</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08" t="s">
        <v>228</v>
      </c>
      <c r="C32" s="516"/>
      <c r="D32" s="509"/>
      <c r="E32" s="160">
        <f>E30+E24+E20+E15</f>
        <v>4326069.2740559354</v>
      </c>
      <c r="F32" s="160">
        <f>F30+F24+F20+F15</f>
        <v>9541552.9343220908</v>
      </c>
      <c r="G32" s="160">
        <f>G30+G24+G20+G15</f>
        <v>214356.93402367301</v>
      </c>
      <c r="H32" s="160">
        <f>H30+H24+H20+H15</f>
        <v>142612.49846071203</v>
      </c>
      <c r="I32" s="160">
        <f>I30+I24+I20+I15</f>
        <v>278501.42857142852</v>
      </c>
      <c r="J32" s="160">
        <f t="shared" ref="J32" si="3">SUM(E32:I32)</f>
        <v>14503093.06943384</v>
      </c>
      <c r="M32" s="140"/>
    </row>
    <row r="33" spans="1:13" s="22" customFormat="1" x14ac:dyDescent="0.35">
      <c r="A33" s="161"/>
      <c r="B33" s="162"/>
      <c r="C33" s="162"/>
      <c r="D33" s="163"/>
      <c r="E33" s="164"/>
      <c r="F33" s="164"/>
      <c r="G33" s="164"/>
      <c r="H33" s="164"/>
      <c r="I33" s="164"/>
      <c r="J33" s="164"/>
      <c r="M33" s="140"/>
    </row>
    <row r="34" spans="1:13" s="22" customFormat="1" x14ac:dyDescent="0.35">
      <c r="A34" s="511" t="s">
        <v>234</v>
      </c>
      <c r="B34" s="512"/>
      <c r="C34" s="512"/>
      <c r="D34" s="512"/>
      <c r="E34" s="512"/>
      <c r="F34" s="512"/>
      <c r="G34" s="512"/>
      <c r="H34" s="512"/>
      <c r="I34" s="512"/>
      <c r="J34" s="513"/>
      <c r="M34" s="140"/>
    </row>
    <row r="35" spans="1:13" s="22" customFormat="1" x14ac:dyDescent="0.35">
      <c r="A35" s="155">
        <v>15</v>
      </c>
      <c r="B35" s="514" t="s">
        <v>292</v>
      </c>
      <c r="C35" s="517"/>
      <c r="D35" s="515"/>
      <c r="E35" s="150">
        <v>0</v>
      </c>
      <c r="F35" s="150">
        <v>119856</v>
      </c>
      <c r="G35" s="150">
        <v>0</v>
      </c>
      <c r="H35" s="150">
        <v>0</v>
      </c>
      <c r="I35" s="150">
        <v>0</v>
      </c>
      <c r="J35" s="158">
        <f>SUM(E35:I35)</f>
        <v>119856</v>
      </c>
      <c r="M35" s="140"/>
    </row>
    <row r="36" spans="1:13" s="22" customFormat="1" x14ac:dyDescent="0.35">
      <c r="A36" s="155">
        <v>16</v>
      </c>
      <c r="B36" s="514" t="s">
        <v>227</v>
      </c>
      <c r="C36" s="517"/>
      <c r="D36" s="515"/>
      <c r="E36" s="150">
        <v>1052856.0578140998</v>
      </c>
      <c r="F36" s="150">
        <v>0</v>
      </c>
      <c r="G36" s="150">
        <v>0</v>
      </c>
      <c r="H36" s="150">
        <v>0</v>
      </c>
      <c r="I36" s="150">
        <v>0</v>
      </c>
      <c r="J36" s="158">
        <f>SUM(E36:I36)</f>
        <v>1052856.0578140998</v>
      </c>
    </row>
    <row r="37" spans="1:13" s="22" customFormat="1" x14ac:dyDescent="0.35">
      <c r="A37" s="155">
        <v>17</v>
      </c>
      <c r="B37" s="173" t="s">
        <v>459</v>
      </c>
      <c r="C37" s="167"/>
      <c r="D37" s="168"/>
      <c r="E37" s="150">
        <v>0</v>
      </c>
      <c r="F37" s="150">
        <v>0</v>
      </c>
      <c r="G37" s="150">
        <v>0</v>
      </c>
      <c r="H37" s="150">
        <v>3023779.28</v>
      </c>
      <c r="I37" s="150">
        <v>1894134.9099999997</v>
      </c>
      <c r="J37" s="158">
        <f>SUM(E37:I37)</f>
        <v>4917914.1899999995</v>
      </c>
      <c r="K37" s="128"/>
    </row>
    <row r="38" spans="1:13" s="22" customFormat="1" x14ac:dyDescent="0.35">
      <c r="A38" s="155">
        <v>18</v>
      </c>
      <c r="B38" s="508" t="s">
        <v>226</v>
      </c>
      <c r="C38" s="516"/>
      <c r="D38" s="509"/>
      <c r="E38" s="160">
        <f>SUM(E35:E37)</f>
        <v>1052856.0578140998</v>
      </c>
      <c r="F38" s="160">
        <f t="shared" ref="F38:I38" si="4">SUM(F35:F37)</f>
        <v>119856</v>
      </c>
      <c r="G38" s="160">
        <f t="shared" si="4"/>
        <v>0</v>
      </c>
      <c r="H38" s="160">
        <f t="shared" si="4"/>
        <v>3023779.28</v>
      </c>
      <c r="I38" s="160">
        <f t="shared" si="4"/>
        <v>1894134.9099999997</v>
      </c>
      <c r="J38" s="160">
        <f>SUM(E38:I38)</f>
        <v>6090626.2478141002</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08" t="s">
        <v>229</v>
      </c>
      <c r="C40" s="516"/>
      <c r="D40" s="509"/>
      <c r="E40" s="160">
        <f>E38+E32</f>
        <v>5378925.3318700353</v>
      </c>
      <c r="F40" s="160">
        <f>F38+F32</f>
        <v>9661408.9343220908</v>
      </c>
      <c r="G40" s="160">
        <f>G38+G32</f>
        <v>214356.93402367301</v>
      </c>
      <c r="H40" s="160">
        <f>H38+H32</f>
        <v>3166391.7784607117</v>
      </c>
      <c r="I40" s="160">
        <f>I38+I32</f>
        <v>2172636.3385714283</v>
      </c>
      <c r="J40" s="160">
        <f>SUM(E40:I40)</f>
        <v>20593719.317247942</v>
      </c>
      <c r="M40" s="140"/>
    </row>
    <row r="41" spans="1:13" s="22" customFormat="1" x14ac:dyDescent="0.35">
      <c r="A41" s="161"/>
      <c r="B41" s="162"/>
      <c r="C41" s="162"/>
      <c r="D41" s="163"/>
      <c r="E41" s="164"/>
      <c r="F41" s="164"/>
      <c r="G41" s="164"/>
      <c r="H41" s="164"/>
      <c r="I41" s="164"/>
      <c r="J41" s="164"/>
      <c r="M41" s="140"/>
    </row>
    <row r="42" spans="1:13" s="22" customFormat="1" x14ac:dyDescent="0.35">
      <c r="A42" s="511" t="s">
        <v>487</v>
      </c>
      <c r="B42" s="512"/>
      <c r="C42" s="512"/>
      <c r="D42" s="512"/>
      <c r="E42" s="512"/>
      <c r="F42" s="512"/>
      <c r="G42" s="512"/>
      <c r="H42" s="512"/>
      <c r="I42" s="512"/>
      <c r="J42" s="513"/>
      <c r="M42" s="140"/>
    </row>
    <row r="43" spans="1:13" s="22" customFormat="1" x14ac:dyDescent="0.35">
      <c r="A43" s="155">
        <v>20</v>
      </c>
      <c r="B43" s="514" t="s">
        <v>283</v>
      </c>
      <c r="C43" s="517"/>
      <c r="D43" s="515"/>
      <c r="E43" s="150">
        <v>42199.787067212703</v>
      </c>
      <c r="F43" s="150">
        <v>53583</v>
      </c>
      <c r="G43" s="150">
        <v>0</v>
      </c>
      <c r="H43" s="150">
        <v>0</v>
      </c>
      <c r="I43" s="150">
        <v>0</v>
      </c>
      <c r="J43" s="158">
        <f>SUM(E43:I43)</f>
        <v>95782.787067212703</v>
      </c>
      <c r="M43" s="140"/>
    </row>
    <row r="44" spans="1:13" s="22" customFormat="1" x14ac:dyDescent="0.35">
      <c r="A44" s="155">
        <v>21</v>
      </c>
      <c r="B44" s="514" t="s">
        <v>230</v>
      </c>
      <c r="C44" s="517"/>
      <c r="D44" s="515"/>
      <c r="E44" s="150">
        <v>0</v>
      </c>
      <c r="F44" s="150">
        <v>0</v>
      </c>
      <c r="G44" s="150">
        <v>0</v>
      </c>
      <c r="H44" s="150">
        <v>0</v>
      </c>
      <c r="I44" s="150">
        <v>0</v>
      </c>
      <c r="J44" s="158">
        <f t="shared" ref="J44:J50" si="5">SUM(E44:I44)</f>
        <v>0</v>
      </c>
      <c r="M44" s="140"/>
    </row>
    <row r="45" spans="1:13" s="22" customFormat="1" x14ac:dyDescent="0.35">
      <c r="A45" s="155">
        <v>22</v>
      </c>
      <c r="B45" s="514" t="s">
        <v>288</v>
      </c>
      <c r="C45" s="517"/>
      <c r="D45" s="515"/>
      <c r="E45" s="150">
        <v>0</v>
      </c>
      <c r="F45" s="150">
        <v>0</v>
      </c>
      <c r="G45" s="150">
        <v>0</v>
      </c>
      <c r="H45" s="150">
        <v>0</v>
      </c>
      <c r="I45" s="150">
        <v>0</v>
      </c>
      <c r="J45" s="158">
        <f t="shared" si="5"/>
        <v>0</v>
      </c>
      <c r="M45" s="140"/>
    </row>
    <row r="46" spans="1:13" s="22" customFormat="1" x14ac:dyDescent="0.35">
      <c r="A46" s="155">
        <v>23</v>
      </c>
      <c r="B46" s="514" t="s">
        <v>284</v>
      </c>
      <c r="C46" s="517"/>
      <c r="D46" s="515"/>
      <c r="E46" s="150">
        <v>220.72</v>
      </c>
      <c r="F46" s="150">
        <v>0</v>
      </c>
      <c r="G46" s="150">
        <v>0</v>
      </c>
      <c r="H46" s="150">
        <v>0</v>
      </c>
      <c r="I46" s="150">
        <v>0</v>
      </c>
      <c r="J46" s="158">
        <f t="shared" si="5"/>
        <v>220.72</v>
      </c>
      <c r="M46" s="140"/>
    </row>
    <row r="47" spans="1:13" s="22" customFormat="1" x14ac:dyDescent="0.35">
      <c r="A47" s="155">
        <v>24</v>
      </c>
      <c r="B47" s="514" t="s">
        <v>314</v>
      </c>
      <c r="C47" s="517"/>
      <c r="D47" s="515"/>
      <c r="E47" s="150">
        <v>0</v>
      </c>
      <c r="F47" s="150">
        <v>0</v>
      </c>
      <c r="G47" s="150">
        <v>0</v>
      </c>
      <c r="H47" s="150">
        <v>0</v>
      </c>
      <c r="I47" s="150">
        <v>0</v>
      </c>
      <c r="J47" s="158">
        <f t="shared" si="5"/>
        <v>0</v>
      </c>
      <c r="M47" s="140"/>
    </row>
    <row r="48" spans="1:13" s="22" customFormat="1" x14ac:dyDescent="0.35">
      <c r="A48" s="155">
        <v>25</v>
      </c>
      <c r="B48" s="514" t="s">
        <v>775</v>
      </c>
      <c r="C48" s="517"/>
      <c r="D48" s="515"/>
      <c r="E48" s="150">
        <v>0</v>
      </c>
      <c r="F48" s="150">
        <v>0</v>
      </c>
      <c r="G48" s="150">
        <v>0</v>
      </c>
      <c r="H48" s="150">
        <v>0</v>
      </c>
      <c r="I48" s="150">
        <v>0</v>
      </c>
      <c r="J48" s="158">
        <f>SUM(E48:I48)</f>
        <v>0</v>
      </c>
      <c r="M48" s="140"/>
    </row>
    <row r="49" spans="1:13" s="22" customFormat="1" x14ac:dyDescent="0.35">
      <c r="A49" s="155">
        <v>26</v>
      </c>
      <c r="B49" s="514" t="s">
        <v>452</v>
      </c>
      <c r="C49" s="517"/>
      <c r="D49" s="515"/>
      <c r="E49" s="150">
        <v>0</v>
      </c>
      <c r="F49" s="150">
        <v>274069.64</v>
      </c>
      <c r="G49" s="150">
        <v>0</v>
      </c>
      <c r="H49" s="150">
        <v>0</v>
      </c>
      <c r="I49" s="150">
        <v>1752</v>
      </c>
      <c r="J49" s="158">
        <f t="shared" si="5"/>
        <v>275821.64</v>
      </c>
      <c r="M49" s="140"/>
    </row>
    <row r="50" spans="1:13" s="22" customFormat="1" x14ac:dyDescent="0.35">
      <c r="A50" s="155">
        <v>27</v>
      </c>
      <c r="B50" s="508" t="s">
        <v>238</v>
      </c>
      <c r="C50" s="516"/>
      <c r="D50" s="509"/>
      <c r="E50" s="160">
        <f>SUM(E43:E49)</f>
        <v>42420.507067212704</v>
      </c>
      <c r="F50" s="160">
        <f>SUM(F43:F49)</f>
        <v>327652.64</v>
      </c>
      <c r="G50" s="160">
        <f>SUM(G43:G49)</f>
        <v>0</v>
      </c>
      <c r="H50" s="160">
        <f>SUM(H43:H49)</f>
        <v>0</v>
      </c>
      <c r="I50" s="160">
        <f>SUM(I43:I49)</f>
        <v>1752</v>
      </c>
      <c r="J50" s="160">
        <f t="shared" si="5"/>
        <v>371825.14706721273</v>
      </c>
      <c r="M50" s="140"/>
    </row>
    <row r="51" spans="1:13" s="22" customFormat="1" x14ac:dyDescent="0.35">
      <c r="A51" s="161"/>
      <c r="B51" s="518"/>
      <c r="C51" s="518"/>
      <c r="D51" s="518"/>
      <c r="E51" s="518"/>
      <c r="F51" s="518"/>
      <c r="G51" s="518"/>
      <c r="H51" s="164"/>
      <c r="I51" s="164"/>
      <c r="J51" s="164"/>
      <c r="M51" s="140"/>
    </row>
    <row r="52" spans="1:13" s="22" customFormat="1" x14ac:dyDescent="0.35">
      <c r="A52" s="511" t="s">
        <v>233</v>
      </c>
      <c r="B52" s="512"/>
      <c r="C52" s="512"/>
      <c r="D52" s="512"/>
      <c r="E52" s="512"/>
      <c r="F52" s="512"/>
      <c r="G52" s="512"/>
      <c r="H52" s="512"/>
      <c r="I52" s="512"/>
      <c r="J52" s="513"/>
      <c r="M52" s="140"/>
    </row>
    <row r="53" spans="1:13" s="22" customFormat="1" x14ac:dyDescent="0.35">
      <c r="A53" s="155">
        <v>28</v>
      </c>
      <c r="B53" s="514" t="s">
        <v>282</v>
      </c>
      <c r="C53" s="517"/>
      <c r="D53" s="515"/>
      <c r="E53" s="150">
        <v>67543.7</v>
      </c>
      <c r="F53" s="150">
        <v>172956.81</v>
      </c>
      <c r="G53" s="150">
        <v>0</v>
      </c>
      <c r="H53" s="150">
        <v>0</v>
      </c>
      <c r="I53" s="150">
        <v>4935.41</v>
      </c>
      <c r="J53" s="158">
        <f>SUM(E53:I53)</f>
        <v>245435.92</v>
      </c>
      <c r="M53" s="140"/>
    </row>
    <row r="54" spans="1:13" s="22" customFormat="1" x14ac:dyDescent="0.35">
      <c r="A54" s="155">
        <v>29</v>
      </c>
      <c r="B54" s="514" t="s">
        <v>294</v>
      </c>
      <c r="C54" s="517"/>
      <c r="D54" s="515"/>
      <c r="E54" s="150">
        <v>59999.789999999979</v>
      </c>
      <c r="F54" s="150">
        <v>67715.900000000009</v>
      </c>
      <c r="G54" s="150">
        <v>0</v>
      </c>
      <c r="H54" s="150">
        <v>0</v>
      </c>
      <c r="I54" s="150">
        <v>0</v>
      </c>
      <c r="J54" s="158">
        <f>SUM(E54:I54)</f>
        <v>127715.68999999999</v>
      </c>
      <c r="M54" s="140"/>
    </row>
    <row r="55" spans="1:13" s="22" customFormat="1" x14ac:dyDescent="0.35">
      <c r="A55" s="155">
        <v>30</v>
      </c>
      <c r="B55" s="514" t="s">
        <v>295</v>
      </c>
      <c r="C55" s="517"/>
      <c r="D55" s="515"/>
      <c r="E55" s="150">
        <v>34845.089999999997</v>
      </c>
      <c r="F55" s="150">
        <v>15497</v>
      </c>
      <c r="G55" s="150">
        <v>300</v>
      </c>
      <c r="H55" s="150">
        <v>0</v>
      </c>
      <c r="I55" s="150">
        <v>0</v>
      </c>
      <c r="J55" s="158">
        <f t="shared" ref="J55:J57" si="6">SUM(E55:I55)</f>
        <v>50642.09</v>
      </c>
      <c r="M55" s="140"/>
    </row>
    <row r="56" spans="1:13" s="22" customFormat="1" x14ac:dyDescent="0.35">
      <c r="A56" s="155">
        <v>31</v>
      </c>
      <c r="B56" s="514" t="s">
        <v>296</v>
      </c>
      <c r="C56" s="517"/>
      <c r="D56" s="515"/>
      <c r="E56" s="150">
        <v>1211127.2994906174</v>
      </c>
      <c r="F56" s="150">
        <v>0</v>
      </c>
      <c r="G56" s="150">
        <v>0</v>
      </c>
      <c r="H56" s="150">
        <v>0</v>
      </c>
      <c r="I56" s="150">
        <v>1240</v>
      </c>
      <c r="J56" s="158">
        <f t="shared" si="6"/>
        <v>1212367.2994906174</v>
      </c>
      <c r="M56" s="140"/>
    </row>
    <row r="57" spans="1:13" s="22" customFormat="1" x14ac:dyDescent="0.35">
      <c r="A57" s="155">
        <v>32</v>
      </c>
      <c r="B57" s="508" t="s">
        <v>231</v>
      </c>
      <c r="C57" s="516"/>
      <c r="D57" s="509"/>
      <c r="E57" s="160">
        <f>SUM(E53:E56)</f>
        <v>1373515.8794906172</v>
      </c>
      <c r="F57" s="160">
        <f>SUM(F53:F56)</f>
        <v>256169.71000000002</v>
      </c>
      <c r="G57" s="160">
        <f>SUM(G53:G56)</f>
        <v>300</v>
      </c>
      <c r="H57" s="160">
        <f>SUM(H53:H56)</f>
        <v>0</v>
      </c>
      <c r="I57" s="160">
        <f>SUM(I53:I56)</f>
        <v>6175.41</v>
      </c>
      <c r="J57" s="160">
        <f t="shared" si="6"/>
        <v>1636160.9994906171</v>
      </c>
      <c r="M57" s="140"/>
    </row>
    <row r="58" spans="1:13" s="22" customFormat="1" x14ac:dyDescent="0.35">
      <c r="A58" s="161"/>
      <c r="B58" s="162"/>
      <c r="C58" s="162"/>
      <c r="D58" s="163"/>
      <c r="E58" s="164"/>
      <c r="F58" s="164"/>
      <c r="G58" s="164"/>
      <c r="H58" s="164"/>
      <c r="I58" s="164"/>
      <c r="J58" s="164"/>
      <c r="M58" s="140"/>
    </row>
    <row r="59" spans="1:13" s="22" customFormat="1" x14ac:dyDescent="0.35">
      <c r="A59" s="511" t="s">
        <v>232</v>
      </c>
      <c r="B59" s="512"/>
      <c r="C59" s="512"/>
      <c r="D59" s="512"/>
      <c r="E59" s="512"/>
      <c r="F59" s="512"/>
      <c r="G59" s="512"/>
      <c r="H59" s="512"/>
      <c r="I59" s="512"/>
      <c r="J59" s="513"/>
      <c r="M59" s="140"/>
    </row>
    <row r="60" spans="1:13" s="22" customFormat="1" x14ac:dyDescent="0.35">
      <c r="A60" s="155">
        <v>33</v>
      </c>
      <c r="B60" s="514" t="s">
        <v>297</v>
      </c>
      <c r="C60" s="517"/>
      <c r="D60" s="515"/>
      <c r="E60" s="150">
        <v>36383</v>
      </c>
      <c r="F60" s="150">
        <v>0</v>
      </c>
      <c r="G60" s="150">
        <v>0</v>
      </c>
      <c r="H60" s="150">
        <v>0</v>
      </c>
      <c r="I60" s="150">
        <v>-2706.5899999999992</v>
      </c>
      <c r="J60" s="158">
        <f>SUM(E60:I60)</f>
        <v>33676.410000000003</v>
      </c>
      <c r="M60" s="140"/>
    </row>
    <row r="61" spans="1:13" s="22" customFormat="1" x14ac:dyDescent="0.35">
      <c r="A61" s="155">
        <v>34</v>
      </c>
      <c r="B61" s="514" t="s">
        <v>298</v>
      </c>
      <c r="C61" s="517"/>
      <c r="D61" s="515"/>
      <c r="E61" s="150">
        <v>457298.95999999996</v>
      </c>
      <c r="F61" s="150">
        <v>0</v>
      </c>
      <c r="G61" s="150">
        <v>0</v>
      </c>
      <c r="H61" s="150">
        <v>0</v>
      </c>
      <c r="I61" s="150">
        <v>0</v>
      </c>
      <c r="J61" s="158">
        <f t="shared" ref="J61:J67" si="7">SUM(E61:I61)</f>
        <v>457298.95999999996</v>
      </c>
      <c r="M61" s="140"/>
    </row>
    <row r="62" spans="1:13" s="22" customFormat="1" x14ac:dyDescent="0.35">
      <c r="A62" s="155">
        <v>35</v>
      </c>
      <c r="B62" s="514" t="s">
        <v>302</v>
      </c>
      <c r="C62" s="517"/>
      <c r="D62" s="515"/>
      <c r="E62" s="150">
        <v>0</v>
      </c>
      <c r="F62" s="150">
        <v>0</v>
      </c>
      <c r="G62" s="150">
        <v>0</v>
      </c>
      <c r="H62" s="150">
        <v>0</v>
      </c>
      <c r="I62" s="150">
        <v>0</v>
      </c>
      <c r="J62" s="158">
        <f t="shared" si="7"/>
        <v>0</v>
      </c>
      <c r="M62" s="140"/>
    </row>
    <row r="63" spans="1:13" s="22" customFormat="1" x14ac:dyDescent="0.35">
      <c r="A63" s="155">
        <v>36</v>
      </c>
      <c r="B63" s="514" t="s">
        <v>315</v>
      </c>
      <c r="C63" s="517"/>
      <c r="D63" s="515"/>
      <c r="E63" s="150">
        <v>67523.430000000008</v>
      </c>
      <c r="F63" s="150">
        <v>0</v>
      </c>
      <c r="G63" s="150">
        <v>0</v>
      </c>
      <c r="H63" s="150">
        <v>0</v>
      </c>
      <c r="I63" s="150">
        <v>0</v>
      </c>
      <c r="J63" s="158">
        <f t="shared" si="7"/>
        <v>67523.430000000008</v>
      </c>
      <c r="M63" s="140"/>
    </row>
    <row r="64" spans="1:13" s="22" customFormat="1" x14ac:dyDescent="0.35">
      <c r="A64" s="155">
        <v>37</v>
      </c>
      <c r="B64" s="514" t="s">
        <v>316</v>
      </c>
      <c r="C64" s="517"/>
      <c r="D64" s="515"/>
      <c r="E64" s="150">
        <v>257359.28389489237</v>
      </c>
      <c r="F64" s="150">
        <v>0</v>
      </c>
      <c r="G64" s="150">
        <v>0</v>
      </c>
      <c r="H64" s="150">
        <v>0</v>
      </c>
      <c r="I64" s="150">
        <v>0</v>
      </c>
      <c r="J64" s="158">
        <f t="shared" si="7"/>
        <v>257359.28389489237</v>
      </c>
      <c r="M64" s="140"/>
    </row>
    <row r="65" spans="1:13" s="22" customFormat="1" x14ac:dyDescent="0.35">
      <c r="A65" s="155">
        <v>38</v>
      </c>
      <c r="B65" s="514" t="s">
        <v>317</v>
      </c>
      <c r="C65" s="517"/>
      <c r="D65" s="515"/>
      <c r="E65" s="150">
        <v>0</v>
      </c>
      <c r="F65" s="150">
        <v>0</v>
      </c>
      <c r="G65" s="150">
        <v>0</v>
      </c>
      <c r="H65" s="150">
        <v>0</v>
      </c>
      <c r="I65" s="150">
        <v>0</v>
      </c>
      <c r="J65" s="158">
        <f t="shared" si="7"/>
        <v>0</v>
      </c>
      <c r="M65" s="140"/>
    </row>
    <row r="66" spans="1:13" s="22" customFormat="1" x14ac:dyDescent="0.35">
      <c r="A66" s="155">
        <v>39</v>
      </c>
      <c r="B66" s="514" t="s">
        <v>299</v>
      </c>
      <c r="C66" s="517"/>
      <c r="D66" s="515"/>
      <c r="E66" s="150">
        <v>510084.90697667468</v>
      </c>
      <c r="F66" s="150">
        <v>0</v>
      </c>
      <c r="G66" s="150">
        <v>0</v>
      </c>
      <c r="H66" s="150">
        <v>0</v>
      </c>
      <c r="I66" s="150">
        <v>0</v>
      </c>
      <c r="J66" s="158">
        <f t="shared" ref="J66" si="8">SUM(E66:I66)</f>
        <v>510084.90697667468</v>
      </c>
      <c r="M66" s="140"/>
    </row>
    <row r="67" spans="1:13" s="22" customFormat="1" x14ac:dyDescent="0.35">
      <c r="A67" s="155">
        <v>40</v>
      </c>
      <c r="B67" s="508" t="s">
        <v>237</v>
      </c>
      <c r="C67" s="516"/>
      <c r="D67" s="509"/>
      <c r="E67" s="160">
        <f>SUM(E60:E66)</f>
        <v>1328649.5808715671</v>
      </c>
      <c r="F67" s="160">
        <f>SUM(F60:F66)</f>
        <v>0</v>
      </c>
      <c r="G67" s="160">
        <f>SUM(G60:G66)</f>
        <v>0</v>
      </c>
      <c r="H67" s="160">
        <f>SUM(H60:H66)</f>
        <v>0</v>
      </c>
      <c r="I67" s="160">
        <f>SUM(I60:I66)</f>
        <v>-2706.5899999999992</v>
      </c>
      <c r="J67" s="160">
        <f t="shared" si="7"/>
        <v>1325942.990871567</v>
      </c>
      <c r="M67" s="140"/>
    </row>
    <row r="68" spans="1:13" s="22" customFormat="1" x14ac:dyDescent="0.35">
      <c r="A68" s="161"/>
      <c r="B68" s="162"/>
      <c r="C68" s="162"/>
      <c r="D68" s="163"/>
      <c r="E68" s="164"/>
      <c r="F68" s="164"/>
      <c r="G68" s="164"/>
      <c r="H68" s="164"/>
      <c r="I68" s="164"/>
      <c r="J68" s="164"/>
      <c r="M68" s="140"/>
    </row>
    <row r="69" spans="1:13" s="22" customFormat="1" x14ac:dyDescent="0.35">
      <c r="A69" s="511" t="s">
        <v>236</v>
      </c>
      <c r="B69" s="512"/>
      <c r="C69" s="512"/>
      <c r="D69" s="512"/>
      <c r="E69" s="512"/>
      <c r="F69" s="512"/>
      <c r="G69" s="512"/>
      <c r="H69" s="512"/>
      <c r="I69" s="512"/>
      <c r="J69" s="513"/>
      <c r="M69" s="140"/>
    </row>
    <row r="70" spans="1:13" s="22" customFormat="1" x14ac:dyDescent="0.35">
      <c r="A70" s="155">
        <v>41</v>
      </c>
      <c r="B70" s="514" t="s">
        <v>239</v>
      </c>
      <c r="C70" s="517"/>
      <c r="D70" s="515"/>
      <c r="E70" s="150">
        <v>26464.42</v>
      </c>
      <c r="F70" s="150">
        <v>0</v>
      </c>
      <c r="G70" s="150">
        <v>0</v>
      </c>
      <c r="H70" s="150">
        <v>0</v>
      </c>
      <c r="I70" s="150">
        <v>525</v>
      </c>
      <c r="J70" s="158">
        <f t="shared" ref="J70:J73" si="9">SUM(E70:I70)</f>
        <v>26989.42</v>
      </c>
      <c r="M70" s="140"/>
    </row>
    <row r="71" spans="1:13" s="22" customFormat="1" x14ac:dyDescent="0.35">
      <c r="A71" s="155">
        <v>42</v>
      </c>
      <c r="B71" s="514" t="s">
        <v>289</v>
      </c>
      <c r="C71" s="517"/>
      <c r="D71" s="515"/>
      <c r="E71" s="150">
        <v>101452.76</v>
      </c>
      <c r="F71" s="150">
        <v>620</v>
      </c>
      <c r="G71" s="150">
        <v>0</v>
      </c>
      <c r="H71" s="150">
        <v>0</v>
      </c>
      <c r="I71" s="150">
        <v>35138.410000000003</v>
      </c>
      <c r="J71" s="158">
        <f t="shared" si="9"/>
        <v>137211.16999999998</v>
      </c>
      <c r="M71" s="140"/>
    </row>
    <row r="72" spans="1:13" s="22" customFormat="1" x14ac:dyDescent="0.35">
      <c r="A72" s="155">
        <v>43</v>
      </c>
      <c r="B72" s="514" t="s">
        <v>240</v>
      </c>
      <c r="C72" s="517"/>
      <c r="D72" s="515"/>
      <c r="E72" s="150">
        <v>27416.029316782806</v>
      </c>
      <c r="F72" s="150">
        <v>0</v>
      </c>
      <c r="G72" s="150">
        <v>0</v>
      </c>
      <c r="H72" s="150">
        <v>0</v>
      </c>
      <c r="I72" s="150">
        <v>281627</v>
      </c>
      <c r="J72" s="158">
        <f t="shared" si="9"/>
        <v>309043.02931678283</v>
      </c>
      <c r="M72" s="140"/>
    </row>
    <row r="73" spans="1:13" s="22" customFormat="1" x14ac:dyDescent="0.35">
      <c r="A73" s="155">
        <v>44</v>
      </c>
      <c r="B73" s="514" t="s">
        <v>308</v>
      </c>
      <c r="C73" s="517"/>
      <c r="D73" s="515"/>
      <c r="E73" s="150">
        <v>8209</v>
      </c>
      <c r="F73" s="150">
        <v>0</v>
      </c>
      <c r="G73" s="150">
        <v>0</v>
      </c>
      <c r="H73" s="150">
        <v>0</v>
      </c>
      <c r="I73" s="150">
        <v>0</v>
      </c>
      <c r="J73" s="158">
        <f t="shared" si="9"/>
        <v>8209</v>
      </c>
      <c r="M73" s="140"/>
    </row>
    <row r="74" spans="1:13" s="22" customFormat="1" x14ac:dyDescent="0.35">
      <c r="A74" s="155">
        <v>45</v>
      </c>
      <c r="B74" s="514" t="s">
        <v>286</v>
      </c>
      <c r="C74" s="517"/>
      <c r="D74" s="515"/>
      <c r="E74" s="150">
        <v>135</v>
      </c>
      <c r="F74" s="150">
        <v>0</v>
      </c>
      <c r="G74" s="150">
        <v>0</v>
      </c>
      <c r="H74" s="150">
        <v>0</v>
      </c>
      <c r="I74" s="150">
        <v>56150.58</v>
      </c>
      <c r="J74" s="158">
        <f>SUM(E74:I74)</f>
        <v>56285.58</v>
      </c>
      <c r="M74" s="140"/>
    </row>
    <row r="75" spans="1:13" s="22" customFormat="1" x14ac:dyDescent="0.35">
      <c r="A75" s="155">
        <v>46</v>
      </c>
      <c r="B75" s="514" t="s">
        <v>287</v>
      </c>
      <c r="C75" s="517"/>
      <c r="D75" s="515"/>
      <c r="E75" s="150">
        <v>292132.23000000027</v>
      </c>
      <c r="F75" s="150">
        <v>879082.2</v>
      </c>
      <c r="G75" s="150">
        <v>0</v>
      </c>
      <c r="H75" s="150">
        <v>0</v>
      </c>
      <c r="I75" s="150">
        <v>341435.62</v>
      </c>
      <c r="J75" s="158">
        <f t="shared" ref="J75:J77" si="10">SUM(E75:I75)</f>
        <v>1512650.0500000003</v>
      </c>
      <c r="M75" s="140"/>
    </row>
    <row r="76" spans="1:13" s="22" customFormat="1" x14ac:dyDescent="0.35">
      <c r="A76" s="155">
        <v>47</v>
      </c>
      <c r="B76" s="514" t="s">
        <v>318</v>
      </c>
      <c r="C76" s="517"/>
      <c r="D76" s="515"/>
      <c r="E76" s="150">
        <v>432423.92889299407</v>
      </c>
      <c r="F76" s="150">
        <v>0</v>
      </c>
      <c r="G76" s="150">
        <v>0</v>
      </c>
      <c r="H76" s="150">
        <v>0</v>
      </c>
      <c r="I76" s="150">
        <v>0</v>
      </c>
      <c r="J76" s="158">
        <f t="shared" si="10"/>
        <v>432423.92889299407</v>
      </c>
      <c r="M76" s="140"/>
    </row>
    <row r="77" spans="1:13" s="22" customFormat="1" x14ac:dyDescent="0.35">
      <c r="A77" s="155">
        <v>48</v>
      </c>
      <c r="B77" s="514" t="s">
        <v>285</v>
      </c>
      <c r="C77" s="517"/>
      <c r="D77" s="515"/>
      <c r="E77" s="150">
        <v>109801.567</v>
      </c>
      <c r="F77" s="150">
        <v>25798.959999999999</v>
      </c>
      <c r="G77" s="150">
        <v>0</v>
      </c>
      <c r="H77" s="150">
        <v>0</v>
      </c>
      <c r="I77" s="150">
        <v>2121.9030000000002</v>
      </c>
      <c r="J77" s="158">
        <f t="shared" si="10"/>
        <v>137722.43</v>
      </c>
      <c r="M77" s="140"/>
    </row>
    <row r="78" spans="1:13" s="22" customFormat="1" x14ac:dyDescent="0.35">
      <c r="A78" s="155">
        <v>49</v>
      </c>
      <c r="B78" s="508" t="s">
        <v>279</v>
      </c>
      <c r="C78" s="516"/>
      <c r="D78" s="509"/>
      <c r="E78" s="160">
        <f>SUM(E70:E77)</f>
        <v>998034.93520977721</v>
      </c>
      <c r="F78" s="160">
        <f t="shared" ref="F78:I78" si="11">SUM(F70:F77)</f>
        <v>905501.15999999992</v>
      </c>
      <c r="G78" s="160">
        <f t="shared" si="11"/>
        <v>0</v>
      </c>
      <c r="H78" s="160">
        <f t="shared" si="11"/>
        <v>0</v>
      </c>
      <c r="I78" s="160">
        <f t="shared" si="11"/>
        <v>716998.51300000015</v>
      </c>
      <c r="J78" s="160">
        <f t="shared" ref="J78" si="12">SUM(E78:I78)</f>
        <v>2620534.6082097772</v>
      </c>
      <c r="M78" s="140"/>
    </row>
    <row r="79" spans="1:13" s="22" customFormat="1" x14ac:dyDescent="0.35">
      <c r="A79" s="161"/>
      <c r="B79" s="162"/>
      <c r="C79" s="162"/>
      <c r="D79" s="163"/>
      <c r="E79" s="164"/>
      <c r="F79" s="164"/>
      <c r="G79" s="164"/>
      <c r="H79" s="164"/>
      <c r="I79" s="164"/>
      <c r="J79" s="164"/>
      <c r="M79" s="140"/>
    </row>
    <row r="80" spans="1:13" s="22" customFormat="1" x14ac:dyDescent="0.35">
      <c r="A80" s="511" t="s">
        <v>303</v>
      </c>
      <c r="B80" s="512"/>
      <c r="C80" s="512"/>
      <c r="D80" s="512"/>
      <c r="E80" s="512"/>
      <c r="F80" s="512"/>
      <c r="G80" s="512"/>
      <c r="H80" s="512"/>
      <c r="I80" s="512"/>
      <c r="J80" s="513"/>
      <c r="M80" s="140"/>
    </row>
    <row r="81" spans="1:13" s="22" customFormat="1" x14ac:dyDescent="0.35">
      <c r="A81" s="155">
        <v>50</v>
      </c>
      <c r="B81" s="514" t="s">
        <v>304</v>
      </c>
      <c r="C81" s="517"/>
      <c r="D81" s="515"/>
      <c r="E81" s="98"/>
      <c r="F81" s="98"/>
      <c r="G81" s="98"/>
      <c r="H81" s="98"/>
      <c r="I81" s="150">
        <v>1</v>
      </c>
      <c r="J81" s="158">
        <f>I81</f>
        <v>1</v>
      </c>
      <c r="M81" s="140"/>
    </row>
    <row r="82" spans="1:13" s="22" customFormat="1" x14ac:dyDescent="0.35">
      <c r="A82" s="155">
        <v>51</v>
      </c>
      <c r="B82" s="514" t="s">
        <v>309</v>
      </c>
      <c r="C82" s="517"/>
      <c r="D82" s="515"/>
      <c r="E82" s="98"/>
      <c r="F82" s="98"/>
      <c r="G82" s="98"/>
      <c r="H82" s="98"/>
      <c r="I82" s="150">
        <v>0</v>
      </c>
      <c r="J82" s="158">
        <f>I82</f>
        <v>0</v>
      </c>
      <c r="M82" s="140"/>
    </row>
    <row r="83" spans="1:13" s="22" customFormat="1" x14ac:dyDescent="0.35">
      <c r="A83" s="155">
        <v>52</v>
      </c>
      <c r="B83" s="514" t="s">
        <v>310</v>
      </c>
      <c r="C83" s="517"/>
      <c r="D83" s="515"/>
      <c r="E83" s="98"/>
      <c r="F83" s="98"/>
      <c r="G83" s="98"/>
      <c r="H83" s="98"/>
      <c r="I83" s="150">
        <v>0</v>
      </c>
      <c r="J83" s="158">
        <f t="shared" ref="J83:J84" si="13">I83</f>
        <v>0</v>
      </c>
      <c r="M83" s="140"/>
    </row>
    <row r="84" spans="1:13" s="22" customFormat="1" x14ac:dyDescent="0.35">
      <c r="A84" s="155">
        <v>53</v>
      </c>
      <c r="B84" s="514" t="s">
        <v>305</v>
      </c>
      <c r="C84" s="517"/>
      <c r="D84" s="515"/>
      <c r="E84" s="98"/>
      <c r="F84" s="98"/>
      <c r="G84" s="98"/>
      <c r="H84" s="98"/>
      <c r="I84" s="150">
        <v>340893.27912405384</v>
      </c>
      <c r="J84" s="158">
        <f t="shared" si="13"/>
        <v>340893.27912405384</v>
      </c>
      <c r="M84" s="140"/>
    </row>
    <row r="85" spans="1:13" s="22" customFormat="1" x14ac:dyDescent="0.35">
      <c r="A85" s="155">
        <v>54</v>
      </c>
      <c r="B85" s="508" t="s">
        <v>306</v>
      </c>
      <c r="C85" s="516"/>
      <c r="D85" s="509"/>
      <c r="E85" s="160">
        <v>0</v>
      </c>
      <c r="F85" s="160">
        <v>0</v>
      </c>
      <c r="G85" s="160">
        <v>0</v>
      </c>
      <c r="H85" s="160">
        <v>0</v>
      </c>
      <c r="I85" s="160">
        <f>SUM(I81:I84)</f>
        <v>340894.27912405384</v>
      </c>
      <c r="J85" s="160">
        <f>SUM(E85:I85)</f>
        <v>340894.27912405384</v>
      </c>
      <c r="M85" s="140"/>
    </row>
    <row r="86" spans="1:13" s="22" customFormat="1" x14ac:dyDescent="0.35">
      <c r="A86" s="161"/>
      <c r="B86" s="162"/>
      <c r="C86" s="162"/>
      <c r="D86" s="163"/>
      <c r="E86" s="164"/>
      <c r="F86" s="164"/>
      <c r="G86" s="164"/>
      <c r="H86" s="164"/>
      <c r="I86" s="164"/>
      <c r="J86" s="164"/>
      <c r="M86" s="140"/>
    </row>
    <row r="87" spans="1:13" s="22" customFormat="1" x14ac:dyDescent="0.35">
      <c r="A87" s="511" t="s">
        <v>273</v>
      </c>
      <c r="B87" s="512"/>
      <c r="C87" s="512"/>
      <c r="D87" s="512"/>
      <c r="E87" s="512"/>
      <c r="F87" s="512"/>
      <c r="G87" s="512"/>
      <c r="H87" s="512"/>
      <c r="I87" s="512"/>
      <c r="J87" s="513"/>
      <c r="M87" s="140"/>
    </row>
    <row r="88" spans="1:13" s="22" customFormat="1" x14ac:dyDescent="0.35">
      <c r="A88" s="155">
        <v>55</v>
      </c>
      <c r="B88" s="514" t="s">
        <v>274</v>
      </c>
      <c r="C88" s="517"/>
      <c r="D88" s="515"/>
      <c r="E88" s="165">
        <f>-'As-Filed Schedule 1C'!F62</f>
        <v>0</v>
      </c>
      <c r="F88" s="165">
        <f>-'As-Filed Schedule 1C'!F63</f>
        <v>0</v>
      </c>
      <c r="G88" s="165">
        <f>-'As-Filed Schedule 1C'!F64</f>
        <v>0</v>
      </c>
      <c r="H88" s="165">
        <f>-'As-Filed Schedule 1C'!F65</f>
        <v>0</v>
      </c>
      <c r="I88" s="165">
        <f>-SUM(E88:H88)</f>
        <v>0</v>
      </c>
      <c r="J88" s="158">
        <f>SUM(E88:I88)</f>
        <v>0</v>
      </c>
      <c r="M88" s="140"/>
    </row>
    <row r="89" spans="1:13" s="22" customFormat="1" x14ac:dyDescent="0.35">
      <c r="A89" s="155">
        <v>56</v>
      </c>
      <c r="B89" s="508" t="s">
        <v>270</v>
      </c>
      <c r="C89" s="516"/>
      <c r="D89" s="509"/>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08" t="s">
        <v>241</v>
      </c>
      <c r="C91" s="516"/>
      <c r="D91" s="509"/>
      <c r="E91" s="160">
        <f>E78+E67+E57+E50+E40+E89+E85</f>
        <v>9121546.2345092092</v>
      </c>
      <c r="F91" s="160">
        <f>F78+F67+F57+F50+F40+F89+F85</f>
        <v>11150732.444322091</v>
      </c>
      <c r="G91" s="160">
        <f>G78+G67+G57+G50+G40+G89+G85</f>
        <v>214656.93402367301</v>
      </c>
      <c r="H91" s="160">
        <f>H78+H67+H57+H50+H40+H89+H85</f>
        <v>3166391.7784607117</v>
      </c>
      <c r="I91" s="160">
        <f>I78+I67+I57+I50+I40+I89+I85</f>
        <v>3235749.9506954821</v>
      </c>
      <c r="J91" s="160">
        <f>SUM(E91:I91)</f>
        <v>26889077.342011169</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514" t="s">
        <v>2</v>
      </c>
      <c r="C93" s="517"/>
      <c r="D93" s="515"/>
      <c r="E93" s="158">
        <f>E91*-1</f>
        <v>-9121546.2345092092</v>
      </c>
      <c r="F93" s="157">
        <v>8289035.8561279466</v>
      </c>
      <c r="G93" s="157">
        <v>159567.90567553512</v>
      </c>
      <c r="H93" s="157">
        <v>238552.6147555756</v>
      </c>
      <c r="I93" s="157">
        <v>434389.85795015196</v>
      </c>
      <c r="J93" s="160">
        <f>SUM(E93:I93)</f>
        <v>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20" t="s">
        <v>242</v>
      </c>
      <c r="C95" s="521"/>
      <c r="D95" s="522"/>
      <c r="E95" s="169">
        <f>E93+E91</f>
        <v>0</v>
      </c>
      <c r="F95" s="169">
        <f t="shared" ref="F95:I95" si="14">F93+F91</f>
        <v>19439768.300450038</v>
      </c>
      <c r="G95" s="169">
        <f t="shared" si="14"/>
        <v>374224.83969920815</v>
      </c>
      <c r="H95" s="169">
        <f t="shared" si="14"/>
        <v>3404944.3932162873</v>
      </c>
      <c r="I95" s="169">
        <f t="shared" si="14"/>
        <v>3670139.808645634</v>
      </c>
      <c r="J95" s="169">
        <f>SUM(E95:I95)</f>
        <v>26889077.342011169</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519" t="s">
        <v>4</v>
      </c>
      <c r="C97" s="519"/>
      <c r="D97" s="170"/>
      <c r="E97" s="170"/>
      <c r="F97" s="150"/>
      <c r="G97" s="170"/>
      <c r="H97" s="170"/>
      <c r="I97" s="170"/>
      <c r="J97" s="170"/>
      <c r="M97" s="140"/>
    </row>
    <row r="98" spans="1:13" s="22" customFormat="1" x14ac:dyDescent="0.35">
      <c r="A98" s="155">
        <v>61</v>
      </c>
      <c r="B98" s="519" t="s">
        <v>5</v>
      </c>
      <c r="C98" s="519"/>
      <c r="D98" s="170"/>
      <c r="E98" s="170"/>
      <c r="F98" s="158" t="str">
        <f>IFERROR(F95/F97,"")</f>
        <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519" t="s">
        <v>307</v>
      </c>
      <c r="C100" s="519"/>
      <c r="D100" s="170"/>
      <c r="E100" s="170"/>
      <c r="F100" s="170"/>
      <c r="G100" s="170"/>
      <c r="H100" s="170"/>
      <c r="I100" s="170"/>
      <c r="J100" s="464">
        <v>26889077</v>
      </c>
      <c r="M100" s="140"/>
    </row>
    <row r="101" spans="1:13" s="22" customFormat="1" x14ac:dyDescent="0.35">
      <c r="A101" s="155">
        <v>63</v>
      </c>
      <c r="B101" s="519" t="s">
        <v>10</v>
      </c>
      <c r="C101" s="519"/>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519" t="s">
        <v>202</v>
      </c>
      <c r="C103" s="519"/>
      <c r="D103" s="100"/>
      <c r="E103" s="172">
        <f>IFERROR(E91/SUM(F91:I91),"")</f>
        <v>0.51338287685101236</v>
      </c>
      <c r="F103" s="100"/>
      <c r="G103" s="100"/>
      <c r="H103" s="100"/>
      <c r="I103" s="100"/>
      <c r="J103"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524" t="s">
        <v>763</v>
      </c>
      <c r="B3" s="524"/>
      <c r="C3" s="524"/>
      <c r="D3" s="524"/>
      <c r="E3" s="524"/>
      <c r="F3" s="524"/>
      <c r="G3" s="524"/>
      <c r="H3" s="524"/>
      <c r="I3" s="524"/>
      <c r="J3" s="524"/>
    </row>
    <row r="4" spans="1:12" x14ac:dyDescent="0.35">
      <c r="H4" s="61"/>
      <c r="J4" s="130"/>
      <c r="K4" s="130"/>
      <c r="L4" s="130"/>
    </row>
    <row r="5" spans="1:12" x14ac:dyDescent="0.35">
      <c r="A5" s="1" t="s">
        <v>773</v>
      </c>
      <c r="C5" s="420" t="str">
        <f>'As-Filed Schedule 1'!C5</f>
        <v>Eagle Valley Behavioral Health</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25" t="s">
        <v>488</v>
      </c>
      <c r="B13" s="525"/>
      <c r="C13" s="525"/>
      <c r="D13" s="525"/>
      <c r="E13" s="525"/>
      <c r="F13" s="525"/>
      <c r="G13" s="525"/>
      <c r="H13" s="525"/>
      <c r="I13" s="79"/>
      <c r="J13" s="62"/>
    </row>
    <row r="14" spans="1:12" ht="15" customHeight="1" x14ac:dyDescent="0.35">
      <c r="A14" s="525"/>
      <c r="B14" s="525"/>
      <c r="C14" s="525"/>
      <c r="D14" s="525"/>
      <c r="E14" s="525"/>
      <c r="F14" s="525"/>
      <c r="G14" s="525"/>
      <c r="H14" s="525"/>
      <c r="I14" s="79"/>
      <c r="J14" s="62"/>
    </row>
    <row r="15" spans="1:12" ht="15" customHeight="1" x14ac:dyDescent="0.35">
      <c r="A15" s="525"/>
      <c r="B15" s="525"/>
      <c r="C15" s="525"/>
      <c r="D15" s="525"/>
      <c r="E15" s="525"/>
      <c r="F15" s="525"/>
      <c r="G15" s="525"/>
      <c r="H15" s="525"/>
      <c r="I15" s="79"/>
      <c r="J15" s="62"/>
    </row>
    <row r="16" spans="1:12" x14ac:dyDescent="0.35">
      <c r="A16" s="525"/>
      <c r="B16" s="525"/>
      <c r="C16" s="525"/>
      <c r="D16" s="525"/>
      <c r="E16" s="525"/>
      <c r="F16" s="525"/>
      <c r="G16" s="525"/>
      <c r="H16" s="525"/>
      <c r="I16" s="62"/>
    </row>
    <row r="17" spans="1:25" x14ac:dyDescent="0.35">
      <c r="A17" s="174"/>
      <c r="B17" s="174"/>
      <c r="C17" s="174"/>
      <c r="D17" s="174"/>
      <c r="E17" s="174"/>
      <c r="F17" s="174"/>
      <c r="G17" s="174"/>
      <c r="H17" s="174"/>
      <c r="I17" s="127"/>
    </row>
    <row r="18" spans="1:25" x14ac:dyDescent="0.35">
      <c r="A18" s="174"/>
      <c r="B18" s="526">
        <v>1</v>
      </c>
      <c r="C18" s="527"/>
      <c r="D18" s="175">
        <v>2</v>
      </c>
      <c r="E18" s="175">
        <v>3</v>
      </c>
      <c r="F18" s="175">
        <v>4</v>
      </c>
      <c r="G18" s="175">
        <v>5</v>
      </c>
      <c r="H18" s="175">
        <v>6</v>
      </c>
      <c r="I18" s="127"/>
    </row>
    <row r="19" spans="1:25" s="4" customFormat="1" ht="52.5" customHeight="1" x14ac:dyDescent="0.35">
      <c r="A19" s="176"/>
      <c r="B19" s="528" t="s">
        <v>181</v>
      </c>
      <c r="C19" s="528"/>
      <c r="D19" s="151" t="s">
        <v>268</v>
      </c>
      <c r="E19" s="151" t="s">
        <v>457</v>
      </c>
      <c r="F19" s="151" t="s">
        <v>453</v>
      </c>
      <c r="G19" s="151" t="s">
        <v>489</v>
      </c>
      <c r="H19" s="151" t="s">
        <v>490</v>
      </c>
      <c r="I19" s="36"/>
    </row>
    <row r="20" spans="1:25" x14ac:dyDescent="0.35">
      <c r="A20" s="177">
        <v>1</v>
      </c>
      <c r="B20" s="523" t="s">
        <v>942</v>
      </c>
      <c r="C20" s="523"/>
      <c r="D20" s="178">
        <v>2</v>
      </c>
      <c r="E20" s="465">
        <v>12</v>
      </c>
      <c r="F20" s="179">
        <v>1</v>
      </c>
      <c r="G20" s="180">
        <v>303252</v>
      </c>
      <c r="H20" s="181">
        <f>IF(G20-$D$8&gt;0,G20-$D$8,0)</f>
        <v>0</v>
      </c>
      <c r="I20" s="36"/>
    </row>
    <row r="21" spans="1:25" x14ac:dyDescent="0.35">
      <c r="A21" s="177">
        <f>A20+1</f>
        <v>2</v>
      </c>
      <c r="B21" s="523" t="s">
        <v>943</v>
      </c>
      <c r="C21" s="523"/>
      <c r="D21" s="178">
        <v>2</v>
      </c>
      <c r="E21" s="465">
        <v>12</v>
      </c>
      <c r="F21" s="179">
        <v>0.39</v>
      </c>
      <c r="G21" s="180">
        <v>254995.90715719611</v>
      </c>
      <c r="H21" s="181">
        <f>IF(G21-$D$8&gt;0,G21-$D$8,0)</f>
        <v>0</v>
      </c>
      <c r="I21" s="48"/>
    </row>
    <row r="22" spans="1:25" x14ac:dyDescent="0.35">
      <c r="A22" s="177">
        <f t="shared" ref="A22:A30" si="0">A21+1</f>
        <v>3</v>
      </c>
      <c r="B22" s="523" t="s">
        <v>944</v>
      </c>
      <c r="C22" s="523"/>
      <c r="D22" s="178">
        <v>2</v>
      </c>
      <c r="E22" s="465">
        <v>12</v>
      </c>
      <c r="F22" s="179">
        <v>1</v>
      </c>
      <c r="G22" s="180">
        <v>231488</v>
      </c>
      <c r="H22" s="181">
        <f>IF(G22-$D$8&gt;0,G22-$D$8,0)</f>
        <v>0</v>
      </c>
      <c r="I22" s="48"/>
    </row>
    <row r="23" spans="1:25" x14ac:dyDescent="0.35">
      <c r="A23" s="177">
        <f t="shared" si="0"/>
        <v>4</v>
      </c>
      <c r="B23" s="523" t="s">
        <v>945</v>
      </c>
      <c r="C23" s="523"/>
      <c r="D23" s="178">
        <v>2</v>
      </c>
      <c r="E23" s="465">
        <v>12</v>
      </c>
      <c r="F23" s="179">
        <v>0.75</v>
      </c>
      <c r="G23" s="180">
        <v>166595</v>
      </c>
      <c r="H23" s="181">
        <f>IF(G23-$D$8&gt;0,G23-$D$8,0)</f>
        <v>0</v>
      </c>
      <c r="I23" s="48"/>
    </row>
    <row r="24" spans="1:25" x14ac:dyDescent="0.35">
      <c r="A24" s="177">
        <f t="shared" si="0"/>
        <v>5</v>
      </c>
      <c r="B24" s="523" t="s">
        <v>946</v>
      </c>
      <c r="C24" s="523"/>
      <c r="D24" s="178">
        <v>2</v>
      </c>
      <c r="E24" s="465">
        <v>12</v>
      </c>
      <c r="F24" s="179">
        <v>1</v>
      </c>
      <c r="G24" s="180">
        <v>160963</v>
      </c>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0</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9"/>
  <sheetViews>
    <sheetView workbookViewId="0"/>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764</v>
      </c>
    </row>
    <row r="5" spans="1:4" x14ac:dyDescent="0.35">
      <c r="A5" s="1" t="s">
        <v>773</v>
      </c>
      <c r="C5" s="420" t="str">
        <f>'As-Filed Schedule 1'!C5</f>
        <v>Eagle Valley Behavioral Health</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71" t="s">
        <v>947</v>
      </c>
      <c r="C10" s="571"/>
      <c r="D10" s="571"/>
    </row>
    <row r="11" spans="1:4" ht="15" customHeight="1" x14ac:dyDescent="0.35">
      <c r="B11" s="571"/>
      <c r="C11" s="571"/>
      <c r="D11" s="571"/>
    </row>
    <row r="12" spans="1:4" x14ac:dyDescent="0.35">
      <c r="B12" s="571"/>
      <c r="C12" s="571"/>
      <c r="D12" s="571"/>
    </row>
    <row r="13" spans="1:4" x14ac:dyDescent="0.35">
      <c r="B13" s="571"/>
      <c r="C13" s="571"/>
      <c r="D13" s="571"/>
    </row>
    <row r="15" spans="1:4" ht="15" customHeight="1" x14ac:dyDescent="0.35">
      <c r="A15" t="s">
        <v>245</v>
      </c>
      <c r="B15" s="571" t="s">
        <v>948</v>
      </c>
      <c r="C15" s="571"/>
      <c r="D15" s="571"/>
    </row>
    <row r="16" spans="1:4" ht="15" customHeight="1" x14ac:dyDescent="0.35">
      <c r="B16" s="571"/>
      <c r="C16" s="571"/>
      <c r="D16" s="571"/>
    </row>
    <row r="17" spans="1:4" x14ac:dyDescent="0.35">
      <c r="B17" s="571"/>
      <c r="C17" s="571"/>
      <c r="D17" s="571"/>
    </row>
    <row r="18" spans="1:4" x14ac:dyDescent="0.35">
      <c r="B18" s="571"/>
      <c r="C18" s="571"/>
      <c r="D18" s="571"/>
    </row>
    <row r="20" spans="1:4" ht="15" customHeight="1" x14ac:dyDescent="0.35">
      <c r="A20" t="s">
        <v>246</v>
      </c>
      <c r="B20" s="571" t="s">
        <v>1018</v>
      </c>
      <c r="C20" s="571"/>
      <c r="D20" s="571"/>
    </row>
    <row r="21" spans="1:4" ht="15" customHeight="1" x14ac:dyDescent="0.35">
      <c r="B21" s="571"/>
      <c r="C21" s="571"/>
      <c r="D21" s="571"/>
    </row>
    <row r="22" spans="1:4" x14ac:dyDescent="0.35">
      <c r="B22" s="571"/>
      <c r="C22" s="571"/>
      <c r="D22" s="571"/>
    </row>
    <row r="23" spans="1:4" x14ac:dyDescent="0.35">
      <c r="B23" s="571"/>
      <c r="C23" s="571"/>
      <c r="D23" s="571"/>
    </row>
    <row r="25" spans="1:4" ht="15" customHeight="1" x14ac:dyDescent="0.35">
      <c r="A25" t="s">
        <v>247</v>
      </c>
      <c r="B25" s="571" t="s">
        <v>949</v>
      </c>
      <c r="C25" s="571"/>
      <c r="D25" s="571"/>
    </row>
    <row r="26" spans="1:4" ht="15" customHeight="1" x14ac:dyDescent="0.35">
      <c r="B26" s="571"/>
      <c r="C26" s="571"/>
      <c r="D26" s="571"/>
    </row>
    <row r="27" spans="1:4" x14ac:dyDescent="0.35">
      <c r="B27" s="571"/>
      <c r="C27" s="571"/>
      <c r="D27" s="571"/>
    </row>
    <row r="28" spans="1:4" x14ac:dyDescent="0.35">
      <c r="B28" s="571"/>
      <c r="C28" s="571"/>
      <c r="D28" s="571"/>
    </row>
    <row r="30" spans="1:4" ht="15" customHeight="1" x14ac:dyDescent="0.35">
      <c r="A30" t="s">
        <v>248</v>
      </c>
      <c r="B30" s="571" t="s">
        <v>1019</v>
      </c>
      <c r="C30" s="571"/>
      <c r="D30" s="571"/>
    </row>
    <row r="31" spans="1:4" ht="15" customHeight="1" x14ac:dyDescent="0.35">
      <c r="B31" s="571"/>
      <c r="C31" s="571"/>
      <c r="D31" s="571"/>
    </row>
    <row r="32" spans="1:4" x14ac:dyDescent="0.35">
      <c r="B32" s="571"/>
      <c r="C32" s="571"/>
      <c r="D32" s="571"/>
    </row>
    <row r="33" spans="1:4" x14ac:dyDescent="0.35">
      <c r="B33" s="571"/>
      <c r="C33" s="571"/>
      <c r="D33" s="571"/>
    </row>
    <row r="35" spans="1:4" ht="15" customHeight="1" x14ac:dyDescent="0.35">
      <c r="A35" t="s">
        <v>248</v>
      </c>
      <c r="B35" s="571" t="s">
        <v>950</v>
      </c>
      <c r="C35" s="571"/>
      <c r="D35" s="571"/>
    </row>
    <row r="36" spans="1:4" x14ac:dyDescent="0.35">
      <c r="B36" s="571"/>
      <c r="C36" s="571"/>
      <c r="D36" s="571"/>
    </row>
    <row r="37" spans="1:4" x14ac:dyDescent="0.35">
      <c r="B37" s="571"/>
      <c r="C37" s="571"/>
      <c r="D37" s="571"/>
    </row>
    <row r="38" spans="1:4" x14ac:dyDescent="0.35">
      <c r="B38" s="571"/>
      <c r="C38" s="571"/>
      <c r="D38" s="571"/>
    </row>
    <row r="40" spans="1:4" x14ac:dyDescent="0.35">
      <c r="A40" t="s">
        <v>205</v>
      </c>
      <c r="D40" s="118" t="s">
        <v>177</v>
      </c>
    </row>
    <row r="42" spans="1:4" x14ac:dyDescent="0.35">
      <c r="A42" t="s">
        <v>206</v>
      </c>
    </row>
    <row r="43" spans="1:4" x14ac:dyDescent="0.35">
      <c r="A43" s="571" t="s">
        <v>1020</v>
      </c>
      <c r="B43" s="571"/>
      <c r="C43" s="571"/>
      <c r="D43" s="571"/>
    </row>
    <row r="44" spans="1:4" x14ac:dyDescent="0.35">
      <c r="A44" s="571"/>
      <c r="B44" s="571"/>
      <c r="C44" s="571"/>
      <c r="D44" s="571"/>
    </row>
    <row r="45" spans="1:4" x14ac:dyDescent="0.35">
      <c r="A45" s="571"/>
      <c r="B45" s="571"/>
      <c r="C45" s="571"/>
      <c r="D45" s="571"/>
    </row>
    <row r="46" spans="1:4" x14ac:dyDescent="0.35">
      <c r="A46" s="571"/>
      <c r="B46" s="571"/>
      <c r="C46" s="571"/>
      <c r="D46" s="571"/>
    </row>
    <row r="47" spans="1:4" x14ac:dyDescent="0.35">
      <c r="A47" s="571"/>
      <c r="B47" s="571"/>
      <c r="C47" s="571"/>
      <c r="D47" s="571"/>
    </row>
    <row r="48" spans="1:4" x14ac:dyDescent="0.35">
      <c r="A48" s="571"/>
      <c r="B48" s="571"/>
      <c r="C48" s="571"/>
      <c r="D48" s="571"/>
    </row>
    <row r="49" spans="1:4" x14ac:dyDescent="0.35">
      <c r="A49" s="571"/>
      <c r="B49" s="571"/>
      <c r="C49" s="571"/>
      <c r="D49" s="571"/>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7">
    <mergeCell ref="B35:D38"/>
    <mergeCell ref="A43:D49"/>
    <mergeCell ref="B10:D13"/>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134"/>
  <sheetViews>
    <sheetView workbookViewId="0"/>
  </sheetViews>
  <sheetFormatPr defaultRowHeight="14.5" x14ac:dyDescent="0.35"/>
  <cols>
    <col min="1" max="1" width="6.54296875" customWidth="1"/>
    <col min="2" max="2" width="26.453125" customWidth="1"/>
    <col min="3" max="3" width="20.179687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765</v>
      </c>
    </row>
    <row r="5" spans="1:24" x14ac:dyDescent="0.35">
      <c r="A5" s="1" t="s">
        <v>773</v>
      </c>
      <c r="C5" s="420" t="str">
        <f>'As-Filed Schedule 1'!C5</f>
        <v>Eagle Valley Behavioral Health</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31" t="s">
        <v>922</v>
      </c>
      <c r="B9" s="531"/>
      <c r="C9" s="531"/>
      <c r="D9" s="531"/>
      <c r="E9" s="531"/>
      <c r="F9" s="531"/>
      <c r="G9" s="531"/>
      <c r="H9" s="531"/>
      <c r="I9" s="531"/>
      <c r="J9" s="64"/>
      <c r="K9" s="40"/>
      <c r="L9" s="40"/>
      <c r="M9" s="40"/>
      <c r="T9" s="65"/>
      <c r="U9" s="65"/>
      <c r="V9" s="65"/>
      <c r="W9" s="65"/>
      <c r="X9" s="65"/>
    </row>
    <row r="10" spans="1:24" ht="15" customHeight="1" x14ac:dyDescent="0.35">
      <c r="A10" s="531"/>
      <c r="B10" s="531"/>
      <c r="C10" s="531"/>
      <c r="D10" s="531"/>
      <c r="E10" s="531"/>
      <c r="F10" s="531"/>
      <c r="G10" s="531"/>
      <c r="H10" s="531"/>
      <c r="I10" s="531"/>
      <c r="J10" s="64"/>
      <c r="K10" s="40"/>
      <c r="L10" s="40"/>
      <c r="M10" s="40"/>
      <c r="T10" s="65"/>
      <c r="U10" s="65"/>
      <c r="V10" s="65"/>
      <c r="W10" s="65"/>
      <c r="X10" s="65"/>
    </row>
    <row r="11" spans="1:24" x14ac:dyDescent="0.35">
      <c r="A11" s="531"/>
      <c r="B11" s="531"/>
      <c r="C11" s="531"/>
      <c r="D11" s="531"/>
      <c r="E11" s="531"/>
      <c r="F11" s="531"/>
      <c r="G11" s="531"/>
      <c r="H11" s="531"/>
      <c r="I11" s="531"/>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32">
        <v>1</v>
      </c>
      <c r="C13" s="532"/>
      <c r="D13" s="175">
        <v>2</v>
      </c>
      <c r="E13" s="175">
        <v>3</v>
      </c>
      <c r="F13" s="175">
        <v>4</v>
      </c>
      <c r="G13" s="175">
        <v>5</v>
      </c>
      <c r="H13" s="175">
        <v>6</v>
      </c>
      <c r="I13" s="175">
        <v>7</v>
      </c>
      <c r="J13" s="64"/>
      <c r="T13" s="65"/>
      <c r="U13" s="65"/>
      <c r="V13" s="65"/>
      <c r="W13" s="65"/>
      <c r="X13" s="65"/>
    </row>
    <row r="14" spans="1:24" s="4" customFormat="1" ht="61.5" customHeight="1" x14ac:dyDescent="0.35">
      <c r="A14" s="191"/>
      <c r="B14" s="528" t="s">
        <v>277</v>
      </c>
      <c r="C14" s="533"/>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572" t="s">
        <v>951</v>
      </c>
      <c r="C15" s="573"/>
      <c r="D15" s="180">
        <v>-446766.80067362112</v>
      </c>
      <c r="E15" s="180">
        <v>-7519860.0599999987</v>
      </c>
      <c r="F15" s="472">
        <v>0</v>
      </c>
      <c r="G15" s="195">
        <v>2</v>
      </c>
      <c r="H15" s="178"/>
      <c r="I15" s="473" t="s">
        <v>990</v>
      </c>
      <c r="J15" s="66"/>
      <c r="T15" s="67"/>
      <c r="U15" s="67"/>
      <c r="V15" s="67"/>
      <c r="W15" s="67"/>
      <c r="X15" s="67"/>
    </row>
    <row r="16" spans="1:24" s="4" customFormat="1" x14ac:dyDescent="0.35">
      <c r="A16" s="182">
        <f>A15+1</f>
        <v>2</v>
      </c>
      <c r="B16" s="572" t="s">
        <v>952</v>
      </c>
      <c r="C16" s="573"/>
      <c r="D16" s="180">
        <v>9430.7355256330338</v>
      </c>
      <c r="E16" s="180">
        <v>579229.83000000007</v>
      </c>
      <c r="F16" s="194">
        <f t="shared" ref="F16:F59" si="0">IF(D16-E16&lt;0,0,D16-E16)</f>
        <v>0</v>
      </c>
      <c r="G16" s="195">
        <v>2</v>
      </c>
      <c r="H16" s="178"/>
      <c r="I16" s="473" t="s">
        <v>990</v>
      </c>
      <c r="J16" s="142"/>
      <c r="T16" s="67"/>
      <c r="U16" s="67"/>
      <c r="V16" s="67"/>
      <c r="W16" s="67"/>
      <c r="X16" s="67"/>
    </row>
    <row r="17" spans="1:24" s="4" customFormat="1" x14ac:dyDescent="0.35">
      <c r="A17" s="182">
        <f t="shared" ref="A17:A60" si="1">A16+1</f>
        <v>3</v>
      </c>
      <c r="B17" s="572" t="s">
        <v>953</v>
      </c>
      <c r="C17" s="573"/>
      <c r="D17" s="180">
        <v>50128.168255132849</v>
      </c>
      <c r="E17" s="180">
        <v>3068500.5100000007</v>
      </c>
      <c r="F17" s="194">
        <f t="shared" si="0"/>
        <v>0</v>
      </c>
      <c r="G17" s="195">
        <v>2</v>
      </c>
      <c r="H17" s="178"/>
      <c r="I17" s="473" t="s">
        <v>990</v>
      </c>
      <c r="J17" s="142"/>
      <c r="T17" s="67"/>
      <c r="U17" s="67"/>
      <c r="V17" s="67"/>
      <c r="W17" s="67"/>
      <c r="X17" s="67"/>
    </row>
    <row r="18" spans="1:24" s="4" customFormat="1" x14ac:dyDescent="0.35">
      <c r="A18" s="182">
        <f t="shared" si="1"/>
        <v>4</v>
      </c>
      <c r="B18" s="572" t="s">
        <v>954</v>
      </c>
      <c r="C18" s="573"/>
      <c r="D18" s="180">
        <v>41497.787067212703</v>
      </c>
      <c r="E18" s="180">
        <v>1008823.81</v>
      </c>
      <c r="F18" s="194">
        <f t="shared" si="0"/>
        <v>0</v>
      </c>
      <c r="G18" s="195">
        <v>2</v>
      </c>
      <c r="H18" s="178"/>
      <c r="I18" s="473" t="s">
        <v>990</v>
      </c>
      <c r="J18" s="142"/>
      <c r="T18" s="67"/>
      <c r="U18" s="67"/>
      <c r="V18" s="67"/>
      <c r="W18" s="67"/>
      <c r="X18" s="67"/>
    </row>
    <row r="19" spans="1:24" s="4" customFormat="1" x14ac:dyDescent="0.35">
      <c r="A19" s="182">
        <f t="shared" si="1"/>
        <v>5</v>
      </c>
      <c r="B19" s="572" t="s">
        <v>955</v>
      </c>
      <c r="C19" s="573"/>
      <c r="D19" s="180">
        <v>12933.845486028064</v>
      </c>
      <c r="E19" s="180">
        <v>805286.4500000003</v>
      </c>
      <c r="F19" s="194">
        <f t="shared" si="0"/>
        <v>0</v>
      </c>
      <c r="G19" s="195">
        <v>2</v>
      </c>
      <c r="H19" s="178"/>
      <c r="I19" s="473" t="s">
        <v>990</v>
      </c>
      <c r="J19" s="142"/>
      <c r="T19" s="67"/>
      <c r="U19" s="67"/>
      <c r="V19" s="67"/>
      <c r="W19" s="67"/>
      <c r="X19" s="67"/>
    </row>
    <row r="20" spans="1:24" s="4" customFormat="1" x14ac:dyDescent="0.35">
      <c r="A20" s="182">
        <f t="shared" si="1"/>
        <v>6</v>
      </c>
      <c r="B20" s="572" t="s">
        <v>956</v>
      </c>
      <c r="C20" s="573"/>
      <c r="D20" s="180">
        <v>47267.446812485439</v>
      </c>
      <c r="E20" s="180">
        <v>1063747.7</v>
      </c>
      <c r="F20" s="194">
        <f t="shared" si="0"/>
        <v>0</v>
      </c>
      <c r="G20" s="195">
        <v>2</v>
      </c>
      <c r="H20" s="178"/>
      <c r="I20" s="473" t="s">
        <v>990</v>
      </c>
      <c r="J20" s="142"/>
      <c r="T20" s="67"/>
      <c r="U20" s="67"/>
      <c r="V20" s="67"/>
      <c r="W20" s="67"/>
      <c r="X20" s="67"/>
    </row>
    <row r="21" spans="1:24" s="4" customFormat="1" x14ac:dyDescent="0.35">
      <c r="A21" s="182">
        <f t="shared" si="1"/>
        <v>7</v>
      </c>
      <c r="B21" s="572" t="s">
        <v>957</v>
      </c>
      <c r="C21" s="573"/>
      <c r="D21" s="180">
        <v>33980.231225469608</v>
      </c>
      <c r="E21" s="180">
        <v>505584.74</v>
      </c>
      <c r="F21" s="194">
        <f t="shared" si="0"/>
        <v>0</v>
      </c>
      <c r="G21" s="195">
        <v>2</v>
      </c>
      <c r="H21" s="178"/>
      <c r="I21" s="473" t="s">
        <v>990</v>
      </c>
      <c r="J21" s="142"/>
      <c r="T21" s="67"/>
      <c r="U21" s="67"/>
      <c r="V21" s="67"/>
      <c r="W21" s="67"/>
      <c r="X21" s="67"/>
    </row>
    <row r="22" spans="1:24" s="4" customFormat="1" x14ac:dyDescent="0.35">
      <c r="A22" s="182">
        <f t="shared" si="1"/>
        <v>8</v>
      </c>
      <c r="B22" s="572" t="s">
        <v>958</v>
      </c>
      <c r="C22" s="573"/>
      <c r="D22" s="180">
        <v>7153.0154720395803</v>
      </c>
      <c r="E22" s="180">
        <v>165003.23000000001</v>
      </c>
      <c r="F22" s="194">
        <f t="shared" si="0"/>
        <v>0</v>
      </c>
      <c r="G22" s="195">
        <v>5</v>
      </c>
      <c r="H22" s="178"/>
      <c r="I22" s="473" t="s">
        <v>990</v>
      </c>
      <c r="J22" s="142"/>
      <c r="T22" s="67"/>
      <c r="U22" s="67"/>
      <c r="V22" s="67"/>
      <c r="W22" s="67"/>
      <c r="X22" s="67"/>
    </row>
    <row r="23" spans="1:24" s="4" customFormat="1" x14ac:dyDescent="0.35">
      <c r="A23" s="182">
        <f t="shared" si="1"/>
        <v>9</v>
      </c>
      <c r="B23" s="572" t="s">
        <v>959</v>
      </c>
      <c r="C23" s="573"/>
      <c r="D23" s="180">
        <v>44555.641522849328</v>
      </c>
      <c r="E23" s="180">
        <v>1001087.7100000004</v>
      </c>
      <c r="F23" s="194">
        <f t="shared" si="0"/>
        <v>0</v>
      </c>
      <c r="G23" s="195">
        <v>2</v>
      </c>
      <c r="H23" s="178"/>
      <c r="I23" s="473" t="s">
        <v>990</v>
      </c>
      <c r="J23" s="142"/>
      <c r="T23" s="67"/>
      <c r="U23" s="67"/>
      <c r="V23" s="67"/>
      <c r="W23" s="67"/>
      <c r="X23" s="67"/>
    </row>
    <row r="24" spans="1:24" s="4" customFormat="1" x14ac:dyDescent="0.35">
      <c r="A24" s="182">
        <f t="shared" si="1"/>
        <v>10</v>
      </c>
      <c r="B24" s="572" t="s">
        <v>960</v>
      </c>
      <c r="C24" s="573"/>
      <c r="D24" s="180">
        <v>132064.30303375449</v>
      </c>
      <c r="E24" s="180">
        <v>2092119.5100000002</v>
      </c>
      <c r="F24" s="194">
        <f t="shared" si="0"/>
        <v>0</v>
      </c>
      <c r="G24" s="195">
        <v>2</v>
      </c>
      <c r="H24" s="178"/>
      <c r="I24" s="473" t="s">
        <v>990</v>
      </c>
      <c r="J24" s="142"/>
      <c r="T24" s="67"/>
      <c r="U24" s="67"/>
      <c r="V24" s="67"/>
      <c r="W24" s="67"/>
      <c r="X24" s="67"/>
    </row>
    <row r="25" spans="1:24" s="4" customFormat="1" x14ac:dyDescent="0.35">
      <c r="A25" s="182">
        <f t="shared" si="1"/>
        <v>11</v>
      </c>
      <c r="B25" s="572" t="s">
        <v>961</v>
      </c>
      <c r="C25" s="573"/>
      <c r="D25" s="180">
        <v>142764.98742379269</v>
      </c>
      <c r="E25" s="180">
        <v>2227903.11</v>
      </c>
      <c r="F25" s="194">
        <f t="shared" si="0"/>
        <v>0</v>
      </c>
      <c r="G25" s="195">
        <v>2</v>
      </c>
      <c r="H25" s="178"/>
      <c r="I25" s="473" t="s">
        <v>990</v>
      </c>
      <c r="J25" s="142"/>
      <c r="T25" s="67"/>
      <c r="U25" s="67"/>
      <c r="V25" s="67"/>
      <c r="W25" s="67"/>
      <c r="X25" s="67"/>
    </row>
    <row r="26" spans="1:24" s="4" customFormat="1" x14ac:dyDescent="0.35">
      <c r="A26" s="182">
        <f t="shared" si="1"/>
        <v>12</v>
      </c>
      <c r="B26" s="572" t="s">
        <v>962</v>
      </c>
      <c r="C26" s="573"/>
      <c r="D26" s="180">
        <v>22666.56554156464</v>
      </c>
      <c r="E26" s="180">
        <v>359144.91999999993</v>
      </c>
      <c r="F26" s="194">
        <f t="shared" si="0"/>
        <v>0</v>
      </c>
      <c r="G26" s="195">
        <v>2</v>
      </c>
      <c r="H26" s="178"/>
      <c r="I26" s="473" t="s">
        <v>990</v>
      </c>
      <c r="J26" s="142"/>
      <c r="T26" s="67"/>
      <c r="U26" s="67"/>
      <c r="V26" s="67"/>
      <c r="W26" s="67"/>
      <c r="X26" s="67"/>
    </row>
    <row r="27" spans="1:24" s="4" customFormat="1" x14ac:dyDescent="0.35">
      <c r="A27" s="182">
        <f t="shared" si="1"/>
        <v>13</v>
      </c>
      <c r="B27" s="572" t="s">
        <v>963</v>
      </c>
      <c r="C27" s="573"/>
      <c r="D27" s="180">
        <v>96005.913992472371</v>
      </c>
      <c r="E27" s="180">
        <v>1508577.2200000002</v>
      </c>
      <c r="F27" s="194">
        <f t="shared" si="0"/>
        <v>0</v>
      </c>
      <c r="G27" s="195">
        <v>2</v>
      </c>
      <c r="H27" s="178"/>
      <c r="I27" s="473" t="s">
        <v>990</v>
      </c>
      <c r="J27" s="142"/>
      <c r="T27" s="67"/>
      <c r="U27" s="67"/>
      <c r="V27" s="67"/>
      <c r="W27" s="67"/>
      <c r="X27" s="67"/>
    </row>
    <row r="28" spans="1:24" s="4" customFormat="1" x14ac:dyDescent="0.35">
      <c r="A28" s="182">
        <f t="shared" si="1"/>
        <v>14</v>
      </c>
      <c r="B28" s="572" t="s">
        <v>964</v>
      </c>
      <c r="C28" s="573"/>
      <c r="D28" s="180">
        <v>68713.733942920197</v>
      </c>
      <c r="E28" s="180">
        <v>1167907.4599999997</v>
      </c>
      <c r="F28" s="194">
        <f t="shared" si="0"/>
        <v>0</v>
      </c>
      <c r="G28" s="195">
        <v>2</v>
      </c>
      <c r="H28" s="178"/>
      <c r="I28" s="473" t="s">
        <v>990</v>
      </c>
      <c r="J28" s="142"/>
      <c r="T28" s="67"/>
      <c r="U28" s="67"/>
      <c r="V28" s="67"/>
      <c r="W28" s="67"/>
      <c r="X28" s="67"/>
    </row>
    <row r="29" spans="1:24" s="4" customFormat="1" x14ac:dyDescent="0.35">
      <c r="A29" s="182">
        <f t="shared" si="1"/>
        <v>15</v>
      </c>
      <c r="B29" s="572" t="s">
        <v>965</v>
      </c>
      <c r="C29" s="573"/>
      <c r="D29" s="180">
        <v>37340.402677522288</v>
      </c>
      <c r="E29" s="180">
        <v>635553.11</v>
      </c>
      <c r="F29" s="194">
        <f t="shared" si="0"/>
        <v>0</v>
      </c>
      <c r="G29" s="195">
        <v>2</v>
      </c>
      <c r="H29" s="178"/>
      <c r="I29" s="473" t="s">
        <v>990</v>
      </c>
      <c r="J29" s="142"/>
      <c r="T29" s="67"/>
      <c r="U29" s="67"/>
      <c r="V29" s="67"/>
      <c r="W29" s="67"/>
      <c r="X29" s="67"/>
    </row>
    <row r="30" spans="1:24" s="4" customFormat="1" x14ac:dyDescent="0.35">
      <c r="A30" s="182">
        <f t="shared" si="1"/>
        <v>16</v>
      </c>
      <c r="B30" s="572" t="s">
        <v>966</v>
      </c>
      <c r="C30" s="573"/>
      <c r="D30" s="180">
        <v>99997.531514668037</v>
      </c>
      <c r="E30" s="180">
        <v>1579696.7599999998</v>
      </c>
      <c r="F30" s="194">
        <f t="shared" si="0"/>
        <v>0</v>
      </c>
      <c r="G30" s="195">
        <v>2</v>
      </c>
      <c r="H30" s="178"/>
      <c r="I30" s="473" t="s">
        <v>990</v>
      </c>
      <c r="J30" s="142"/>
      <c r="T30" s="67"/>
      <c r="U30" s="67"/>
      <c r="V30" s="67"/>
      <c r="W30" s="67"/>
      <c r="X30" s="67"/>
    </row>
    <row r="31" spans="1:24" s="4" customFormat="1" x14ac:dyDescent="0.35">
      <c r="A31" s="182">
        <f t="shared" si="1"/>
        <v>17</v>
      </c>
      <c r="B31" s="572" t="s">
        <v>967</v>
      </c>
      <c r="C31" s="573"/>
      <c r="D31" s="180">
        <v>172143.58670998507</v>
      </c>
      <c r="E31" s="180">
        <v>2717233.9500000007</v>
      </c>
      <c r="F31" s="194">
        <f t="shared" si="0"/>
        <v>0</v>
      </c>
      <c r="G31" s="195">
        <v>2</v>
      </c>
      <c r="H31" s="178"/>
      <c r="I31" s="473" t="s">
        <v>990</v>
      </c>
      <c r="J31" s="142"/>
      <c r="T31" s="67"/>
      <c r="U31" s="67"/>
      <c r="V31" s="67"/>
      <c r="W31" s="67"/>
      <c r="X31" s="67"/>
    </row>
    <row r="32" spans="1:24" s="4" customFormat="1" x14ac:dyDescent="0.35">
      <c r="A32" s="182">
        <f t="shared" si="1"/>
        <v>18</v>
      </c>
      <c r="B32" s="572" t="s">
        <v>968</v>
      </c>
      <c r="C32" s="573"/>
      <c r="D32" s="180">
        <v>47681.417245874167</v>
      </c>
      <c r="E32" s="180">
        <v>805128.25000000012</v>
      </c>
      <c r="F32" s="194">
        <f t="shared" si="0"/>
        <v>0</v>
      </c>
      <c r="G32" s="195">
        <v>2</v>
      </c>
      <c r="H32" s="178"/>
      <c r="I32" s="473" t="s">
        <v>990</v>
      </c>
      <c r="J32" s="142"/>
      <c r="T32" s="67"/>
      <c r="U32" s="67"/>
      <c r="V32" s="67"/>
      <c r="W32" s="67"/>
      <c r="X32" s="67"/>
    </row>
    <row r="33" spans="1:24" s="4" customFormat="1" x14ac:dyDescent="0.35">
      <c r="A33" s="182">
        <f t="shared" si="1"/>
        <v>19</v>
      </c>
      <c r="B33" s="574" t="s">
        <v>969</v>
      </c>
      <c r="C33" s="575"/>
      <c r="D33" s="471">
        <v>435954</v>
      </c>
      <c r="E33" s="471">
        <v>7498183.4299999978</v>
      </c>
      <c r="F33" s="194">
        <f t="shared" si="0"/>
        <v>0</v>
      </c>
      <c r="G33" s="195">
        <v>2</v>
      </c>
      <c r="H33" s="178"/>
      <c r="I33" s="473" t="s">
        <v>990</v>
      </c>
      <c r="J33" s="142"/>
      <c r="T33" s="67"/>
      <c r="U33" s="67"/>
      <c r="V33" s="67"/>
      <c r="W33" s="67"/>
      <c r="X33" s="67"/>
    </row>
    <row r="34" spans="1:24" s="4" customFormat="1" x14ac:dyDescent="0.35">
      <c r="A34" s="182">
        <f t="shared" si="1"/>
        <v>20</v>
      </c>
      <c r="B34" s="469" t="s">
        <v>970</v>
      </c>
      <c r="C34" s="470"/>
      <c r="D34" s="180">
        <v>20900.276441616199</v>
      </c>
      <c r="E34" s="180">
        <v>482461.52000000014</v>
      </c>
      <c r="F34" s="194">
        <f t="shared" si="0"/>
        <v>0</v>
      </c>
      <c r="G34" s="195">
        <v>5</v>
      </c>
      <c r="H34" s="178"/>
      <c r="I34" s="473" t="s">
        <v>990</v>
      </c>
      <c r="J34" s="142"/>
      <c r="T34" s="67"/>
      <c r="U34" s="67"/>
      <c r="V34" s="67"/>
      <c r="W34" s="67"/>
      <c r="X34" s="67"/>
    </row>
    <row r="35" spans="1:24" s="4" customFormat="1" x14ac:dyDescent="0.35">
      <c r="A35" s="182">
        <f t="shared" si="1"/>
        <v>21</v>
      </c>
      <c r="B35" s="469" t="s">
        <v>971</v>
      </c>
      <c r="C35" s="470"/>
      <c r="D35" s="180">
        <v>0</v>
      </c>
      <c r="E35" s="180">
        <v>0</v>
      </c>
      <c r="F35" s="194">
        <f t="shared" si="0"/>
        <v>0</v>
      </c>
      <c r="G35" s="195">
        <v>2</v>
      </c>
      <c r="H35" s="178"/>
      <c r="I35" s="473" t="s">
        <v>990</v>
      </c>
      <c r="J35" s="142"/>
      <c r="T35" s="67"/>
      <c r="U35" s="67"/>
      <c r="V35" s="67"/>
      <c r="W35" s="67"/>
      <c r="X35" s="67"/>
    </row>
    <row r="36" spans="1:24" s="4" customFormat="1" x14ac:dyDescent="0.35">
      <c r="A36" s="182">
        <f t="shared" si="1"/>
        <v>22</v>
      </c>
      <c r="B36" s="469" t="s">
        <v>972</v>
      </c>
      <c r="C36" s="470"/>
      <c r="D36" s="180">
        <v>15098.747384341446</v>
      </c>
      <c r="E36" s="180">
        <v>262389.53000000003</v>
      </c>
      <c r="F36" s="194">
        <f t="shared" si="0"/>
        <v>0</v>
      </c>
      <c r="G36" s="195">
        <v>2</v>
      </c>
      <c r="H36" s="178"/>
      <c r="I36" s="473" t="s">
        <v>990</v>
      </c>
      <c r="J36" s="142"/>
      <c r="T36" s="67"/>
      <c r="U36" s="67"/>
      <c r="V36" s="67"/>
      <c r="W36" s="67"/>
      <c r="X36" s="67"/>
    </row>
    <row r="37" spans="1:24" s="4" customFormat="1" x14ac:dyDescent="0.35">
      <c r="A37" s="182">
        <f t="shared" si="1"/>
        <v>23</v>
      </c>
      <c r="B37" s="469" t="s">
        <v>973</v>
      </c>
      <c r="C37" s="470"/>
      <c r="D37" s="180">
        <v>98748.179091005746</v>
      </c>
      <c r="E37" s="180">
        <v>6149231.9000000004</v>
      </c>
      <c r="F37" s="194">
        <f t="shared" si="0"/>
        <v>0</v>
      </c>
      <c r="G37" s="195">
        <v>2</v>
      </c>
      <c r="H37" s="178"/>
      <c r="I37" s="473" t="s">
        <v>990</v>
      </c>
      <c r="J37" s="142"/>
      <c r="T37" s="67"/>
      <c r="U37" s="67"/>
      <c r="V37" s="67"/>
      <c r="W37" s="67"/>
      <c r="X37" s="67"/>
    </row>
    <row r="38" spans="1:24" s="4" customFormat="1" x14ac:dyDescent="0.35">
      <c r="A38" s="182">
        <f t="shared" si="1"/>
        <v>24</v>
      </c>
      <c r="B38" s="469" t="s">
        <v>974</v>
      </c>
      <c r="C38" s="470"/>
      <c r="D38" s="180">
        <v>1023380.8810798817</v>
      </c>
      <c r="E38" s="180">
        <v>17115508.789999999</v>
      </c>
      <c r="F38" s="194">
        <f t="shared" si="0"/>
        <v>0</v>
      </c>
      <c r="G38" s="195">
        <v>2</v>
      </c>
      <c r="H38" s="178"/>
      <c r="I38" s="473" t="s">
        <v>990</v>
      </c>
      <c r="J38" s="142"/>
      <c r="T38" s="67"/>
      <c r="U38" s="67"/>
      <c r="V38" s="67"/>
      <c r="W38" s="67"/>
      <c r="X38" s="67"/>
    </row>
    <row r="39" spans="1:24" s="4" customFormat="1" x14ac:dyDescent="0.35">
      <c r="A39" s="182">
        <f t="shared" si="1"/>
        <v>25</v>
      </c>
      <c r="B39" s="469" t="s">
        <v>975</v>
      </c>
      <c r="C39" s="470"/>
      <c r="D39" s="180">
        <v>129225.20015560267</v>
      </c>
      <c r="E39" s="180">
        <v>7167603.46</v>
      </c>
      <c r="F39" s="194">
        <f t="shared" si="0"/>
        <v>0</v>
      </c>
      <c r="G39" s="195">
        <v>2</v>
      </c>
      <c r="H39" s="178"/>
      <c r="I39" s="473" t="s">
        <v>990</v>
      </c>
      <c r="J39" s="142"/>
      <c r="T39" s="67"/>
      <c r="U39" s="67"/>
      <c r="V39" s="67"/>
      <c r="W39" s="67"/>
      <c r="X39" s="67"/>
    </row>
    <row r="40" spans="1:24" s="4" customFormat="1" x14ac:dyDescent="0.35">
      <c r="A40" s="182">
        <f t="shared" si="1"/>
        <v>26</v>
      </c>
      <c r="B40" s="469" t="s">
        <v>976</v>
      </c>
      <c r="C40" s="470"/>
      <c r="D40" s="180">
        <v>50992.383847364879</v>
      </c>
      <c r="E40" s="180">
        <v>886157.46</v>
      </c>
      <c r="F40" s="194">
        <f t="shared" si="0"/>
        <v>0</v>
      </c>
      <c r="G40" s="195">
        <v>2</v>
      </c>
      <c r="H40" s="178"/>
      <c r="I40" s="473" t="s">
        <v>990</v>
      </c>
      <c r="J40" s="142"/>
      <c r="T40" s="67"/>
      <c r="U40" s="67"/>
      <c r="V40" s="67"/>
      <c r="W40" s="67"/>
      <c r="X40" s="67"/>
    </row>
    <row r="41" spans="1:24" s="4" customFormat="1" x14ac:dyDescent="0.35">
      <c r="A41" s="182">
        <f t="shared" si="1"/>
        <v>27</v>
      </c>
      <c r="B41" s="469" t="s">
        <v>977</v>
      </c>
      <c r="C41" s="470"/>
      <c r="D41" s="180">
        <v>44846.930606788017</v>
      </c>
      <c r="E41" s="180">
        <v>2754852.7699999996</v>
      </c>
      <c r="F41" s="194">
        <f t="shared" si="0"/>
        <v>0</v>
      </c>
      <c r="G41" s="195">
        <v>2</v>
      </c>
      <c r="H41" s="178"/>
      <c r="I41" s="473" t="s">
        <v>990</v>
      </c>
      <c r="J41" s="142"/>
      <c r="T41" s="67"/>
      <c r="U41" s="67"/>
      <c r="V41" s="67"/>
      <c r="W41" s="67"/>
      <c r="X41" s="67"/>
    </row>
    <row r="42" spans="1:24" s="4" customFormat="1" x14ac:dyDescent="0.35">
      <c r="A42" s="182">
        <f t="shared" si="1"/>
        <v>28</v>
      </c>
      <c r="B42" s="469" t="s">
        <v>978</v>
      </c>
      <c r="C42" s="470"/>
      <c r="D42" s="180">
        <v>11939.792941856862</v>
      </c>
      <c r="E42" s="180">
        <v>593137.52999999991</v>
      </c>
      <c r="F42" s="194">
        <f t="shared" si="0"/>
        <v>0</v>
      </c>
      <c r="G42" s="195">
        <v>2</v>
      </c>
      <c r="H42" s="178"/>
      <c r="I42" s="473" t="s">
        <v>990</v>
      </c>
      <c r="J42" s="142"/>
      <c r="T42" s="67"/>
      <c r="U42" s="67"/>
      <c r="V42" s="67"/>
      <c r="W42" s="67"/>
      <c r="X42" s="67"/>
    </row>
    <row r="43" spans="1:24" s="4" customFormat="1" x14ac:dyDescent="0.35">
      <c r="A43" s="182">
        <f t="shared" si="1"/>
        <v>29</v>
      </c>
      <c r="B43" s="469" t="s">
        <v>979</v>
      </c>
      <c r="C43" s="470"/>
      <c r="D43" s="180">
        <v>889441.21</v>
      </c>
      <c r="E43" s="180">
        <v>15547654.580000004</v>
      </c>
      <c r="F43" s="194">
        <f t="shared" si="0"/>
        <v>0</v>
      </c>
      <c r="G43" s="195">
        <v>2</v>
      </c>
      <c r="H43" s="178"/>
      <c r="I43" s="473" t="s">
        <v>990</v>
      </c>
      <c r="J43" s="142"/>
      <c r="T43" s="67"/>
      <c r="U43" s="67"/>
      <c r="V43" s="67"/>
      <c r="W43" s="67"/>
      <c r="X43" s="67"/>
    </row>
    <row r="44" spans="1:24" s="4" customFormat="1" x14ac:dyDescent="0.35">
      <c r="A44" s="182">
        <f t="shared" si="1"/>
        <v>30</v>
      </c>
      <c r="B44" s="469" t="s">
        <v>980</v>
      </c>
      <c r="C44" s="470"/>
      <c r="D44" s="180">
        <v>84391.335740351496</v>
      </c>
      <c r="E44" s="180">
        <v>1918099.7099999997</v>
      </c>
      <c r="F44" s="194">
        <f t="shared" si="0"/>
        <v>0</v>
      </c>
      <c r="G44" s="195">
        <v>5</v>
      </c>
      <c r="H44" s="178"/>
      <c r="I44" s="473" t="s">
        <v>990</v>
      </c>
      <c r="J44" s="142"/>
      <c r="T44" s="67"/>
      <c r="U44" s="67"/>
      <c r="V44" s="67"/>
      <c r="W44" s="67"/>
      <c r="X44" s="67"/>
    </row>
    <row r="45" spans="1:24" s="4" customFormat="1" x14ac:dyDescent="0.35">
      <c r="A45" s="182">
        <f t="shared" si="1"/>
        <v>31</v>
      </c>
      <c r="B45" s="469" t="s">
        <v>981</v>
      </c>
      <c r="C45" s="470"/>
      <c r="D45" s="180">
        <v>0</v>
      </c>
      <c r="E45" s="180">
        <v>540566.77</v>
      </c>
      <c r="F45" s="194">
        <f t="shared" si="0"/>
        <v>0</v>
      </c>
      <c r="G45" s="195">
        <v>2</v>
      </c>
      <c r="H45" s="178"/>
      <c r="I45" s="473" t="s">
        <v>990</v>
      </c>
      <c r="J45" s="142"/>
      <c r="T45" s="67"/>
      <c r="U45" s="67"/>
      <c r="V45" s="67"/>
      <c r="W45" s="67"/>
      <c r="X45" s="67"/>
    </row>
    <row r="46" spans="1:24" s="4" customFormat="1" x14ac:dyDescent="0.35">
      <c r="A46" s="182">
        <f t="shared" si="1"/>
        <v>32</v>
      </c>
      <c r="B46" s="469" t="s">
        <v>982</v>
      </c>
      <c r="C46" s="470"/>
      <c r="D46" s="180">
        <v>10929.889176652785</v>
      </c>
      <c r="E46" s="180">
        <v>3311317.9200000009</v>
      </c>
      <c r="F46" s="194">
        <f t="shared" si="0"/>
        <v>0</v>
      </c>
      <c r="G46" s="195">
        <v>2</v>
      </c>
      <c r="H46" s="178"/>
      <c r="I46" s="473" t="s">
        <v>990</v>
      </c>
      <c r="J46" s="142"/>
      <c r="T46" s="67"/>
      <c r="U46" s="67"/>
      <c r="V46" s="67"/>
      <c r="W46" s="67"/>
      <c r="X46" s="67"/>
    </row>
    <row r="47" spans="1:24" s="4" customFormat="1" x14ac:dyDescent="0.35">
      <c r="A47" s="182">
        <f t="shared" si="1"/>
        <v>33</v>
      </c>
      <c r="B47" s="469" t="s">
        <v>983</v>
      </c>
      <c r="C47" s="470"/>
      <c r="D47" s="180">
        <v>351929.33096154855</v>
      </c>
      <c r="E47" s="180">
        <v>4861850.919999999</v>
      </c>
      <c r="F47" s="194">
        <f t="shared" si="0"/>
        <v>0</v>
      </c>
      <c r="G47" s="195">
        <v>2</v>
      </c>
      <c r="H47" s="178"/>
      <c r="I47" s="473" t="s">
        <v>990</v>
      </c>
      <c r="J47" s="142"/>
      <c r="T47" s="67"/>
      <c r="U47" s="67"/>
      <c r="V47" s="67"/>
      <c r="W47" s="67"/>
      <c r="X47" s="67"/>
    </row>
    <row r="48" spans="1:24" s="4" customFormat="1" x14ac:dyDescent="0.35">
      <c r="A48" s="182">
        <f t="shared" si="1"/>
        <v>34</v>
      </c>
      <c r="B48" s="469" t="s">
        <v>984</v>
      </c>
      <c r="C48" s="470"/>
      <c r="D48" s="180">
        <v>88983.460894614007</v>
      </c>
      <c r="E48" s="180">
        <v>1553733.4900000002</v>
      </c>
      <c r="F48" s="194">
        <f t="shared" si="0"/>
        <v>0</v>
      </c>
      <c r="G48" s="195">
        <v>5</v>
      </c>
      <c r="H48" s="178"/>
      <c r="I48" s="473" t="s">
        <v>990</v>
      </c>
      <c r="J48" s="142"/>
      <c r="T48" s="67"/>
      <c r="U48" s="67"/>
      <c r="V48" s="67"/>
      <c r="W48" s="67"/>
      <c r="X48" s="67"/>
    </row>
    <row r="49" spans="1:24" s="4" customFormat="1" x14ac:dyDescent="0.35">
      <c r="A49" s="182">
        <f t="shared" si="1"/>
        <v>35</v>
      </c>
      <c r="B49" s="469" t="s">
        <v>985</v>
      </c>
      <c r="C49" s="470"/>
      <c r="D49" s="180">
        <v>4486.4616833330811</v>
      </c>
      <c r="E49" s="180">
        <v>69697.179999999993</v>
      </c>
      <c r="F49" s="194">
        <f t="shared" si="0"/>
        <v>0</v>
      </c>
      <c r="G49" s="195">
        <v>2</v>
      </c>
      <c r="H49" s="178"/>
      <c r="I49" s="473" t="s">
        <v>990</v>
      </c>
      <c r="J49" s="142"/>
      <c r="T49" s="67"/>
      <c r="U49" s="67"/>
      <c r="V49" s="67"/>
      <c r="W49" s="67"/>
      <c r="X49" s="67"/>
    </row>
    <row r="50" spans="1:24" s="4" customFormat="1" x14ac:dyDescent="0.35">
      <c r="A50" s="182">
        <f t="shared" si="1"/>
        <v>36</v>
      </c>
      <c r="B50" s="469" t="s">
        <v>986</v>
      </c>
      <c r="C50" s="470"/>
      <c r="D50" s="180">
        <v>-37991.806491262752</v>
      </c>
      <c r="E50" s="180">
        <v>-568055.21</v>
      </c>
      <c r="F50" s="472">
        <v>0</v>
      </c>
      <c r="G50" s="195">
        <v>2</v>
      </c>
      <c r="H50" s="178"/>
      <c r="I50" s="473" t="s">
        <v>990</v>
      </c>
      <c r="J50" s="142"/>
      <c r="T50" s="67"/>
      <c r="U50" s="67"/>
      <c r="V50" s="67"/>
      <c r="W50" s="67"/>
      <c r="X50" s="67"/>
    </row>
    <row r="51" spans="1:24" s="4" customFormat="1" x14ac:dyDescent="0.35">
      <c r="A51" s="182">
        <f t="shared" si="1"/>
        <v>37</v>
      </c>
      <c r="B51" s="469"/>
      <c r="C51" s="470"/>
      <c r="D51" s="180"/>
      <c r="E51" s="180"/>
      <c r="F51" s="194">
        <f t="shared" si="0"/>
        <v>0</v>
      </c>
      <c r="G51" s="195">
        <v>2</v>
      </c>
      <c r="H51" s="178"/>
      <c r="I51" s="473" t="s">
        <v>990</v>
      </c>
      <c r="J51" s="142"/>
      <c r="T51" s="67"/>
      <c r="U51" s="67"/>
      <c r="V51" s="67"/>
      <c r="W51" s="67"/>
      <c r="X51" s="67"/>
    </row>
    <row r="52" spans="1:24" s="4" customFormat="1" ht="15" customHeight="1" x14ac:dyDescent="0.35">
      <c r="A52" s="182">
        <f t="shared" si="1"/>
        <v>38</v>
      </c>
      <c r="B52" s="469" t="s">
        <v>987</v>
      </c>
      <c r="C52" s="470"/>
      <c r="D52" s="180">
        <v>23208</v>
      </c>
      <c r="E52" s="180"/>
      <c r="F52" s="194">
        <v>0</v>
      </c>
      <c r="G52" s="195">
        <v>2</v>
      </c>
      <c r="H52" s="178"/>
      <c r="I52" s="473" t="s">
        <v>990</v>
      </c>
      <c r="J52" s="66"/>
      <c r="T52" s="67"/>
      <c r="U52" s="67"/>
      <c r="V52" s="67"/>
      <c r="W52" s="67"/>
      <c r="X52" s="67"/>
    </row>
    <row r="53" spans="1:24" s="4" customFormat="1" ht="15" customHeight="1" x14ac:dyDescent="0.35">
      <c r="A53" s="182">
        <f t="shared" si="1"/>
        <v>39</v>
      </c>
      <c r="B53" s="466" t="s">
        <v>988</v>
      </c>
      <c r="C53" s="470"/>
      <c r="D53" s="180">
        <v>78668</v>
      </c>
      <c r="E53" s="180"/>
      <c r="F53" s="194">
        <v>0</v>
      </c>
      <c r="G53" s="195">
        <v>5</v>
      </c>
      <c r="H53" s="178"/>
      <c r="I53" s="196"/>
      <c r="J53" s="66"/>
      <c r="T53" s="67"/>
      <c r="U53" s="67"/>
      <c r="V53" s="67"/>
      <c r="W53" s="67"/>
      <c r="X53" s="67"/>
    </row>
    <row r="54" spans="1:24" s="4" customFormat="1" ht="15" customHeight="1" x14ac:dyDescent="0.35">
      <c r="A54" s="182">
        <f t="shared" si="1"/>
        <v>40</v>
      </c>
      <c r="B54" s="467"/>
      <c r="C54" s="470"/>
      <c r="D54" s="180"/>
      <c r="E54" s="180"/>
      <c r="F54" s="194">
        <f t="shared" si="0"/>
        <v>0</v>
      </c>
      <c r="G54" s="195"/>
      <c r="H54" s="178"/>
      <c r="I54" s="196"/>
      <c r="J54" s="66"/>
      <c r="T54" s="67"/>
      <c r="U54" s="67"/>
      <c r="V54" s="67"/>
      <c r="W54" s="67"/>
      <c r="X54" s="67"/>
    </row>
    <row r="55" spans="1:24" s="4" customFormat="1" ht="15" customHeight="1" x14ac:dyDescent="0.35">
      <c r="A55" s="182">
        <f t="shared" si="1"/>
        <v>41</v>
      </c>
      <c r="B55" s="467"/>
      <c r="C55" s="468"/>
      <c r="D55" s="180"/>
      <c r="E55" s="180"/>
      <c r="F55" s="194">
        <f t="shared" si="0"/>
        <v>0</v>
      </c>
      <c r="G55" s="195"/>
      <c r="H55" s="178"/>
      <c r="I55" s="196"/>
      <c r="J55" s="66"/>
      <c r="T55" s="67"/>
      <c r="U55" s="67"/>
      <c r="V55" s="67"/>
      <c r="W55" s="67"/>
      <c r="X55" s="67"/>
    </row>
    <row r="56" spans="1:24" s="4" customFormat="1" ht="15" customHeight="1" x14ac:dyDescent="0.35">
      <c r="A56" s="182">
        <f t="shared" si="1"/>
        <v>42</v>
      </c>
      <c r="B56" s="467"/>
      <c r="C56" s="468"/>
      <c r="D56" s="180"/>
      <c r="E56" s="180"/>
      <c r="F56" s="194">
        <f t="shared" si="0"/>
        <v>0</v>
      </c>
      <c r="G56" s="195"/>
      <c r="H56" s="178"/>
      <c r="I56" s="196"/>
      <c r="J56" s="66"/>
      <c r="T56" s="67"/>
      <c r="U56" s="67"/>
      <c r="V56" s="67"/>
      <c r="W56" s="67"/>
      <c r="X56" s="67"/>
    </row>
    <row r="57" spans="1:24" s="4" customFormat="1" ht="15" customHeight="1" x14ac:dyDescent="0.35">
      <c r="A57" s="182">
        <f t="shared" si="1"/>
        <v>43</v>
      </c>
      <c r="B57" s="467"/>
      <c r="C57" s="468"/>
      <c r="D57" s="180"/>
      <c r="E57" s="180"/>
      <c r="F57" s="194">
        <f t="shared" si="0"/>
        <v>0</v>
      </c>
      <c r="G57" s="195"/>
      <c r="H57" s="178"/>
      <c r="I57" s="196"/>
      <c r="J57" s="66"/>
      <c r="T57" s="67"/>
      <c r="U57" s="67"/>
      <c r="V57" s="67"/>
      <c r="W57" s="67"/>
      <c r="X57" s="67"/>
    </row>
    <row r="58" spans="1:24" s="4" customFormat="1" ht="15" customHeight="1" x14ac:dyDescent="0.35">
      <c r="A58" s="182">
        <f t="shared" si="1"/>
        <v>44</v>
      </c>
      <c r="B58" s="467"/>
      <c r="C58" s="468"/>
      <c r="D58" s="180"/>
      <c r="E58" s="180"/>
      <c r="F58" s="194">
        <f t="shared" si="0"/>
        <v>0</v>
      </c>
      <c r="G58" s="195"/>
      <c r="H58" s="178"/>
      <c r="I58" s="196"/>
      <c r="J58" s="66"/>
      <c r="T58" s="67"/>
      <c r="U58" s="67"/>
      <c r="V58" s="67"/>
      <c r="W58" s="67"/>
      <c r="X58" s="67"/>
    </row>
    <row r="59" spans="1:24" s="4" customFormat="1" ht="15" customHeight="1" x14ac:dyDescent="0.35">
      <c r="A59" s="182">
        <f t="shared" si="1"/>
        <v>45</v>
      </c>
      <c r="B59" s="469"/>
      <c r="C59" s="470"/>
      <c r="D59" s="180"/>
      <c r="E59" s="180"/>
      <c r="F59" s="194">
        <f t="shared" si="0"/>
        <v>0</v>
      </c>
      <c r="G59" s="195"/>
      <c r="H59" s="178"/>
      <c r="I59" s="196"/>
      <c r="J59" s="66"/>
      <c r="T59" s="67"/>
      <c r="U59" s="67"/>
      <c r="V59" s="67"/>
      <c r="W59" s="67"/>
      <c r="X59" s="67"/>
    </row>
    <row r="60" spans="1:24" s="4" customFormat="1" ht="15" customHeight="1" x14ac:dyDescent="0.35">
      <c r="A60" s="182">
        <f t="shared" si="1"/>
        <v>46</v>
      </c>
      <c r="B60" s="191" t="s">
        <v>989</v>
      </c>
      <c r="C60" s="180">
        <v>3664595</v>
      </c>
      <c r="D60" s="180">
        <v>3944690.7862894782</v>
      </c>
      <c r="E60" s="180">
        <v>83915059.960000008</v>
      </c>
      <c r="F60" s="185">
        <f>SUM(F15:F59)</f>
        <v>0</v>
      </c>
      <c r="G60" s="191"/>
      <c r="H60" s="198"/>
      <c r="I60" s="191"/>
      <c r="J60" s="66"/>
      <c r="T60" s="67"/>
      <c r="U60" s="67"/>
      <c r="V60" s="67"/>
      <c r="W60" s="67"/>
      <c r="X60" s="67"/>
    </row>
    <row r="61" spans="1:24" s="4" customFormat="1" ht="15" customHeight="1" x14ac:dyDescent="0.35">
      <c r="A61" s="199"/>
      <c r="B61" s="191"/>
      <c r="C61" s="191"/>
      <c r="D61" s="197"/>
      <c r="E61" s="191"/>
      <c r="F61" s="191"/>
      <c r="G61" s="191"/>
      <c r="H61" s="198"/>
      <c r="I61" s="191"/>
      <c r="J61" s="66"/>
      <c r="T61" s="67"/>
      <c r="U61" s="67"/>
      <c r="V61" s="67"/>
      <c r="W61" s="67"/>
      <c r="X61" s="67"/>
    </row>
    <row r="62" spans="1:24" x14ac:dyDescent="0.35">
      <c r="A62" s="182">
        <f>A60+1</f>
        <v>47</v>
      </c>
      <c r="B62" s="100"/>
      <c r="C62" s="100"/>
      <c r="D62" s="100"/>
      <c r="E62" s="184" t="s">
        <v>184</v>
      </c>
      <c r="F62" s="185">
        <f>SUMIF($G$15:$G$59,2,$F$15:$F$59)</f>
        <v>0</v>
      </c>
      <c r="G62" s="191"/>
      <c r="H62" s="100"/>
      <c r="I62" s="100"/>
    </row>
    <row r="63" spans="1:24" x14ac:dyDescent="0.35">
      <c r="A63" s="182">
        <f t="shared" ref="A63:A65" si="2">A61+1</f>
        <v>1</v>
      </c>
      <c r="B63" s="100"/>
      <c r="C63" s="100"/>
      <c r="D63" s="100"/>
      <c r="E63" s="184" t="s">
        <v>182</v>
      </c>
      <c r="F63" s="185">
        <f>SUMIF($G$15:$G$59,3,$F$15:$F$59)</f>
        <v>0</v>
      </c>
      <c r="G63" s="191"/>
      <c r="H63" s="100"/>
      <c r="I63" s="100"/>
    </row>
    <row r="64" spans="1:24" x14ac:dyDescent="0.35">
      <c r="A64" s="182">
        <f t="shared" si="2"/>
        <v>48</v>
      </c>
      <c r="B64" s="100"/>
      <c r="C64" s="100"/>
      <c r="D64" s="100"/>
      <c r="E64" s="184" t="s">
        <v>183</v>
      </c>
      <c r="F64" s="185">
        <f>SUMIF($G$15:$G$59,4,$F$15:$F$59)</f>
        <v>0</v>
      </c>
      <c r="G64" s="191"/>
      <c r="H64" s="100"/>
      <c r="I64" s="100"/>
    </row>
    <row r="65" spans="1:24" x14ac:dyDescent="0.35">
      <c r="A65" s="182">
        <f t="shared" si="2"/>
        <v>2</v>
      </c>
      <c r="B65" s="100"/>
      <c r="C65" s="100"/>
      <c r="D65" s="100"/>
      <c r="E65" s="184" t="s">
        <v>185</v>
      </c>
      <c r="F65" s="185">
        <f>SUMIF($G$15:$G$59,5,$F$15:$F$59)</f>
        <v>0</v>
      </c>
      <c r="G65" s="191"/>
      <c r="H65" s="100"/>
      <c r="I65" s="100"/>
    </row>
    <row r="66" spans="1:24" x14ac:dyDescent="0.35">
      <c r="A66" s="100"/>
      <c r="B66" s="100"/>
      <c r="C66" s="100"/>
      <c r="D66" s="100"/>
      <c r="E66" s="100"/>
      <c r="F66" s="186" t="str">
        <f>IF(SUM(F62:F65)&lt;&gt;F60,"error","")</f>
        <v/>
      </c>
      <c r="G66" s="191"/>
      <c r="H66" s="100"/>
      <c r="I66" s="100"/>
    </row>
    <row r="67" spans="1:24" ht="15.65" customHeight="1" x14ac:dyDescent="0.35">
      <c r="A67" s="100"/>
      <c r="B67" s="187"/>
      <c r="C67" s="187"/>
      <c r="D67" s="187"/>
      <c r="E67" s="187"/>
      <c r="F67" s="188" t="s">
        <v>271</v>
      </c>
      <c r="G67" s="188"/>
      <c r="H67" s="187"/>
      <c r="I67" s="187"/>
      <c r="J67" s="64"/>
      <c r="T67" s="65"/>
      <c r="U67" s="65"/>
      <c r="V67" s="65"/>
      <c r="W67" s="65"/>
      <c r="X67" s="65"/>
    </row>
    <row r="68" spans="1:24" x14ac:dyDescent="0.35">
      <c r="A68" s="200"/>
      <c r="B68" s="201"/>
      <c r="C68" s="201"/>
      <c r="D68" s="202"/>
      <c r="E68" s="201"/>
      <c r="F68" s="201"/>
      <c r="G68" s="201"/>
      <c r="H68" s="203"/>
      <c r="I68" s="201"/>
      <c r="J68" s="64"/>
      <c r="T68" s="65"/>
      <c r="U68" s="65"/>
      <c r="V68" s="65"/>
      <c r="W68" s="65"/>
      <c r="X68" s="65"/>
    </row>
    <row r="69" spans="1:24" ht="15.65" customHeight="1" x14ac:dyDescent="0.35">
      <c r="A69" s="534" t="s">
        <v>923</v>
      </c>
      <c r="B69" s="534"/>
      <c r="C69" s="534"/>
      <c r="D69" s="534"/>
      <c r="E69" s="534"/>
      <c r="F69" s="534"/>
      <c r="G69" s="534"/>
      <c r="H69" s="534"/>
      <c r="I69" s="534"/>
      <c r="J69" s="64"/>
      <c r="T69" s="65"/>
      <c r="U69" s="65"/>
      <c r="V69" s="65"/>
      <c r="W69" s="65"/>
      <c r="X69" s="65"/>
    </row>
    <row r="70" spans="1:24" x14ac:dyDescent="0.35">
      <c r="A70" s="534"/>
      <c r="B70" s="534"/>
      <c r="C70" s="534"/>
      <c r="D70" s="534"/>
      <c r="E70" s="534"/>
      <c r="F70" s="534"/>
      <c r="G70" s="534"/>
      <c r="H70" s="534"/>
      <c r="I70" s="534"/>
      <c r="J70" s="64"/>
      <c r="T70" s="65"/>
      <c r="U70" s="65"/>
      <c r="V70" s="65"/>
      <c r="W70" s="65"/>
      <c r="X70" s="65"/>
    </row>
    <row r="71" spans="1:24" x14ac:dyDescent="0.35">
      <c r="A71" s="534"/>
      <c r="B71" s="534"/>
      <c r="C71" s="534"/>
      <c r="D71" s="534"/>
      <c r="E71" s="534"/>
      <c r="F71" s="534"/>
      <c r="G71" s="534"/>
      <c r="H71" s="534"/>
      <c r="I71" s="534"/>
      <c r="J71" s="64"/>
      <c r="T71" s="65"/>
      <c r="U71" s="65"/>
      <c r="V71" s="65"/>
      <c r="W71" s="65"/>
      <c r="X71" s="65"/>
    </row>
    <row r="72" spans="1:24" x14ac:dyDescent="0.35">
      <c r="A72" s="534"/>
      <c r="B72" s="534"/>
      <c r="C72" s="534"/>
      <c r="D72" s="534"/>
      <c r="E72" s="534"/>
      <c r="F72" s="534"/>
      <c r="G72" s="534"/>
      <c r="H72" s="534"/>
      <c r="I72" s="534"/>
      <c r="J72" s="64"/>
      <c r="T72" s="65"/>
      <c r="U72" s="65"/>
      <c r="V72" s="65"/>
      <c r="W72" s="65"/>
      <c r="X72" s="65"/>
    </row>
    <row r="73" spans="1:24" x14ac:dyDescent="0.35">
      <c r="A73" s="534"/>
      <c r="B73" s="534"/>
      <c r="C73" s="534"/>
      <c r="D73" s="534"/>
      <c r="E73" s="534"/>
      <c r="F73" s="534"/>
      <c r="G73" s="534"/>
      <c r="H73" s="534"/>
      <c r="I73" s="534"/>
      <c r="J73" s="64"/>
      <c r="T73" s="65"/>
      <c r="U73" s="65"/>
      <c r="V73" s="65"/>
      <c r="W73" s="65"/>
      <c r="X73" s="65"/>
    </row>
    <row r="74" spans="1:24" x14ac:dyDescent="0.35">
      <c r="A74" s="534"/>
      <c r="B74" s="534"/>
      <c r="C74" s="534"/>
      <c r="D74" s="534"/>
      <c r="E74" s="534"/>
      <c r="F74" s="534"/>
      <c r="G74" s="534"/>
      <c r="H74" s="534"/>
      <c r="I74" s="534"/>
      <c r="J74" s="64"/>
      <c r="T74" s="65"/>
      <c r="U74" s="65"/>
      <c r="V74" s="65"/>
      <c r="W74" s="65"/>
      <c r="X74" s="65"/>
    </row>
    <row r="75" spans="1:24" ht="14.25" customHeight="1" x14ac:dyDescent="0.35">
      <c r="A75" s="100"/>
      <c r="B75" s="100"/>
      <c r="C75" s="100"/>
      <c r="D75" s="100"/>
      <c r="E75" s="100"/>
      <c r="F75" s="100"/>
      <c r="G75" s="100"/>
      <c r="H75" s="113"/>
      <c r="I75" s="100"/>
    </row>
    <row r="76" spans="1:24" x14ac:dyDescent="0.35">
      <c r="A76" s="100"/>
      <c r="B76" s="100"/>
      <c r="C76" s="100"/>
      <c r="D76" s="100"/>
      <c r="E76" s="100"/>
      <c r="F76" s="100"/>
      <c r="G76" s="100"/>
      <c r="H76" s="113"/>
      <c r="I76" s="100"/>
    </row>
    <row r="77" spans="1:24" x14ac:dyDescent="0.35">
      <c r="A77" s="100"/>
      <c r="B77" s="100"/>
      <c r="C77" s="100"/>
      <c r="D77" s="100"/>
      <c r="E77" s="100"/>
      <c r="F77" s="100"/>
      <c r="G77" s="100"/>
      <c r="H77" s="113"/>
      <c r="I77" s="100"/>
    </row>
    <row r="78" spans="1:24" x14ac:dyDescent="0.35">
      <c r="A78" s="100"/>
      <c r="B78" s="100"/>
      <c r="C78" s="100"/>
      <c r="D78" s="100"/>
      <c r="E78" s="100"/>
      <c r="F78" s="100"/>
      <c r="G78" s="100"/>
      <c r="H78" s="113"/>
      <c r="I78" s="100"/>
    </row>
    <row r="79" spans="1:24" x14ac:dyDescent="0.35">
      <c r="A79" s="100"/>
      <c r="B79" s="100"/>
      <c r="C79" s="100"/>
      <c r="D79" s="100"/>
      <c r="E79" s="100"/>
      <c r="F79" s="100"/>
      <c r="G79" s="100"/>
      <c r="H79" s="113"/>
      <c r="I79" s="100"/>
    </row>
    <row r="80" spans="1:24"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89" spans="1:9" x14ac:dyDescent="0.35">
      <c r="A89" s="100"/>
      <c r="B89" s="100"/>
      <c r="C89" s="100"/>
      <c r="D89" s="100"/>
      <c r="E89" s="100"/>
      <c r="F89" s="100"/>
      <c r="G89" s="100"/>
      <c r="H89" s="113"/>
      <c r="I89" s="100"/>
    </row>
    <row r="90" spans="1:9" x14ac:dyDescent="0.35">
      <c r="A90" s="100"/>
      <c r="B90" s="100"/>
      <c r="C90" s="100"/>
      <c r="D90" s="100"/>
      <c r="E90" s="100"/>
      <c r="F90" s="100"/>
      <c r="G90" s="100"/>
      <c r="H90" s="113"/>
      <c r="I90" s="100"/>
    </row>
    <row r="91" spans="1:9" x14ac:dyDescent="0.35">
      <c r="A91" s="100"/>
      <c r="B91" s="100"/>
      <c r="C91" s="100"/>
      <c r="D91" s="100"/>
      <c r="E91" s="100"/>
      <c r="F91" s="100"/>
      <c r="G91" s="100"/>
      <c r="H91" s="113"/>
      <c r="I91" s="100"/>
    </row>
    <row r="92" spans="1:9" x14ac:dyDescent="0.35">
      <c r="A92" s="100"/>
      <c r="B92" s="100"/>
      <c r="C92" s="100"/>
      <c r="D92" s="100"/>
      <c r="E92" s="100"/>
      <c r="F92" s="100"/>
      <c r="G92" s="100"/>
      <c r="H92" s="113"/>
      <c r="I92" s="100"/>
    </row>
    <row r="93" spans="1:9" x14ac:dyDescent="0.35">
      <c r="A93" s="100"/>
      <c r="B93" s="100"/>
      <c r="C93" s="100"/>
      <c r="D93" s="100"/>
      <c r="E93" s="100"/>
      <c r="F93" s="100"/>
      <c r="G93" s="100"/>
      <c r="H93" s="113"/>
      <c r="I93" s="100"/>
    </row>
    <row r="94" spans="1:9" x14ac:dyDescent="0.35">
      <c r="A94" s="100"/>
      <c r="B94" s="100"/>
      <c r="C94" s="100"/>
      <c r="D94" s="100"/>
      <c r="E94" s="100"/>
      <c r="F94" s="100"/>
      <c r="G94" s="100"/>
      <c r="H94" s="113"/>
      <c r="I94" s="100"/>
    </row>
    <row r="95" spans="1:9" x14ac:dyDescent="0.35">
      <c r="A95" s="100"/>
      <c r="B95" s="100"/>
      <c r="C95" s="100"/>
      <c r="D95" s="100"/>
      <c r="E95" s="100"/>
      <c r="F95" s="100"/>
      <c r="G95" s="100"/>
      <c r="H95" s="113"/>
      <c r="I95" s="100"/>
    </row>
    <row r="96" spans="1:9" x14ac:dyDescent="0.35">
      <c r="A96" s="100"/>
      <c r="B96" s="100"/>
      <c r="C96" s="100"/>
      <c r="D96" s="100"/>
      <c r="E96" s="100"/>
      <c r="F96" s="100"/>
      <c r="G96" s="100"/>
      <c r="H96" s="113"/>
      <c r="I96" s="100"/>
    </row>
    <row r="97" spans="1:9" x14ac:dyDescent="0.35">
      <c r="A97" s="100"/>
      <c r="B97" s="100"/>
      <c r="C97" s="100"/>
      <c r="D97" s="100"/>
      <c r="E97" s="100"/>
      <c r="F97" s="100"/>
      <c r="G97" s="100"/>
      <c r="H97" s="113"/>
      <c r="I97" s="100"/>
    </row>
    <row r="98" spans="1:9" x14ac:dyDescent="0.35">
      <c r="A98" s="100"/>
      <c r="B98" s="100"/>
      <c r="C98" s="100"/>
      <c r="D98" s="100"/>
      <c r="E98" s="100"/>
      <c r="F98" s="100"/>
      <c r="G98" s="100"/>
      <c r="H98" s="113"/>
      <c r="I98" s="100"/>
    </row>
    <row r="99" spans="1:9" x14ac:dyDescent="0.35">
      <c r="A99" s="100"/>
      <c r="B99" s="100"/>
      <c r="C99" s="100"/>
      <c r="D99" s="100"/>
      <c r="E99" s="100"/>
      <c r="F99" s="100"/>
      <c r="G99" s="100"/>
      <c r="H99" s="113"/>
      <c r="I99" s="100"/>
    </row>
    <row r="100" spans="1:9" x14ac:dyDescent="0.35">
      <c r="A100" s="100"/>
      <c r="B100" s="100"/>
      <c r="C100" s="100"/>
      <c r="D100" s="100"/>
      <c r="E100" s="100"/>
      <c r="F100" s="100"/>
      <c r="G100" s="100"/>
      <c r="H100" s="113"/>
      <c r="I100" s="100"/>
    </row>
    <row r="101" spans="1:9" x14ac:dyDescent="0.35">
      <c r="A101" s="100"/>
      <c r="B101" s="100"/>
      <c r="C101" s="100"/>
      <c r="D101" s="100"/>
      <c r="E101" s="100"/>
      <c r="F101" s="100"/>
      <c r="G101" s="100"/>
      <c r="H101" s="113"/>
      <c r="I101" s="100"/>
    </row>
    <row r="102" spans="1:9" x14ac:dyDescent="0.35">
      <c r="A102" s="100"/>
      <c r="B102" s="100"/>
      <c r="C102" s="100"/>
      <c r="D102" s="100"/>
      <c r="E102" s="100"/>
      <c r="F102" s="100"/>
      <c r="G102" s="100"/>
      <c r="H102" s="113"/>
      <c r="I102" s="100"/>
    </row>
    <row r="103" spans="1:9" x14ac:dyDescent="0.35">
      <c r="A103" s="100"/>
      <c r="B103" s="100"/>
      <c r="C103" s="100"/>
      <c r="D103" s="100"/>
      <c r="E103" s="100"/>
      <c r="F103" s="100"/>
      <c r="G103" s="100"/>
      <c r="H103" s="113"/>
      <c r="I103" s="100"/>
    </row>
    <row r="104" spans="1:9" x14ac:dyDescent="0.35">
      <c r="A104" s="100"/>
      <c r="B104" s="100"/>
      <c r="C104" s="100"/>
      <c r="D104" s="100"/>
      <c r="E104" s="100"/>
      <c r="F104" s="100"/>
      <c r="G104" s="100"/>
      <c r="H104" s="113"/>
      <c r="I104" s="100"/>
    </row>
    <row r="105" spans="1:9" x14ac:dyDescent="0.35">
      <c r="A105" s="100"/>
      <c r="B105" s="100"/>
      <c r="C105" s="100"/>
      <c r="D105" s="100"/>
      <c r="E105" s="100"/>
      <c r="F105" s="100"/>
      <c r="G105" s="100"/>
      <c r="H105" s="113"/>
      <c r="I105" s="100"/>
    </row>
    <row r="106" spans="1:9" x14ac:dyDescent="0.35">
      <c r="A106" s="100"/>
      <c r="B106" s="100"/>
      <c r="C106" s="100"/>
      <c r="D106" s="100"/>
      <c r="E106" s="100"/>
      <c r="F106" s="100"/>
      <c r="G106" s="100"/>
      <c r="H106" s="113"/>
      <c r="I106" s="100"/>
    </row>
    <row r="107" spans="1:9" x14ac:dyDescent="0.35">
      <c r="A107" s="100"/>
      <c r="B107" s="100"/>
      <c r="C107" s="100"/>
      <c r="D107" s="100"/>
      <c r="E107" s="100"/>
      <c r="F107" s="100"/>
      <c r="G107" s="100"/>
      <c r="H107" s="113"/>
      <c r="I107" s="100"/>
    </row>
    <row r="108" spans="1:9" x14ac:dyDescent="0.35">
      <c r="A108" s="100"/>
      <c r="B108" s="100"/>
      <c r="C108" s="100"/>
      <c r="D108" s="100"/>
      <c r="E108" s="100"/>
      <c r="F108" s="100"/>
      <c r="G108" s="100"/>
      <c r="H108" s="113"/>
      <c r="I108" s="100"/>
    </row>
    <row r="109" spans="1:9" x14ac:dyDescent="0.35">
      <c r="A109" s="100"/>
      <c r="B109" s="100"/>
      <c r="C109" s="100"/>
      <c r="D109" s="100"/>
      <c r="E109" s="100"/>
      <c r="F109" s="100"/>
      <c r="G109" s="100"/>
      <c r="H109" s="113"/>
      <c r="I109" s="100"/>
    </row>
    <row r="110" spans="1:9" x14ac:dyDescent="0.35">
      <c r="A110" s="100"/>
      <c r="B110" s="100"/>
      <c r="C110" s="100"/>
      <c r="D110" s="100"/>
      <c r="E110" s="100"/>
      <c r="F110" s="100"/>
      <c r="G110" s="100"/>
      <c r="H110" s="113"/>
      <c r="I110" s="100"/>
    </row>
    <row r="111" spans="1:9" x14ac:dyDescent="0.35">
      <c r="A111" s="100"/>
      <c r="B111" s="100"/>
      <c r="C111" s="100"/>
      <c r="D111" s="100"/>
      <c r="E111" s="100"/>
      <c r="F111" s="100"/>
      <c r="G111" s="100"/>
      <c r="H111" s="113"/>
      <c r="I111" s="100"/>
    </row>
    <row r="112" spans="1:9" x14ac:dyDescent="0.35">
      <c r="A112" s="100"/>
      <c r="B112" s="100"/>
      <c r="C112" s="100"/>
      <c r="D112" s="100"/>
      <c r="E112" s="100"/>
      <c r="F112" s="100"/>
      <c r="G112" s="100"/>
      <c r="H112" s="113"/>
      <c r="I112" s="100"/>
    </row>
    <row r="113" spans="1:9" x14ac:dyDescent="0.35">
      <c r="A113" s="100"/>
      <c r="B113" s="100"/>
      <c r="C113" s="100"/>
      <c r="D113" s="100"/>
      <c r="E113" s="100"/>
      <c r="F113" s="100"/>
      <c r="G113" s="100"/>
      <c r="H113" s="113"/>
      <c r="I113" s="100"/>
    </row>
    <row r="114" spans="1:9" x14ac:dyDescent="0.35">
      <c r="A114" s="100"/>
      <c r="B114" s="100"/>
      <c r="C114" s="100"/>
      <c r="D114" s="100"/>
      <c r="E114" s="100"/>
      <c r="F114" s="100"/>
      <c r="G114" s="100"/>
      <c r="H114" s="113"/>
      <c r="I114" s="100"/>
    </row>
    <row r="115" spans="1:9" x14ac:dyDescent="0.35">
      <c r="A115" s="100"/>
      <c r="B115" s="100"/>
      <c r="C115" s="100"/>
      <c r="D115" s="100"/>
      <c r="E115" s="100"/>
      <c r="F115" s="100"/>
      <c r="G115" s="100"/>
      <c r="H115" s="113"/>
      <c r="I115" s="100"/>
    </row>
    <row r="116" spans="1:9" x14ac:dyDescent="0.35">
      <c r="A116" s="100"/>
      <c r="B116" s="100"/>
      <c r="C116" s="100"/>
      <c r="D116" s="100"/>
      <c r="E116" s="100"/>
      <c r="F116" s="100"/>
      <c r="G116" s="100"/>
      <c r="H116" s="113"/>
      <c r="I116" s="100"/>
    </row>
    <row r="117" spans="1:9" x14ac:dyDescent="0.35">
      <c r="A117" s="100"/>
      <c r="B117" s="100"/>
      <c r="C117" s="100"/>
      <c r="D117" s="100"/>
      <c r="E117" s="100"/>
      <c r="F117" s="100"/>
      <c r="G117" s="100"/>
      <c r="H117" s="113"/>
      <c r="I117" s="100"/>
    </row>
    <row r="118" spans="1:9" x14ac:dyDescent="0.35">
      <c r="A118" s="100"/>
      <c r="B118" s="100"/>
      <c r="C118" s="100"/>
      <c r="D118" s="100"/>
      <c r="E118" s="100"/>
      <c r="F118" s="100"/>
      <c r="G118" s="100"/>
      <c r="H118" s="113"/>
      <c r="I118" s="100"/>
    </row>
    <row r="119" spans="1:9" x14ac:dyDescent="0.35">
      <c r="A119" s="100"/>
      <c r="B119" s="100"/>
      <c r="C119" s="100"/>
      <c r="D119" s="100"/>
      <c r="E119" s="100"/>
      <c r="F119" s="100"/>
      <c r="G119" s="100"/>
      <c r="H119" s="113"/>
      <c r="I119" s="100"/>
    </row>
    <row r="120" spans="1:9" x14ac:dyDescent="0.35">
      <c r="A120" s="100"/>
      <c r="B120" s="100"/>
      <c r="C120" s="100"/>
      <c r="D120" s="100"/>
      <c r="E120" s="100"/>
      <c r="F120" s="100"/>
      <c r="G120" s="100"/>
      <c r="H120" s="113"/>
      <c r="I120" s="100"/>
    </row>
    <row r="121" spans="1:9" x14ac:dyDescent="0.35">
      <c r="A121" s="100"/>
      <c r="B121" s="100"/>
      <c r="C121" s="100"/>
      <c r="D121" s="100"/>
      <c r="E121" s="100"/>
      <c r="F121" s="100"/>
      <c r="G121" s="100"/>
      <c r="H121" s="113"/>
      <c r="I121" s="100"/>
    </row>
    <row r="122" spans="1:9" x14ac:dyDescent="0.35">
      <c r="A122" s="100"/>
      <c r="B122" s="100"/>
      <c r="C122" s="100"/>
      <c r="D122" s="100"/>
      <c r="E122" s="100"/>
      <c r="F122" s="100"/>
      <c r="G122" s="100"/>
      <c r="H122" s="113"/>
      <c r="I122" s="100"/>
    </row>
    <row r="131" spans="7:7" hidden="1" x14ac:dyDescent="0.35">
      <c r="G131">
        <v>2</v>
      </c>
    </row>
    <row r="132" spans="7:7" hidden="1" x14ac:dyDescent="0.35">
      <c r="G132">
        <v>3</v>
      </c>
    </row>
    <row r="133" spans="7:7" hidden="1" x14ac:dyDescent="0.35">
      <c r="G133">
        <v>4</v>
      </c>
    </row>
    <row r="134" spans="7:7" hidden="1" x14ac:dyDescent="0.35">
      <c r="G134">
        <v>5</v>
      </c>
    </row>
  </sheetData>
  <sheetProtection sheet="1" objects="1" scenarios="1"/>
  <customSheetViews>
    <customSheetView guid="{D0F83CC0-0361-4280-BCA4-9A92C986158B}" hiddenRows="1">
      <selection activeCell="C6" sqref="C6"/>
      <pageMargins left="0.7" right="0.7" top="0.75" bottom="0.75" header="0.3" footer="0.3"/>
      <pageSetup orientation="portrait" horizontalDpi="1200" verticalDpi="1200" r:id="rId1"/>
    </customSheetView>
    <customSheetView guid="{27BAF95E-10B4-4025-9660-F5A8EBC66DC3}" hiddenRows="1">
      <selection activeCell="C6" sqref="C6"/>
      <pageMargins left="0.7" right="0.7" top="0.75" bottom="0.75" header="0.3" footer="0.3"/>
      <pageSetup orientation="portrait" horizontalDpi="1200" verticalDpi="1200" r:id="rId2"/>
    </customSheetView>
  </customSheetViews>
  <mergeCells count="23">
    <mergeCell ref="B30:C30"/>
    <mergeCell ref="B31:C31"/>
    <mergeCell ref="B25:C25"/>
    <mergeCell ref="B26:C26"/>
    <mergeCell ref="B27:C27"/>
    <mergeCell ref="B28:C28"/>
    <mergeCell ref="B29:C29"/>
    <mergeCell ref="A69:I74"/>
    <mergeCell ref="B14:C14"/>
    <mergeCell ref="A9:I11"/>
    <mergeCell ref="B13:C13"/>
    <mergeCell ref="B15:C15"/>
    <mergeCell ref="B16:C16"/>
    <mergeCell ref="B17:C17"/>
    <mergeCell ref="B18:C18"/>
    <mergeCell ref="B19:C19"/>
    <mergeCell ref="B32:C32"/>
    <mergeCell ref="B20:C20"/>
    <mergeCell ref="B21:C21"/>
    <mergeCell ref="B33:C33"/>
    <mergeCell ref="B22:C22"/>
    <mergeCell ref="B23:C23"/>
    <mergeCell ref="B24:C24"/>
  </mergeCells>
  <dataValidations count="1">
    <dataValidation type="list" allowBlank="1" showInputMessage="1" showErrorMessage="1" sqref="G15:G59" xr:uid="{00000000-0002-0000-1B00-000000000000}">
      <formula1>$G$131:$G$134</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topLeftCell="C1" workbookViewId="0"/>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774</v>
      </c>
    </row>
    <row r="2" spans="1:11" ht="21" x14ac:dyDescent="0.5">
      <c r="A2" s="2" t="s">
        <v>772</v>
      </c>
    </row>
    <row r="3" spans="1:11" ht="25" customHeight="1" x14ac:dyDescent="0.5">
      <c r="A3" s="524" t="s">
        <v>766</v>
      </c>
      <c r="B3" s="524"/>
      <c r="C3" s="524"/>
      <c r="D3" s="524"/>
      <c r="E3" s="524"/>
      <c r="F3" s="524"/>
      <c r="G3" s="524"/>
      <c r="H3" s="524"/>
      <c r="I3" s="524"/>
      <c r="J3" s="524"/>
    </row>
    <row r="5" spans="1:11" x14ac:dyDescent="0.35">
      <c r="A5" s="1" t="s">
        <v>773</v>
      </c>
      <c r="C5" s="420" t="str">
        <f>'As-Filed Schedule 1'!C5</f>
        <v>Eagle Valley Behavioral Health</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35">
        <v>1</v>
      </c>
      <c r="C10" s="535"/>
      <c r="D10" s="23">
        <v>2</v>
      </c>
      <c r="E10" s="23">
        <v>3</v>
      </c>
      <c r="F10" s="23">
        <v>4</v>
      </c>
      <c r="G10" s="23">
        <v>5</v>
      </c>
      <c r="H10" s="23">
        <v>6</v>
      </c>
      <c r="I10" s="23">
        <v>7</v>
      </c>
    </row>
    <row r="11" spans="1:11" x14ac:dyDescent="0.35">
      <c r="B11" s="536" t="s">
        <v>178</v>
      </c>
      <c r="C11" s="536"/>
      <c r="D11" s="537" t="s">
        <v>180</v>
      </c>
      <c r="E11" s="538" t="s">
        <v>207</v>
      </c>
      <c r="F11" s="539"/>
      <c r="G11" s="538" t="s">
        <v>210</v>
      </c>
      <c r="H11" s="539"/>
      <c r="I11" s="536" t="s">
        <v>218</v>
      </c>
    </row>
    <row r="12" spans="1:11" ht="30" customHeight="1" x14ac:dyDescent="0.35">
      <c r="B12" s="536"/>
      <c r="C12" s="536"/>
      <c r="D12" s="537"/>
      <c r="E12" s="10" t="s">
        <v>208</v>
      </c>
      <c r="F12" s="10" t="s">
        <v>209</v>
      </c>
      <c r="G12" s="10" t="s">
        <v>208</v>
      </c>
      <c r="H12" s="10" t="s">
        <v>209</v>
      </c>
      <c r="I12" s="536"/>
    </row>
    <row r="13" spans="1:11" x14ac:dyDescent="0.35">
      <c r="A13" s="425" t="s">
        <v>838</v>
      </c>
      <c r="B13" s="204"/>
      <c r="C13" s="204"/>
      <c r="D13" s="204"/>
      <c r="E13" s="204"/>
      <c r="F13" s="204"/>
      <c r="G13" s="204"/>
      <c r="H13" s="204"/>
      <c r="I13" s="204"/>
      <c r="J13" s="100"/>
    </row>
    <row r="14" spans="1:11" x14ac:dyDescent="0.35">
      <c r="A14" s="24">
        <v>1</v>
      </c>
      <c r="B14" s="540" t="s">
        <v>211</v>
      </c>
      <c r="C14" s="540"/>
      <c r="D14" s="24" t="s">
        <v>12</v>
      </c>
      <c r="E14" s="26">
        <f>'As-Filed Schedule 2A'!F73</f>
        <v>1035770</v>
      </c>
      <c r="F14" s="26">
        <f>'As-Filed Schedule 2A'!G73</f>
        <v>769953</v>
      </c>
      <c r="G14" s="26">
        <f>'As-Filed Schedule 2A'!J73</f>
        <v>175900</v>
      </c>
      <c r="H14" s="26">
        <f>'As-Filed Schedule 2A'!K73</f>
        <v>7710</v>
      </c>
      <c r="I14" s="68">
        <f>SUM(E14:H14)</f>
        <v>1989333</v>
      </c>
    </row>
    <row r="15" spans="1:11" x14ac:dyDescent="0.35">
      <c r="A15" s="24">
        <v>2</v>
      </c>
      <c r="B15" s="540" t="s">
        <v>213</v>
      </c>
      <c r="C15" s="540"/>
      <c r="D15" s="24" t="s">
        <v>13</v>
      </c>
      <c r="E15" s="26">
        <f>'As-Filed Schedule 2B'!$F$73</f>
        <v>0</v>
      </c>
      <c r="F15" s="26">
        <f>'As-Filed Schedule 2B'!G73</f>
        <v>0</v>
      </c>
      <c r="G15" s="26">
        <f>'As-Filed Schedule 2B'!$J$73</f>
        <v>2402433.1100000003</v>
      </c>
      <c r="H15" s="26">
        <f>'As-Filed Schedule 2B'!K73</f>
        <v>106485</v>
      </c>
      <c r="I15" s="68">
        <f>SUM(E15:H15)</f>
        <v>2508918.1100000003</v>
      </c>
    </row>
    <row r="16" spans="1:11" x14ac:dyDescent="0.35">
      <c r="A16" s="24">
        <v>3</v>
      </c>
      <c r="B16" s="540" t="s">
        <v>201</v>
      </c>
      <c r="C16" s="540"/>
      <c r="D16" s="24" t="s">
        <v>14</v>
      </c>
      <c r="E16" s="26">
        <f>'As-Filed Schedule 2C'!$F$73</f>
        <v>9484169.4443220906</v>
      </c>
      <c r="F16" s="26">
        <f>'As-Filed Schedule 2C'!G73</f>
        <v>7050176</v>
      </c>
      <c r="G16" s="26">
        <f>'As-Filed Schedule 2C'!$J$73</f>
        <v>558058.83179404528</v>
      </c>
      <c r="H16" s="26">
        <f>'As-Filed Schedule 2C'!K73</f>
        <v>90633</v>
      </c>
      <c r="I16" s="68">
        <f>SUM(E16:H16)</f>
        <v>17183037.276116136</v>
      </c>
      <c r="K16" s="48"/>
    </row>
    <row r="17" spans="1:11" x14ac:dyDescent="0.35">
      <c r="A17" s="24">
        <v>4</v>
      </c>
      <c r="B17" s="540" t="s">
        <v>212</v>
      </c>
      <c r="C17" s="540"/>
      <c r="D17" s="24" t="s">
        <v>179</v>
      </c>
      <c r="E17" s="26">
        <f>'As-Filed Schedule 2D'!$F$73</f>
        <v>630793</v>
      </c>
      <c r="F17" s="26">
        <f>'As-Filed Schedule 2D'!G73</f>
        <v>468908</v>
      </c>
      <c r="G17" s="26">
        <f>'As-Filed Schedule 2D'!$J$73</f>
        <v>30000</v>
      </c>
      <c r="H17" s="26">
        <f>'As-Filed Schedule 2D'!K73</f>
        <v>1315</v>
      </c>
      <c r="I17" s="68">
        <f>SUM(E17:H17)</f>
        <v>1131016</v>
      </c>
    </row>
    <row r="18" spans="1:11" x14ac:dyDescent="0.35">
      <c r="A18" s="425" t="s">
        <v>791</v>
      </c>
      <c r="B18" s="204"/>
      <c r="C18" s="204"/>
      <c r="D18" s="204"/>
      <c r="E18" s="204"/>
      <c r="F18" s="204"/>
      <c r="G18" s="204"/>
      <c r="H18" s="204"/>
      <c r="I18" s="204"/>
      <c r="J18" s="100"/>
      <c r="K18" s="48"/>
    </row>
    <row r="19" spans="1:11" x14ac:dyDescent="0.35">
      <c r="A19" s="155">
        <v>5</v>
      </c>
      <c r="B19" s="541" t="s">
        <v>792</v>
      </c>
      <c r="C19" s="541"/>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41" t="s">
        <v>794</v>
      </c>
      <c r="C20" s="541"/>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41" t="s">
        <v>796</v>
      </c>
      <c r="C21" s="541"/>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41" t="s">
        <v>798</v>
      </c>
      <c r="C22" s="541"/>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41" t="s">
        <v>800</v>
      </c>
      <c r="C23" s="541"/>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41" t="s">
        <v>802</v>
      </c>
      <c r="C24" s="541"/>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41" t="s">
        <v>804</v>
      </c>
      <c r="C25" s="541"/>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41" t="s">
        <v>806</v>
      </c>
      <c r="C26" s="541"/>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42" t="s">
        <v>808</v>
      </c>
      <c r="C27" s="542"/>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11150732.444322091</v>
      </c>
      <c r="F28" s="18">
        <f t="shared" ref="F28:G28" si="1">SUM(F14:F27)</f>
        <v>8289037</v>
      </c>
      <c r="G28" s="18">
        <f t="shared" si="1"/>
        <v>3166391.9417940457</v>
      </c>
      <c r="H28" s="18">
        <f>SUM(H14:H27)</f>
        <v>206143</v>
      </c>
    </row>
    <row r="29" spans="1:11" s="57" customFormat="1" ht="12" x14ac:dyDescent="0.3">
      <c r="D29" s="76" t="s">
        <v>216</v>
      </c>
      <c r="E29" s="58">
        <f>'As-Filed Schedule 1'!F91</f>
        <v>11150732.444322091</v>
      </c>
      <c r="G29" s="58">
        <f>'As-Filed Schedule 1'!H91</f>
        <v>3166391.7784607117</v>
      </c>
    </row>
    <row r="30" spans="1:11" s="57" customFormat="1" ht="12" x14ac:dyDescent="0.3">
      <c r="D30" s="76" t="s">
        <v>10</v>
      </c>
      <c r="E30" s="426">
        <f>E28-E29</f>
        <v>0</v>
      </c>
      <c r="G30" s="426">
        <f>G28-G29</f>
        <v>0.16333333402872086</v>
      </c>
    </row>
    <row r="31" spans="1:11" s="57" customFormat="1" ht="12" x14ac:dyDescent="0.3">
      <c r="E31" s="76"/>
      <c r="F31" s="426"/>
      <c r="H31" s="426"/>
    </row>
    <row r="33" spans="1:10" x14ac:dyDescent="0.35">
      <c r="E33" s="10" t="s">
        <v>218</v>
      </c>
    </row>
    <row r="34" spans="1:10" x14ac:dyDescent="0.35">
      <c r="A34" s="24">
        <v>15</v>
      </c>
      <c r="B34" s="540" t="s">
        <v>219</v>
      </c>
      <c r="C34" s="540"/>
      <c r="D34" s="24" t="s">
        <v>110</v>
      </c>
      <c r="E34" s="26">
        <f>'As-Filed Schedule 3'!M167</f>
        <v>374224.83969920815</v>
      </c>
      <c r="I34" s="18">
        <f>SUM(I14:I27)+E34</f>
        <v>23186529.225815345</v>
      </c>
      <c r="J34" s="71" t="s">
        <v>3</v>
      </c>
    </row>
    <row r="35" spans="1:10" ht="12.75" customHeight="1" x14ac:dyDescent="0.35">
      <c r="D35" s="76" t="s">
        <v>217</v>
      </c>
      <c r="E35" s="58">
        <f>'As-Filed Schedule 1'!G95</f>
        <v>374224.83969920815</v>
      </c>
    </row>
    <row r="36" spans="1:10" ht="12.75" customHeight="1" x14ac:dyDescent="0.35">
      <c r="D36" s="76" t="s">
        <v>10</v>
      </c>
      <c r="E36" s="59">
        <f>E34-E35</f>
        <v>0</v>
      </c>
    </row>
    <row r="38" spans="1:10" x14ac:dyDescent="0.35">
      <c r="B38" s="48"/>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topLeftCell="D49" workbookViewId="0">
      <selection activeCell="K9" sqref="K9"/>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524" t="s">
        <v>767</v>
      </c>
      <c r="B3" s="524"/>
      <c r="C3" s="524"/>
      <c r="D3" s="524"/>
      <c r="E3" s="524"/>
      <c r="F3" s="524"/>
    </row>
    <row r="4" spans="1:19" x14ac:dyDescent="0.35">
      <c r="A4" s="48"/>
    </row>
    <row r="5" spans="1:19" x14ac:dyDescent="0.35">
      <c r="A5" s="1" t="s">
        <v>773</v>
      </c>
      <c r="C5" s="420" t="str">
        <f>'As-Filed Schedule 1'!C5</f>
        <v>Eagle Valley Behavioral Health</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1017</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35">
        <v>1</v>
      </c>
      <c r="C12" s="535"/>
      <c r="D12" s="535"/>
      <c r="F12" s="23">
        <v>2</v>
      </c>
      <c r="G12" s="23">
        <v>3</v>
      </c>
      <c r="H12" s="23">
        <v>4</v>
      </c>
      <c r="J12" s="23">
        <v>5</v>
      </c>
      <c r="K12" s="23">
        <v>6</v>
      </c>
      <c r="L12" s="23">
        <v>7</v>
      </c>
      <c r="N12" s="23">
        <v>8</v>
      </c>
      <c r="O12" s="23">
        <v>9</v>
      </c>
      <c r="Q12" s="40"/>
      <c r="R12" s="40"/>
      <c r="S12" s="40"/>
    </row>
    <row r="13" spans="1:19" x14ac:dyDescent="0.35">
      <c r="B13" s="544" t="s">
        <v>255</v>
      </c>
      <c r="C13" s="545"/>
      <c r="D13" s="546"/>
      <c r="F13" s="538" t="s">
        <v>261</v>
      </c>
      <c r="G13" s="550"/>
      <c r="H13" s="539"/>
      <c r="J13" s="538" t="s">
        <v>262</v>
      </c>
      <c r="K13" s="550"/>
      <c r="L13" s="539"/>
      <c r="N13" s="551" t="s">
        <v>250</v>
      </c>
      <c r="O13" s="551" t="s">
        <v>312</v>
      </c>
      <c r="Q13" s="40"/>
      <c r="R13" s="40"/>
      <c r="S13" s="40"/>
    </row>
    <row r="14" spans="1:19" ht="56.25" customHeight="1" x14ac:dyDescent="0.35">
      <c r="B14" s="547"/>
      <c r="C14" s="548"/>
      <c r="D14" s="549"/>
      <c r="F14" s="10" t="s">
        <v>214</v>
      </c>
      <c r="G14" s="151" t="s">
        <v>491</v>
      </c>
      <c r="H14" s="151" t="s">
        <v>215</v>
      </c>
      <c r="I14" s="100"/>
      <c r="J14" s="151" t="s">
        <v>214</v>
      </c>
      <c r="K14" s="151" t="s">
        <v>491</v>
      </c>
      <c r="L14" s="10" t="s">
        <v>215</v>
      </c>
      <c r="N14" s="552"/>
      <c r="O14" s="552"/>
    </row>
    <row r="15" spans="1:19" x14ac:dyDescent="0.35">
      <c r="A15" s="24">
        <v>1</v>
      </c>
      <c r="B15" s="576" t="s">
        <v>991</v>
      </c>
      <c r="C15" s="576"/>
      <c r="D15" s="576"/>
      <c r="F15" s="117">
        <v>1035770</v>
      </c>
      <c r="G15" s="68">
        <v>769953</v>
      </c>
      <c r="H15" s="68">
        <f>SUM(F15:G15)</f>
        <v>1805723</v>
      </c>
      <c r="J15" s="117"/>
      <c r="K15" s="68">
        <f>IFERROR(J15*'As-Filed Schedule 1'!$E$103,0)</f>
        <v>0</v>
      </c>
      <c r="L15" s="68">
        <f>SUM(J15:K15)</f>
        <v>0</v>
      </c>
      <c r="N15" s="120">
        <v>8.11</v>
      </c>
      <c r="O15" s="449">
        <v>802</v>
      </c>
    </row>
    <row r="16" spans="1:19"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77"/>
      <c r="C17" s="577"/>
      <c r="D17" s="577"/>
      <c r="F17" s="117"/>
      <c r="G17" s="68">
        <f>IFERROR(F17*'As-Filed Schedule 1'!$E$103,0)</f>
        <v>0</v>
      </c>
      <c r="H17" s="68">
        <f t="shared" si="0"/>
        <v>0</v>
      </c>
      <c r="J17" s="117"/>
      <c r="K17" s="68">
        <f>IFERROR(J17*'As-Filed Schedule 1'!$E$103,0)</f>
        <v>0</v>
      </c>
      <c r="L17" s="68">
        <f t="shared" si="1"/>
        <v>0</v>
      </c>
      <c r="N17" s="120"/>
      <c r="O17" s="449"/>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449"/>
    </row>
    <row r="19" spans="1:15" x14ac:dyDescent="0.35">
      <c r="A19" s="24">
        <v>5</v>
      </c>
      <c r="B19" s="543" t="s">
        <v>992</v>
      </c>
      <c r="C19" s="543"/>
      <c r="D19" s="543"/>
      <c r="F19" s="117"/>
      <c r="G19" s="68">
        <f>IFERROR(F19*'As-Filed Schedule 1'!$E$103,0)</f>
        <v>0</v>
      </c>
      <c r="H19" s="68">
        <f t="shared" si="0"/>
        <v>0</v>
      </c>
      <c r="J19" s="117">
        <v>175900</v>
      </c>
      <c r="K19" s="68">
        <v>7710</v>
      </c>
      <c r="L19" s="68">
        <f t="shared" si="1"/>
        <v>183610</v>
      </c>
      <c r="N19" s="120"/>
      <c r="O19" s="449"/>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449"/>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1035770</v>
      </c>
      <c r="G73" s="18">
        <f t="shared" ref="G73:H73" si="2">SUM(G15:G72)</f>
        <v>769953</v>
      </c>
      <c r="H73" s="18">
        <f t="shared" si="2"/>
        <v>1805723</v>
      </c>
      <c r="J73" s="18">
        <f>SUM(J15:J72)</f>
        <v>175900</v>
      </c>
      <c r="K73" s="18">
        <f t="shared" ref="K73:L73" si="3">SUM(K15:K72)</f>
        <v>7710</v>
      </c>
      <c r="L73" s="18">
        <f t="shared" si="3"/>
        <v>183610</v>
      </c>
      <c r="O73" s="83" t="s">
        <v>313</v>
      </c>
    </row>
    <row r="74" spans="1:15" ht="15" thickBot="1" x14ac:dyDescent="0.4">
      <c r="H74" s="37" t="s">
        <v>257</v>
      </c>
      <c r="L74" s="37" t="s">
        <v>258</v>
      </c>
    </row>
    <row r="75" spans="1:15" ht="16" thickBot="1" x14ac:dyDescent="0.4">
      <c r="A75" s="24">
        <v>60</v>
      </c>
      <c r="B75" s="143" t="s">
        <v>463</v>
      </c>
      <c r="C75" s="72"/>
      <c r="E75" s="72"/>
      <c r="F75" s="75">
        <f>H73+L73</f>
        <v>1989333</v>
      </c>
      <c r="I75" s="74"/>
      <c r="J75" s="74"/>
      <c r="K75" s="74"/>
      <c r="L75" s="74"/>
      <c r="N75" s="72"/>
      <c r="O75" s="72"/>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1:D41"/>
    <mergeCell ref="B42:D42"/>
    <mergeCell ref="B43:D43"/>
    <mergeCell ref="B44:D44"/>
    <mergeCell ref="B45:D45"/>
    <mergeCell ref="B46:D46"/>
    <mergeCell ref="B47:D47"/>
    <mergeCell ref="B48:D48"/>
    <mergeCell ref="B49:D49"/>
    <mergeCell ref="B50:D50"/>
    <mergeCell ref="B25:D25"/>
    <mergeCell ref="B26:D26"/>
    <mergeCell ref="B27:D27"/>
    <mergeCell ref="B28:D28"/>
    <mergeCell ref="B20:D20"/>
    <mergeCell ref="B21:D21"/>
    <mergeCell ref="B22:D22"/>
    <mergeCell ref="B23:D23"/>
    <mergeCell ref="B24:D24"/>
    <mergeCell ref="B29:D29"/>
    <mergeCell ref="B37:D37"/>
    <mergeCell ref="B38:D38"/>
    <mergeCell ref="B39:D39"/>
    <mergeCell ref="B30:D30"/>
    <mergeCell ref="B31:D31"/>
    <mergeCell ref="B32:D32"/>
    <mergeCell ref="B33:D33"/>
    <mergeCell ref="B34:D3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15:D15"/>
    <mergeCell ref="B16:D16"/>
    <mergeCell ref="B17:D17"/>
    <mergeCell ref="B18:D18"/>
    <mergeCell ref="B19:D19"/>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topLeftCell="D46" workbookViewId="0">
      <selection activeCell="K15" sqref="K15:K31"/>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24" t="s">
        <v>768</v>
      </c>
      <c r="B3" s="524"/>
      <c r="C3" s="524"/>
      <c r="D3" s="524"/>
      <c r="E3" s="524"/>
      <c r="F3" s="524"/>
      <c r="G3" s="524"/>
      <c r="H3" s="524"/>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260</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44" t="s">
        <v>255</v>
      </c>
      <c r="C13" s="545"/>
      <c r="D13" s="546"/>
      <c r="F13" s="538" t="s">
        <v>261</v>
      </c>
      <c r="G13" s="550"/>
      <c r="H13" s="539"/>
      <c r="J13" s="538" t="s">
        <v>262</v>
      </c>
      <c r="K13" s="550"/>
      <c r="L13" s="539"/>
      <c r="N13" s="551" t="s">
        <v>250</v>
      </c>
      <c r="O13" s="537" t="s">
        <v>312</v>
      </c>
    </row>
    <row r="14" spans="1:15" ht="55.5" customHeight="1" x14ac:dyDescent="0.35">
      <c r="B14" s="547"/>
      <c r="C14" s="548"/>
      <c r="D14" s="549"/>
      <c r="E14" s="48"/>
      <c r="F14" s="10" t="s">
        <v>214</v>
      </c>
      <c r="G14" s="151" t="s">
        <v>491</v>
      </c>
      <c r="H14" s="151" t="s">
        <v>215</v>
      </c>
      <c r="I14" s="100"/>
      <c r="J14" s="151" t="s">
        <v>214</v>
      </c>
      <c r="K14" s="151" t="s">
        <v>491</v>
      </c>
      <c r="L14" s="10" t="s">
        <v>215</v>
      </c>
      <c r="M14" s="48"/>
      <c r="N14" s="552"/>
      <c r="O14" s="537"/>
    </row>
    <row r="15" spans="1:15" x14ac:dyDescent="0.35">
      <c r="A15" s="24">
        <v>1</v>
      </c>
      <c r="B15" s="578" t="s">
        <v>993</v>
      </c>
      <c r="C15" s="578"/>
      <c r="D15" s="578"/>
      <c r="F15" s="117"/>
      <c r="G15" s="181">
        <f>IFERROR(F15*'As-Filed Schedule 1'!$E$103,0)</f>
        <v>0</v>
      </c>
      <c r="H15" s="181">
        <f>SUM(F15:G15)</f>
        <v>0</v>
      </c>
      <c r="I15" s="100"/>
      <c r="J15" s="180">
        <v>539</v>
      </c>
      <c r="K15" s="181">
        <v>401</v>
      </c>
      <c r="L15" s="68">
        <f>SUM(J15:K15)</f>
        <v>940</v>
      </c>
      <c r="N15" s="120">
        <v>0.01</v>
      </c>
      <c r="O15" s="449">
        <v>38</v>
      </c>
    </row>
    <row r="16" spans="1:15" x14ac:dyDescent="0.35">
      <c r="A16" s="24">
        <v>2</v>
      </c>
      <c r="B16" s="577" t="s">
        <v>994</v>
      </c>
      <c r="C16" s="577"/>
      <c r="D16" s="577"/>
      <c r="F16" s="117"/>
      <c r="G16" s="68">
        <f>IFERROR(F16*'As-Filed Schedule 1'!$E$103,0)</f>
        <v>0</v>
      </c>
      <c r="H16" s="68">
        <f t="shared" ref="H16:H72" si="0">SUM(F16:G16)</f>
        <v>0</v>
      </c>
      <c r="J16" s="117">
        <v>1148</v>
      </c>
      <c r="K16" s="68">
        <v>853</v>
      </c>
      <c r="L16" s="68">
        <f t="shared" ref="L16:L72" si="1">SUM(J16:K16)</f>
        <v>2001</v>
      </c>
      <c r="N16" s="120">
        <v>0.01</v>
      </c>
      <c r="O16" s="449">
        <v>41</v>
      </c>
    </row>
    <row r="17" spans="1:15" x14ac:dyDescent="0.35">
      <c r="A17" s="24">
        <v>3</v>
      </c>
      <c r="B17" s="543"/>
      <c r="C17" s="543"/>
      <c r="D17" s="543"/>
      <c r="F17" s="117"/>
      <c r="G17" s="68">
        <f>IFERROR(F17*'As-Filed Schedule 1'!$E$103,0)</f>
        <v>0</v>
      </c>
      <c r="H17" s="68">
        <f t="shared" si="0"/>
        <v>0</v>
      </c>
      <c r="J17" s="117"/>
      <c r="K17" s="68" t="s">
        <v>1023</v>
      </c>
      <c r="L17" s="68">
        <f t="shared" si="1"/>
        <v>0</v>
      </c>
      <c r="N17" s="120"/>
      <c r="O17" s="449"/>
    </row>
    <row r="18" spans="1:15" x14ac:dyDescent="0.35">
      <c r="A18" s="24">
        <v>4</v>
      </c>
      <c r="B18" s="543"/>
      <c r="C18" s="543"/>
      <c r="D18" s="543"/>
      <c r="F18" s="117"/>
      <c r="G18" s="68">
        <f>IFERROR(F18*'As-Filed Schedule 1'!$E$103,0)</f>
        <v>0</v>
      </c>
      <c r="H18" s="68">
        <f t="shared" si="0"/>
        <v>0</v>
      </c>
      <c r="J18" s="117"/>
      <c r="K18" s="68" t="s">
        <v>1023</v>
      </c>
      <c r="L18" s="68">
        <f t="shared" si="1"/>
        <v>0</v>
      </c>
      <c r="N18" s="120"/>
      <c r="O18" s="449"/>
    </row>
    <row r="19" spans="1:15" x14ac:dyDescent="0.35">
      <c r="A19" s="24">
        <v>5</v>
      </c>
      <c r="B19" s="579" t="s">
        <v>995</v>
      </c>
      <c r="C19" s="543"/>
      <c r="D19" s="543"/>
      <c r="F19" s="117"/>
      <c r="G19" s="68">
        <f>IFERROR(F19*'As-Filed Schedule 1'!$E$103,0)</f>
        <v>0</v>
      </c>
      <c r="H19" s="68">
        <f t="shared" si="0"/>
        <v>0</v>
      </c>
      <c r="J19" s="117">
        <v>252666</v>
      </c>
      <c r="K19" s="68">
        <v>11075</v>
      </c>
      <c r="L19" s="68">
        <f t="shared" si="1"/>
        <v>263741</v>
      </c>
      <c r="N19" s="120"/>
      <c r="O19" s="449"/>
    </row>
    <row r="20" spans="1:15" x14ac:dyDescent="0.35">
      <c r="A20" s="24">
        <v>6</v>
      </c>
      <c r="B20" s="579" t="s">
        <v>996</v>
      </c>
      <c r="C20" s="543"/>
      <c r="D20" s="543"/>
      <c r="F20" s="117"/>
      <c r="G20" s="68">
        <f>IFERROR(F20*'As-Filed Schedule 1'!$E$103,0)</f>
        <v>0</v>
      </c>
      <c r="H20" s="68">
        <f t="shared" si="0"/>
        <v>0</v>
      </c>
      <c r="J20" s="117">
        <v>466666.66666666669</v>
      </c>
      <c r="K20" s="68">
        <v>20455</v>
      </c>
      <c r="L20" s="68">
        <f t="shared" si="1"/>
        <v>487121.66666666669</v>
      </c>
      <c r="N20" s="120"/>
      <c r="O20" s="120"/>
    </row>
    <row r="21" spans="1:15" x14ac:dyDescent="0.35">
      <c r="A21" s="24">
        <v>7</v>
      </c>
      <c r="B21" s="579" t="s">
        <v>997</v>
      </c>
      <c r="C21" s="543"/>
      <c r="D21" s="543"/>
      <c r="F21" s="117"/>
      <c r="G21" s="68">
        <f>IFERROR(F21*'As-Filed Schedule 1'!$E$103,0)</f>
        <v>0</v>
      </c>
      <c r="H21" s="68">
        <f t="shared" si="0"/>
        <v>0</v>
      </c>
      <c r="J21" s="117">
        <v>75000</v>
      </c>
      <c r="K21" s="68">
        <v>3287</v>
      </c>
      <c r="L21" s="68">
        <f t="shared" si="1"/>
        <v>78287</v>
      </c>
      <c r="N21" s="120"/>
      <c r="O21" s="120"/>
    </row>
    <row r="22" spans="1:15" x14ac:dyDescent="0.35">
      <c r="A22" s="24">
        <v>8</v>
      </c>
      <c r="B22" s="543" t="s">
        <v>998</v>
      </c>
      <c r="C22" s="543"/>
      <c r="D22" s="543"/>
      <c r="F22" s="117"/>
      <c r="G22" s="68">
        <f>IFERROR(F22*'As-Filed Schedule 1'!$E$103,0)</f>
        <v>0</v>
      </c>
      <c r="H22" s="68">
        <f t="shared" si="0"/>
        <v>0</v>
      </c>
      <c r="J22" s="117">
        <v>59334.11</v>
      </c>
      <c r="K22" s="68">
        <v>2601</v>
      </c>
      <c r="L22" s="68">
        <f t="shared" si="1"/>
        <v>61935.11</v>
      </c>
      <c r="N22" s="120"/>
      <c r="O22" s="120"/>
    </row>
    <row r="23" spans="1:15" x14ac:dyDescent="0.35">
      <c r="A23" s="24">
        <v>9</v>
      </c>
      <c r="B23" s="543" t="s">
        <v>999</v>
      </c>
      <c r="C23" s="543"/>
      <c r="D23" s="543"/>
      <c r="F23" s="117"/>
      <c r="G23" s="68">
        <f>IFERROR(F23*'As-Filed Schedule 1'!$E$103,0)</f>
        <v>0</v>
      </c>
      <c r="H23" s="68">
        <f t="shared" si="0"/>
        <v>0</v>
      </c>
      <c r="J23" s="117">
        <v>70000</v>
      </c>
      <c r="K23" s="68">
        <v>3068</v>
      </c>
      <c r="L23" s="68">
        <f t="shared" si="1"/>
        <v>73068</v>
      </c>
      <c r="N23" s="120"/>
      <c r="O23" s="120"/>
    </row>
    <row r="24" spans="1:15" x14ac:dyDescent="0.35">
      <c r="A24" s="24">
        <v>10</v>
      </c>
      <c r="B24" s="543" t="s">
        <v>1000</v>
      </c>
      <c r="C24" s="543"/>
      <c r="D24" s="543"/>
      <c r="F24" s="117"/>
      <c r="G24" s="68">
        <f>IFERROR(F24*'As-Filed Schedule 1'!$E$103,0)</f>
        <v>0</v>
      </c>
      <c r="H24" s="68">
        <f t="shared" si="0"/>
        <v>0</v>
      </c>
      <c r="J24" s="117">
        <v>50000</v>
      </c>
      <c r="K24" s="68">
        <v>2192</v>
      </c>
      <c r="L24" s="68">
        <f t="shared" si="1"/>
        <v>52192</v>
      </c>
      <c r="N24" s="120"/>
      <c r="O24" s="120"/>
    </row>
    <row r="25" spans="1:15" x14ac:dyDescent="0.35">
      <c r="A25" s="24">
        <v>11</v>
      </c>
      <c r="B25" s="543" t="s">
        <v>1001</v>
      </c>
      <c r="C25" s="543"/>
      <c r="D25" s="543"/>
      <c r="F25" s="117"/>
      <c r="G25" s="68">
        <f>IFERROR(F25*'As-Filed Schedule 1'!$E$103,0)</f>
        <v>0</v>
      </c>
      <c r="H25" s="68">
        <f t="shared" si="0"/>
        <v>0</v>
      </c>
      <c r="J25" s="117">
        <v>16627</v>
      </c>
      <c r="K25" s="68">
        <v>729</v>
      </c>
      <c r="L25" s="68">
        <f t="shared" si="1"/>
        <v>17356</v>
      </c>
      <c r="N25" s="120"/>
      <c r="O25" s="120"/>
    </row>
    <row r="26" spans="1:15" x14ac:dyDescent="0.35">
      <c r="A26" s="24">
        <v>12</v>
      </c>
      <c r="B26" s="543" t="s">
        <v>1002</v>
      </c>
      <c r="C26" s="543"/>
      <c r="D26" s="543"/>
      <c r="F26" s="117"/>
      <c r="G26" s="68">
        <f>IFERROR(F26*'As-Filed Schedule 1'!$E$103,0)</f>
        <v>0</v>
      </c>
      <c r="H26" s="68">
        <f t="shared" si="0"/>
        <v>0</v>
      </c>
      <c r="J26" s="117">
        <v>10500</v>
      </c>
      <c r="K26" s="68">
        <v>460</v>
      </c>
      <c r="L26" s="68">
        <f t="shared" si="1"/>
        <v>10960</v>
      </c>
      <c r="N26" s="120"/>
      <c r="O26" s="120"/>
    </row>
    <row r="27" spans="1:15" x14ac:dyDescent="0.35">
      <c r="A27" s="24">
        <v>13</v>
      </c>
      <c r="B27" s="543" t="s">
        <v>1003</v>
      </c>
      <c r="C27" s="543"/>
      <c r="D27" s="543"/>
      <c r="F27" s="117"/>
      <c r="G27" s="68">
        <f>IFERROR(F27*'As-Filed Schedule 1'!$E$103,0)</f>
        <v>0</v>
      </c>
      <c r="H27" s="68">
        <f t="shared" si="0"/>
        <v>0</v>
      </c>
      <c r="J27" s="117">
        <v>58633.333333333336</v>
      </c>
      <c r="K27" s="68">
        <v>2570</v>
      </c>
      <c r="L27" s="68">
        <f t="shared" si="1"/>
        <v>61203.333333333336</v>
      </c>
      <c r="N27" s="120"/>
      <c r="O27" s="120"/>
    </row>
    <row r="28" spans="1:15" x14ac:dyDescent="0.35">
      <c r="A28" s="24">
        <v>14</v>
      </c>
      <c r="B28" s="543" t="s">
        <v>1004</v>
      </c>
      <c r="C28" s="543"/>
      <c r="D28" s="543"/>
      <c r="F28" s="117"/>
      <c r="G28" s="68">
        <f>IFERROR(F28*'As-Filed Schedule 1'!$E$103,0)</f>
        <v>0</v>
      </c>
      <c r="H28" s="68">
        <f t="shared" si="0"/>
        <v>0</v>
      </c>
      <c r="J28" s="117">
        <v>80000</v>
      </c>
      <c r="K28" s="68">
        <v>3507</v>
      </c>
      <c r="L28" s="68">
        <f t="shared" si="1"/>
        <v>83507</v>
      </c>
      <c r="N28" s="120"/>
      <c r="O28" s="120"/>
    </row>
    <row r="29" spans="1:15" x14ac:dyDescent="0.35">
      <c r="A29" s="24">
        <v>15</v>
      </c>
      <c r="B29" s="543" t="s">
        <v>1005</v>
      </c>
      <c r="C29" s="543"/>
      <c r="D29" s="543"/>
      <c r="F29" s="117"/>
      <c r="G29" s="68">
        <f>IFERROR(F29*'As-Filed Schedule 1'!$E$103,0)</f>
        <v>0</v>
      </c>
      <c r="H29" s="68">
        <f t="shared" si="0"/>
        <v>0</v>
      </c>
      <c r="J29" s="117">
        <v>95000</v>
      </c>
      <c r="K29" s="68">
        <v>4164</v>
      </c>
      <c r="L29" s="68">
        <f t="shared" si="1"/>
        <v>99164</v>
      </c>
      <c r="N29" s="120"/>
      <c r="O29" s="120"/>
    </row>
    <row r="30" spans="1:15" x14ac:dyDescent="0.35">
      <c r="A30" s="24">
        <v>16</v>
      </c>
      <c r="B30" s="543"/>
      <c r="C30" s="543"/>
      <c r="D30" s="543"/>
      <c r="F30" s="117"/>
      <c r="G30" s="68">
        <f>IFERROR(F30*'As-Filed Schedule 1'!$E$103,0)</f>
        <v>0</v>
      </c>
      <c r="H30" s="68">
        <f t="shared" si="0"/>
        <v>0</v>
      </c>
      <c r="J30" s="117"/>
      <c r="K30" s="68" t="s">
        <v>1023</v>
      </c>
      <c r="L30" s="68">
        <f t="shared" si="1"/>
        <v>0</v>
      </c>
      <c r="N30" s="120"/>
      <c r="O30" s="120"/>
    </row>
    <row r="31" spans="1:15" x14ac:dyDescent="0.35">
      <c r="A31" s="24">
        <v>17</v>
      </c>
      <c r="B31" s="543" t="s">
        <v>1006</v>
      </c>
      <c r="C31" s="543"/>
      <c r="D31" s="543"/>
      <c r="F31" s="117"/>
      <c r="G31" s="68">
        <f>IFERROR(F31*'As-Filed Schedule 1'!$E$103,0)</f>
        <v>0</v>
      </c>
      <c r="H31" s="68">
        <f t="shared" si="0"/>
        <v>0</v>
      </c>
      <c r="J31" s="117">
        <v>1166319</v>
      </c>
      <c r="K31" s="68">
        <v>51123</v>
      </c>
      <c r="L31" s="68">
        <f t="shared" si="1"/>
        <v>1217442</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2402433.1100000003</v>
      </c>
      <c r="K73" s="18">
        <f t="shared" ref="K73:L73" si="3">SUM(K15:K72)</f>
        <v>106485</v>
      </c>
      <c r="L73" s="18">
        <f t="shared" si="3"/>
        <v>2508918.1100000003</v>
      </c>
      <c r="O73" s="83" t="s">
        <v>313</v>
      </c>
    </row>
    <row r="74" spans="1:15" ht="15" thickBot="1" x14ac:dyDescent="0.4">
      <c r="H74" s="37" t="s">
        <v>257</v>
      </c>
      <c r="L74" s="37" t="s">
        <v>258</v>
      </c>
    </row>
    <row r="75" spans="1:15" s="72" customFormat="1" ht="16" thickBot="1" x14ac:dyDescent="0.4">
      <c r="A75" s="24">
        <v>60</v>
      </c>
      <c r="B75" s="73" t="s">
        <v>460</v>
      </c>
      <c r="F75" s="75">
        <f>H73+L73</f>
        <v>2508918.1100000003</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29:D29"/>
    <mergeCell ref="B30:D30"/>
    <mergeCell ref="B31:D31"/>
    <mergeCell ref="B16:D16"/>
    <mergeCell ref="B17:D17"/>
    <mergeCell ref="B18:D18"/>
    <mergeCell ref="B19:D19"/>
    <mergeCell ref="B20:D20"/>
    <mergeCell ref="B21:D21"/>
    <mergeCell ref="B22:D22"/>
    <mergeCell ref="B23:D23"/>
    <mergeCell ref="B24:D24"/>
    <mergeCell ref="B25:D25"/>
    <mergeCell ref="B26:D26"/>
    <mergeCell ref="B44:D44"/>
    <mergeCell ref="B45:D45"/>
    <mergeCell ref="B46:D46"/>
    <mergeCell ref="O13:O14"/>
    <mergeCell ref="B37:D37"/>
    <mergeCell ref="B32:D32"/>
    <mergeCell ref="B33:D33"/>
    <mergeCell ref="B34:D34"/>
    <mergeCell ref="B35:D35"/>
    <mergeCell ref="B36:D36"/>
    <mergeCell ref="J13:L13"/>
    <mergeCell ref="B13:D14"/>
    <mergeCell ref="N13:N14"/>
    <mergeCell ref="B15:D15"/>
    <mergeCell ref="B27:D27"/>
    <mergeCell ref="B28:D28"/>
    <mergeCell ref="A3:H3"/>
    <mergeCell ref="F13:H13"/>
    <mergeCell ref="B12:D12"/>
    <mergeCell ref="B55:D55"/>
    <mergeCell ref="B56:D56"/>
    <mergeCell ref="B38:D38"/>
    <mergeCell ref="B39:D39"/>
    <mergeCell ref="B53:D53"/>
    <mergeCell ref="B54:D54"/>
    <mergeCell ref="B47:D47"/>
    <mergeCell ref="B48:D48"/>
    <mergeCell ref="B49:D49"/>
    <mergeCell ref="B40:D40"/>
    <mergeCell ref="B41:D41"/>
    <mergeCell ref="B42:D42"/>
    <mergeCell ref="B43:D43"/>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topLeftCell="D46" workbookViewId="0">
      <selection activeCell="K20" sqref="K20:K24"/>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24" t="s">
        <v>769</v>
      </c>
      <c r="B3" s="524"/>
      <c r="C3" s="524"/>
      <c r="D3" s="524"/>
      <c r="E3" s="524"/>
      <c r="F3" s="524"/>
      <c r="G3" s="524"/>
      <c r="H3" s="524"/>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204</v>
      </c>
      <c r="C8" s="1"/>
      <c r="D8" s="119" t="s">
        <v>177</v>
      </c>
      <c r="E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44" t="s">
        <v>255</v>
      </c>
      <c r="C13" s="545"/>
      <c r="D13" s="546"/>
      <c r="F13" s="538" t="s">
        <v>261</v>
      </c>
      <c r="G13" s="550"/>
      <c r="H13" s="539"/>
      <c r="J13" s="538" t="s">
        <v>262</v>
      </c>
      <c r="K13" s="550"/>
      <c r="L13" s="539"/>
      <c r="N13" s="551" t="s">
        <v>250</v>
      </c>
      <c r="O13" s="537" t="s">
        <v>312</v>
      </c>
    </row>
    <row r="14" spans="1:15" ht="55.5" customHeight="1" x14ac:dyDescent="0.35">
      <c r="B14" s="547"/>
      <c r="C14" s="548"/>
      <c r="D14" s="549"/>
      <c r="E14" s="48"/>
      <c r="F14" s="10" t="s">
        <v>214</v>
      </c>
      <c r="G14" s="151" t="s">
        <v>491</v>
      </c>
      <c r="H14" s="151" t="s">
        <v>215</v>
      </c>
      <c r="I14" s="100"/>
      <c r="J14" s="151" t="s">
        <v>214</v>
      </c>
      <c r="K14" s="151" t="s">
        <v>491</v>
      </c>
      <c r="L14" s="10" t="s">
        <v>215</v>
      </c>
      <c r="M14" s="48"/>
      <c r="N14" s="552"/>
      <c r="O14" s="537"/>
    </row>
    <row r="15" spans="1:15" x14ac:dyDescent="0.35">
      <c r="A15" s="24">
        <v>1</v>
      </c>
      <c r="B15" s="583" t="s">
        <v>1007</v>
      </c>
      <c r="C15" s="584"/>
      <c r="D15" s="585"/>
      <c r="F15" s="117">
        <v>1876628</v>
      </c>
      <c r="G15" s="68">
        <v>1395015</v>
      </c>
      <c r="H15" s="68">
        <f>SUM(F15:G15)</f>
        <v>3271643</v>
      </c>
      <c r="J15" s="117"/>
      <c r="K15" s="68">
        <f>IFERROR(J15*'As-Filed Schedule 1'!$E$103,0)</f>
        <v>0</v>
      </c>
      <c r="L15" s="68">
        <f>SUM(J15:K15)</f>
        <v>0</v>
      </c>
      <c r="N15" s="120">
        <v>18.940000000000001</v>
      </c>
      <c r="O15" s="449">
        <v>1000</v>
      </c>
    </row>
    <row r="16" spans="1:15" x14ac:dyDescent="0.35">
      <c r="A16" s="24">
        <v>2</v>
      </c>
      <c r="B16" s="543"/>
      <c r="C16" s="543"/>
      <c r="D16" s="543"/>
      <c r="F16" s="117"/>
      <c r="G16" s="68" t="s">
        <v>1023</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t="s">
        <v>1023</v>
      </c>
      <c r="H17" s="68">
        <f t="shared" si="0"/>
        <v>0</v>
      </c>
      <c r="J17" s="117"/>
      <c r="K17" s="68">
        <f>IFERROR(J17*'As-Filed Schedule 1'!$E$103,0)</f>
        <v>0</v>
      </c>
      <c r="L17" s="68">
        <f t="shared" si="1"/>
        <v>0</v>
      </c>
      <c r="N17" s="120"/>
      <c r="O17" s="120"/>
    </row>
    <row r="18" spans="1:15" x14ac:dyDescent="0.35">
      <c r="A18" s="24">
        <v>4</v>
      </c>
      <c r="B18" s="543"/>
      <c r="C18" s="543"/>
      <c r="D18" s="543"/>
      <c r="F18" s="117"/>
      <c r="G18" s="68" t="s">
        <v>1023</v>
      </c>
      <c r="H18" s="68">
        <f t="shared" si="0"/>
        <v>0</v>
      </c>
      <c r="J18" s="117"/>
      <c r="K18" s="68">
        <f>IFERROR(J18*'As-Filed Schedule 1'!$E$103,0)</f>
        <v>0</v>
      </c>
      <c r="L18" s="68">
        <f t="shared" si="1"/>
        <v>0</v>
      </c>
      <c r="N18" s="120"/>
      <c r="O18" s="120"/>
    </row>
    <row r="19" spans="1:15" x14ac:dyDescent="0.35">
      <c r="A19" s="24">
        <v>5</v>
      </c>
      <c r="B19" s="543" t="s">
        <v>1008</v>
      </c>
      <c r="C19" s="543"/>
      <c r="D19" s="543"/>
      <c r="F19" s="117">
        <v>7607541.4443220915</v>
      </c>
      <c r="G19" s="68">
        <v>5655161</v>
      </c>
      <c r="H19" s="68">
        <f t="shared" si="0"/>
        <v>13262702.444322091</v>
      </c>
      <c r="J19" s="117"/>
      <c r="K19" s="68">
        <f>IFERROR(J19*'As-Filed Schedule 1'!$E$103,0)</f>
        <v>0</v>
      </c>
      <c r="L19" s="68">
        <f t="shared" si="1"/>
        <v>0</v>
      </c>
      <c r="N19" s="120">
        <v>44.11</v>
      </c>
      <c r="O19" s="476">
        <v>4078</v>
      </c>
    </row>
    <row r="20" spans="1:15" x14ac:dyDescent="0.35">
      <c r="A20" s="24">
        <v>6</v>
      </c>
      <c r="B20" s="543" t="s">
        <v>1009</v>
      </c>
      <c r="C20" s="543"/>
      <c r="D20" s="543"/>
      <c r="F20" s="117"/>
      <c r="G20" s="68">
        <f>IFERROR(F20*'As-Filed Schedule 1'!$E$103,0)</f>
        <v>0</v>
      </c>
      <c r="H20" s="68">
        <f t="shared" si="0"/>
        <v>0</v>
      </c>
      <c r="J20" s="475">
        <v>140925.49846071191</v>
      </c>
      <c r="K20" s="68">
        <v>72349</v>
      </c>
      <c r="L20" s="68">
        <f t="shared" si="1"/>
        <v>213274.49846071191</v>
      </c>
      <c r="N20" s="120">
        <v>2.83</v>
      </c>
      <c r="O20" s="120">
        <v>0</v>
      </c>
    </row>
    <row r="21" spans="1:15" x14ac:dyDescent="0.35">
      <c r="A21" s="24">
        <v>7</v>
      </c>
      <c r="B21" s="579"/>
      <c r="C21" s="579"/>
      <c r="D21" s="579"/>
      <c r="F21" s="117"/>
      <c r="G21" s="68">
        <f>IFERROR(F21*'As-Filed Schedule 1'!$E$103,0)</f>
        <v>0</v>
      </c>
      <c r="H21" s="68">
        <f t="shared" si="0"/>
        <v>0</v>
      </c>
      <c r="J21" s="117"/>
      <c r="K21" s="68" t="s">
        <v>1023</v>
      </c>
      <c r="L21" s="68">
        <f t="shared" si="1"/>
        <v>0</v>
      </c>
      <c r="N21" s="120"/>
      <c r="O21" s="120"/>
    </row>
    <row r="22" spans="1:15" x14ac:dyDescent="0.35">
      <c r="A22" s="24">
        <v>8</v>
      </c>
      <c r="B22" s="579" t="s">
        <v>1010</v>
      </c>
      <c r="C22" s="579"/>
      <c r="D22" s="579"/>
      <c r="F22" s="117"/>
      <c r="G22" s="68">
        <f>IFERROR(F22*'As-Filed Schedule 1'!$E$103,0)</f>
        <v>0</v>
      </c>
      <c r="H22" s="68">
        <f t="shared" si="0"/>
        <v>0</v>
      </c>
      <c r="J22" s="117">
        <v>23333.333333333336</v>
      </c>
      <c r="K22" s="68">
        <v>1023</v>
      </c>
      <c r="L22" s="68">
        <f t="shared" si="1"/>
        <v>24356.333333333336</v>
      </c>
      <c r="N22" s="120"/>
      <c r="O22" s="120"/>
    </row>
    <row r="23" spans="1:15" x14ac:dyDescent="0.35">
      <c r="A23" s="24">
        <v>9</v>
      </c>
      <c r="B23" s="474" t="s">
        <v>1011</v>
      </c>
      <c r="C23" s="474"/>
      <c r="D23" s="474"/>
      <c r="F23" s="117"/>
      <c r="G23" s="68">
        <f>IFERROR(F23*'As-Filed Schedule 1'!$E$103,0)</f>
        <v>0</v>
      </c>
      <c r="H23" s="68">
        <f t="shared" si="0"/>
        <v>0</v>
      </c>
      <c r="J23" s="117">
        <v>42000</v>
      </c>
      <c r="K23" s="68">
        <v>1841</v>
      </c>
      <c r="L23" s="68">
        <f t="shared" si="1"/>
        <v>43841</v>
      </c>
      <c r="N23" s="120"/>
      <c r="O23" s="120"/>
    </row>
    <row r="24" spans="1:15" x14ac:dyDescent="0.35">
      <c r="A24" s="24">
        <v>10</v>
      </c>
      <c r="B24" s="474" t="s">
        <v>1012</v>
      </c>
      <c r="C24" s="474"/>
      <c r="D24" s="474"/>
      <c r="F24" s="117"/>
      <c r="G24" s="68">
        <f>IFERROR(F24*'As-Filed Schedule 1'!$E$103,0)</f>
        <v>0</v>
      </c>
      <c r="H24" s="68">
        <f t="shared" si="0"/>
        <v>0</v>
      </c>
      <c r="J24" s="117">
        <v>351800</v>
      </c>
      <c r="K24" s="68">
        <v>15420</v>
      </c>
      <c r="L24" s="68">
        <f t="shared" si="1"/>
        <v>367220</v>
      </c>
      <c r="N24" s="120"/>
      <c r="O24" s="120"/>
    </row>
    <row r="25" spans="1:15" x14ac:dyDescent="0.35">
      <c r="A25" s="24">
        <v>11</v>
      </c>
      <c r="B25" s="474" t="s">
        <v>1013</v>
      </c>
      <c r="C25" s="474"/>
      <c r="D25" s="47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453"/>
      <c r="C26" s="454"/>
      <c r="D26" s="45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3"/>
      <c r="C27" s="454"/>
      <c r="D27" s="45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3"/>
      <c r="C28" s="454"/>
      <c r="D28" s="45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3"/>
      <c r="C29" s="454"/>
      <c r="D29" s="45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453"/>
      <c r="C30" s="454"/>
      <c r="D30" s="45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453"/>
      <c r="C31" s="454"/>
      <c r="D31" s="45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453"/>
      <c r="C32" s="454"/>
      <c r="D32" s="45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453"/>
      <c r="C33" s="454"/>
      <c r="D33" s="45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453"/>
      <c r="C34" s="454"/>
      <c r="D34" s="45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453"/>
      <c r="C35" s="454"/>
      <c r="D35" s="45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80"/>
      <c r="C36" s="581"/>
      <c r="D36" s="58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449"/>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449"/>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449"/>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447"/>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447"/>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447"/>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447"/>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447"/>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9484169.4443220906</v>
      </c>
      <c r="G73" s="18">
        <f t="shared" ref="G73:H73" si="2">SUM(G15:G72)</f>
        <v>7050176</v>
      </c>
      <c r="H73" s="18">
        <f t="shared" si="2"/>
        <v>16534345.444322091</v>
      </c>
      <c r="J73" s="18">
        <f>SUM(J15:J72)</f>
        <v>558058.83179404528</v>
      </c>
      <c r="K73" s="18">
        <f>SUM(K15:K72)</f>
        <v>90633</v>
      </c>
      <c r="L73" s="18">
        <f>SUM(L15:L72)</f>
        <v>648691.83179404528</v>
      </c>
      <c r="O73" s="83" t="s">
        <v>313</v>
      </c>
    </row>
    <row r="74" spans="1:15" ht="15" thickBot="1" x14ac:dyDescent="0.4">
      <c r="H74" s="37" t="s">
        <v>257</v>
      </c>
      <c r="L74" s="37" t="s">
        <v>258</v>
      </c>
    </row>
    <row r="75" spans="1:15" s="72" customFormat="1" ht="16" thickBot="1" x14ac:dyDescent="0.4">
      <c r="A75" s="24">
        <v>60</v>
      </c>
      <c r="B75" s="73" t="s">
        <v>461</v>
      </c>
      <c r="F75" s="75">
        <f>H73+L73</f>
        <v>17183037.276116136</v>
      </c>
      <c r="G75" s="74"/>
      <c r="H75" s="74"/>
      <c r="I75" s="74"/>
      <c r="J75" s="74"/>
      <c r="K75" s="7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2">
    <mergeCell ref="A3:H3"/>
    <mergeCell ref="F13:H13"/>
    <mergeCell ref="B12:D12"/>
    <mergeCell ref="B13:D14"/>
    <mergeCell ref="B43:D43"/>
    <mergeCell ref="B40:D40"/>
    <mergeCell ref="B41:D41"/>
    <mergeCell ref="B15:D15"/>
    <mergeCell ref="B16:D16"/>
    <mergeCell ref="B17:D17"/>
    <mergeCell ref="B18:D18"/>
    <mergeCell ref="B19:D19"/>
    <mergeCell ref="B20:D20"/>
    <mergeCell ref="B21:D21"/>
    <mergeCell ref="B22:D22"/>
    <mergeCell ref="B44:D44"/>
    <mergeCell ref="N13:N14"/>
    <mergeCell ref="O13:O14"/>
    <mergeCell ref="J13:L13"/>
    <mergeCell ref="B36:D36"/>
    <mergeCell ref="B42:D42"/>
    <mergeCell ref="B37:D37"/>
    <mergeCell ref="B38:D38"/>
    <mergeCell ref="B39:D39"/>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topLeftCell="D46" workbookViewId="0">
      <selection activeCell="K19" sqref="K19"/>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24" t="s">
        <v>770</v>
      </c>
      <c r="B3" s="524"/>
      <c r="C3" s="524"/>
      <c r="D3" s="524"/>
      <c r="E3" s="524"/>
      <c r="F3" s="524"/>
      <c r="G3" s="524"/>
      <c r="H3" s="524"/>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203</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78" t="s">
        <v>1014</v>
      </c>
      <c r="C15" s="578"/>
      <c r="D15" s="578"/>
      <c r="F15" s="117">
        <v>630793</v>
      </c>
      <c r="G15" s="68">
        <v>468908</v>
      </c>
      <c r="H15" s="68">
        <f>SUM(F15:G15)</f>
        <v>1099701</v>
      </c>
      <c r="J15" s="117">
        <v>0</v>
      </c>
      <c r="K15" s="68">
        <f>IFERROR(J15*'As-Filed Schedule 1'!$E$103,0)</f>
        <v>0</v>
      </c>
      <c r="L15" s="68">
        <f>SUM(J15:K15)</f>
        <v>0</v>
      </c>
      <c r="N15" s="120">
        <v>4.4400000000000004</v>
      </c>
      <c r="O15" s="477">
        <v>373</v>
      </c>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449"/>
    </row>
    <row r="19" spans="1:15" x14ac:dyDescent="0.35">
      <c r="A19" s="24">
        <v>5</v>
      </c>
      <c r="B19" s="580" t="s">
        <v>1015</v>
      </c>
      <c r="C19" s="581"/>
      <c r="D19" s="582"/>
      <c r="F19" s="117"/>
      <c r="G19" s="68">
        <f>IFERROR(F19*'As-Filed Schedule 1'!$E$103,0)</f>
        <v>0</v>
      </c>
      <c r="H19" s="68">
        <f t="shared" si="0"/>
        <v>0</v>
      </c>
      <c r="J19" s="117">
        <v>30000</v>
      </c>
      <c r="K19" s="68">
        <v>1315</v>
      </c>
      <c r="L19" s="68">
        <f t="shared" si="1"/>
        <v>31315</v>
      </c>
      <c r="N19" s="120">
        <v>0</v>
      </c>
      <c r="O19" s="449"/>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449"/>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449"/>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449"/>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449"/>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449"/>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449"/>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449"/>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449"/>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449"/>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449"/>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449"/>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449"/>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449"/>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449"/>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449"/>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449"/>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449"/>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449"/>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630793</v>
      </c>
      <c r="G73" s="18">
        <f t="shared" ref="G73:H73" si="2">SUM(G15:G72)</f>
        <v>468908</v>
      </c>
      <c r="H73" s="18">
        <f t="shared" si="2"/>
        <v>1099701</v>
      </c>
      <c r="J73" s="18">
        <f>SUM(J15:J72)</f>
        <v>30000</v>
      </c>
      <c r="K73" s="18">
        <f t="shared" ref="K73:L73" si="3">SUM(K15:K72)</f>
        <v>1315</v>
      </c>
      <c r="L73" s="18">
        <f t="shared" si="3"/>
        <v>31315</v>
      </c>
      <c r="O73" s="83" t="s">
        <v>313</v>
      </c>
    </row>
    <row r="74" spans="1:15" ht="15" thickBot="1" x14ac:dyDescent="0.4">
      <c r="H74" s="37" t="s">
        <v>257</v>
      </c>
      <c r="L74" s="37" t="s">
        <v>258</v>
      </c>
    </row>
    <row r="75" spans="1:15" s="72" customFormat="1" ht="16" thickBot="1" x14ac:dyDescent="0.4">
      <c r="A75" s="24">
        <v>60</v>
      </c>
      <c r="B75" s="73" t="s">
        <v>462</v>
      </c>
      <c r="F75" s="75">
        <f>H73+L73</f>
        <v>1131016</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15:D15"/>
    <mergeCell ref="B16:D16"/>
    <mergeCell ref="B17:D17"/>
    <mergeCell ref="B18:D18"/>
    <mergeCell ref="B19:D19"/>
    <mergeCell ref="A3:H3"/>
    <mergeCell ref="F13:H13"/>
    <mergeCell ref="B12:D12"/>
    <mergeCell ref="B13:D14"/>
    <mergeCell ref="O13:O14"/>
    <mergeCell ref="N13:N14"/>
    <mergeCell ref="J13:L13"/>
    <mergeCell ref="B33:D33"/>
    <mergeCell ref="B32:D32"/>
    <mergeCell ref="B30:D30"/>
    <mergeCell ref="B31:D31"/>
    <mergeCell ref="B20:D20"/>
    <mergeCell ref="B28:D28"/>
    <mergeCell ref="B29:D29"/>
    <mergeCell ref="B21:D21"/>
    <mergeCell ref="B22:D22"/>
    <mergeCell ref="B23:D23"/>
    <mergeCell ref="B24:D24"/>
    <mergeCell ref="B25:D25"/>
    <mergeCell ref="B26:D26"/>
    <mergeCell ref="B27:D27"/>
    <mergeCell ref="B38:D38"/>
    <mergeCell ref="B34:D34"/>
    <mergeCell ref="B35:D35"/>
    <mergeCell ref="B36:D36"/>
    <mergeCell ref="B37:D3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64:D64"/>
    <mergeCell ref="B65:D65"/>
    <mergeCell ref="B59:D59"/>
    <mergeCell ref="B60:D60"/>
    <mergeCell ref="B61:D61"/>
    <mergeCell ref="B62:D62"/>
    <mergeCell ref="B63:D63"/>
    <mergeCell ref="B53:D53"/>
    <mergeCell ref="B54:D54"/>
    <mergeCell ref="B55:D55"/>
    <mergeCell ref="B57:D57"/>
    <mergeCell ref="B58:D58"/>
    <mergeCell ref="B56:D56"/>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812</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86">
        <v>1</v>
      </c>
      <c r="C12" s="587"/>
      <c r="D12" s="588"/>
      <c r="F12" s="23">
        <v>2</v>
      </c>
      <c r="G12" s="23">
        <v>3</v>
      </c>
      <c r="H12" s="23">
        <v>4</v>
      </c>
      <c r="J12" s="23">
        <v>5</v>
      </c>
      <c r="K12" s="23">
        <v>6</v>
      </c>
      <c r="L12" s="23">
        <v>7</v>
      </c>
      <c r="N12" s="23">
        <v>8</v>
      </c>
      <c r="O12" s="23">
        <v>9</v>
      </c>
    </row>
    <row r="13" spans="1:15" ht="15" customHeight="1" x14ac:dyDescent="0.35">
      <c r="B13" s="544" t="s">
        <v>255</v>
      </c>
      <c r="C13" s="545"/>
      <c r="D13" s="546"/>
      <c r="F13" s="538" t="s">
        <v>261</v>
      </c>
      <c r="G13" s="550"/>
      <c r="H13" s="539"/>
      <c r="J13" s="538" t="s">
        <v>262</v>
      </c>
      <c r="K13" s="550"/>
      <c r="L13" s="539"/>
      <c r="N13" s="551" t="s">
        <v>250</v>
      </c>
      <c r="O13" s="551" t="s">
        <v>312</v>
      </c>
    </row>
    <row r="14" spans="1:15" ht="55.5" customHeight="1" x14ac:dyDescent="0.35">
      <c r="B14" s="547"/>
      <c r="C14" s="548"/>
      <c r="D14" s="549"/>
      <c r="E14" s="48"/>
      <c r="F14" s="10" t="s">
        <v>214</v>
      </c>
      <c r="G14" s="151" t="s">
        <v>491</v>
      </c>
      <c r="H14" s="151" t="s">
        <v>215</v>
      </c>
      <c r="I14" s="100"/>
      <c r="J14" s="151" t="s">
        <v>214</v>
      </c>
      <c r="K14" s="151" t="s">
        <v>491</v>
      </c>
      <c r="L14" s="10" t="s">
        <v>215</v>
      </c>
      <c r="M14" s="48"/>
      <c r="N14" s="552"/>
      <c r="O14" s="552"/>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80"/>
      <c r="C16" s="581"/>
      <c r="D16" s="58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80"/>
      <c r="C17" s="581"/>
      <c r="D17" s="58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80"/>
      <c r="C18" s="581"/>
      <c r="D18" s="58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80"/>
      <c r="C19" s="581"/>
      <c r="D19" s="58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80"/>
      <c r="C20" s="581"/>
      <c r="D20" s="58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80"/>
      <c r="C21" s="581"/>
      <c r="D21" s="58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80"/>
      <c r="C22" s="581"/>
      <c r="D22" s="58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80"/>
      <c r="C23" s="581"/>
      <c r="D23" s="58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80"/>
      <c r="C24" s="581"/>
      <c r="D24" s="58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80"/>
      <c r="C25" s="581"/>
      <c r="D25" s="58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80"/>
      <c r="C26" s="581"/>
      <c r="D26" s="58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80"/>
      <c r="C27" s="581"/>
      <c r="D27" s="58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80"/>
      <c r="C28" s="581"/>
      <c r="D28" s="58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80"/>
      <c r="C29" s="581"/>
      <c r="D29" s="58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80"/>
      <c r="C30" s="581"/>
      <c r="D30" s="58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80"/>
      <c r="C31" s="581"/>
      <c r="D31" s="58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80"/>
      <c r="C32" s="581"/>
      <c r="D32" s="58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80"/>
      <c r="C33" s="581"/>
      <c r="D33" s="58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80"/>
      <c r="C34" s="581"/>
      <c r="D34" s="58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80"/>
      <c r="C35" s="581"/>
      <c r="D35" s="58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80"/>
      <c r="C36" s="581"/>
      <c r="D36" s="58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80"/>
      <c r="C37" s="581"/>
      <c r="D37" s="58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80"/>
      <c r="C38" s="581"/>
      <c r="D38" s="58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80"/>
      <c r="C39" s="581"/>
      <c r="D39" s="58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80"/>
      <c r="C40" s="581"/>
      <c r="D40" s="58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80"/>
      <c r="C41" s="581"/>
      <c r="D41" s="58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80"/>
      <c r="C42" s="581"/>
      <c r="D42" s="58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80"/>
      <c r="C43" s="581"/>
      <c r="D43" s="58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80"/>
      <c r="C44" s="581"/>
      <c r="D44" s="58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80"/>
      <c r="C45" s="581"/>
      <c r="D45" s="58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80"/>
      <c r="C46" s="581"/>
      <c r="D46" s="58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80"/>
      <c r="C47" s="581"/>
      <c r="D47" s="58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80"/>
      <c r="C48" s="581"/>
      <c r="D48" s="58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80"/>
      <c r="C49" s="581"/>
      <c r="D49" s="58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80"/>
      <c r="C50" s="581"/>
      <c r="D50" s="58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80"/>
      <c r="C51" s="581"/>
      <c r="D51" s="58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80"/>
      <c r="C52" s="581"/>
      <c r="D52" s="58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80"/>
      <c r="C53" s="581"/>
      <c r="D53" s="58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80"/>
      <c r="C54" s="581"/>
      <c r="D54" s="58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80"/>
      <c r="C55" s="581"/>
      <c r="D55" s="58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80"/>
      <c r="C56" s="581"/>
      <c r="D56" s="58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80"/>
      <c r="C57" s="581"/>
      <c r="D57" s="58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80"/>
      <c r="C58" s="581"/>
      <c r="D58" s="58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80"/>
      <c r="C59" s="581"/>
      <c r="D59" s="58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80"/>
      <c r="C60" s="581"/>
      <c r="D60" s="58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80"/>
      <c r="C61" s="581"/>
      <c r="D61" s="58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80"/>
      <c r="C62" s="581"/>
      <c r="D62" s="58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80"/>
      <c r="C63" s="581"/>
      <c r="D63" s="58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80"/>
      <c r="C64" s="581"/>
      <c r="D64" s="58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80"/>
      <c r="C65" s="581"/>
      <c r="D65" s="58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80"/>
      <c r="C66" s="581"/>
      <c r="D66" s="58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80"/>
      <c r="C67" s="581"/>
      <c r="D67" s="58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80"/>
      <c r="C68" s="581"/>
      <c r="D68" s="58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80"/>
      <c r="C69" s="581"/>
      <c r="D69" s="58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80"/>
      <c r="C70" s="581"/>
      <c r="D70" s="58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80"/>
      <c r="C71" s="581"/>
      <c r="D71" s="58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80"/>
      <c r="C72" s="581"/>
      <c r="D72" s="58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815</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3"/>
      <c r="C22" s="454"/>
      <c r="D22" s="45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3"/>
      <c r="C23" s="454"/>
      <c r="D23" s="45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3"/>
      <c r="C24" s="454"/>
      <c r="D24" s="45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3"/>
      <c r="C27" s="454"/>
      <c r="D27" s="45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0"/>
      <c r="C28" s="451"/>
      <c r="D28" s="45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0"/>
      <c r="C29" s="451"/>
      <c r="D29" s="45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89"/>
      <c r="C30" s="590"/>
      <c r="D30" s="59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89"/>
      <c r="C31" s="590"/>
      <c r="D31" s="59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89"/>
      <c r="C32" s="590"/>
      <c r="D32" s="59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89"/>
      <c r="C33" s="590"/>
      <c r="D33" s="59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89"/>
      <c r="C34" s="590"/>
      <c r="D34" s="59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89"/>
      <c r="C35" s="590"/>
      <c r="D35" s="59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89"/>
      <c r="C36" s="590"/>
      <c r="D36" s="59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89"/>
      <c r="C37" s="590"/>
      <c r="D37" s="59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89"/>
      <c r="C38" s="590"/>
      <c r="D38" s="59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89"/>
      <c r="C39" s="590"/>
      <c r="D39" s="59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89"/>
      <c r="C40" s="590"/>
      <c r="D40" s="59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818</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89"/>
      <c r="C16" s="590"/>
      <c r="D16" s="59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821</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824</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827</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830</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833</v>
      </c>
      <c r="B3" s="5"/>
      <c r="C3" s="5"/>
      <c r="D3" s="5"/>
      <c r="E3" s="5"/>
      <c r="F3" s="5"/>
      <c r="G3" s="5"/>
      <c r="H3" s="5"/>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837</v>
      </c>
      <c r="B3" s="5"/>
      <c r="C3" s="5"/>
      <c r="D3" s="5"/>
      <c r="E3" s="5"/>
      <c r="F3" s="5"/>
      <c r="G3" s="5"/>
      <c r="H3" s="5"/>
    </row>
    <row r="4" spans="1:15" ht="21" x14ac:dyDescent="0.5">
      <c r="A4" s="242" t="s">
        <v>834</v>
      </c>
    </row>
    <row r="5" spans="1:15" x14ac:dyDescent="0.35">
      <c r="A5" s="1" t="s">
        <v>773</v>
      </c>
      <c r="C5" s="420" t="str">
        <f>'As-Filed Schedule 1'!C5</f>
        <v>Eagle Valley Behavioral Health</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35">
        <v>1</v>
      </c>
      <c r="C12" s="535"/>
      <c r="D12" s="535"/>
      <c r="F12" s="23">
        <v>2</v>
      </c>
      <c r="G12" s="23">
        <v>3</v>
      </c>
      <c r="H12" s="23">
        <v>4</v>
      </c>
      <c r="J12" s="23">
        <v>5</v>
      </c>
      <c r="K12" s="23">
        <v>6</v>
      </c>
      <c r="L12" s="23">
        <v>7</v>
      </c>
      <c r="N12" s="23">
        <v>8</v>
      </c>
      <c r="O12" s="23">
        <v>9</v>
      </c>
    </row>
    <row r="13" spans="1:15" x14ac:dyDescent="0.35">
      <c r="B13" s="536" t="s">
        <v>255</v>
      </c>
      <c r="C13" s="536"/>
      <c r="D13" s="536"/>
      <c r="F13" s="538" t="s">
        <v>261</v>
      </c>
      <c r="G13" s="550"/>
      <c r="H13" s="539"/>
      <c r="J13" s="538" t="s">
        <v>262</v>
      </c>
      <c r="K13" s="550"/>
      <c r="L13" s="539"/>
      <c r="N13" s="537" t="s">
        <v>250</v>
      </c>
      <c r="O13" s="537" t="s">
        <v>312</v>
      </c>
    </row>
    <row r="14" spans="1:15" ht="55.5" customHeight="1" x14ac:dyDescent="0.35">
      <c r="B14" s="536"/>
      <c r="C14" s="536"/>
      <c r="D14" s="536"/>
      <c r="E14" s="48"/>
      <c r="F14" s="10" t="s">
        <v>214</v>
      </c>
      <c r="G14" s="151" t="s">
        <v>491</v>
      </c>
      <c r="H14" s="151" t="s">
        <v>215</v>
      </c>
      <c r="I14" s="100"/>
      <c r="J14" s="151" t="s">
        <v>214</v>
      </c>
      <c r="K14" s="151" t="s">
        <v>491</v>
      </c>
      <c r="L14" s="10" t="s">
        <v>215</v>
      </c>
      <c r="M14" s="48"/>
      <c r="N14" s="537"/>
      <c r="O14" s="537"/>
    </row>
    <row r="15" spans="1:15" x14ac:dyDescent="0.35">
      <c r="A15" s="24">
        <v>1</v>
      </c>
      <c r="B15" s="543"/>
      <c r="C15" s="543"/>
      <c r="D15" s="54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3"/>
      <c r="C16" s="543"/>
      <c r="D16" s="54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3"/>
      <c r="C17" s="543"/>
      <c r="D17" s="54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3"/>
      <c r="C18" s="543"/>
      <c r="D18" s="54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3"/>
      <c r="C19" s="543"/>
      <c r="D19" s="54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3"/>
      <c r="C20" s="543"/>
      <c r="D20" s="54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3"/>
      <c r="C21" s="543"/>
      <c r="D21" s="54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3"/>
      <c r="C22" s="543"/>
      <c r="D22" s="54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3"/>
      <c r="C23" s="543"/>
      <c r="D23" s="54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3"/>
      <c r="C24" s="543"/>
      <c r="D24" s="54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3"/>
      <c r="C25" s="543"/>
      <c r="D25" s="54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3"/>
      <c r="C26" s="543"/>
      <c r="D26" s="54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3"/>
      <c r="C27" s="543"/>
      <c r="D27" s="54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3"/>
      <c r="C28" s="543"/>
      <c r="D28" s="54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3"/>
      <c r="C29" s="543"/>
      <c r="D29" s="54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3"/>
      <c r="C30" s="543"/>
      <c r="D30" s="54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3"/>
      <c r="C31" s="543"/>
      <c r="D31" s="54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3"/>
      <c r="C32" s="543"/>
      <c r="D32" s="54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3"/>
      <c r="C33" s="543"/>
      <c r="D33" s="54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3"/>
      <c r="C34" s="543"/>
      <c r="D34" s="54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3"/>
      <c r="C35" s="543"/>
      <c r="D35" s="54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3"/>
      <c r="C36" s="543"/>
      <c r="D36" s="54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3"/>
      <c r="C37" s="543"/>
      <c r="D37" s="54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3"/>
      <c r="C38" s="543"/>
      <c r="D38" s="54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3"/>
      <c r="C39" s="543"/>
      <c r="D39" s="54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3"/>
      <c r="C40" s="543"/>
      <c r="D40" s="54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3"/>
      <c r="C41" s="543"/>
      <c r="D41" s="54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3"/>
      <c r="C42" s="543"/>
      <c r="D42" s="54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3"/>
      <c r="C43" s="543"/>
      <c r="D43" s="54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3"/>
      <c r="C44" s="543"/>
      <c r="D44" s="54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3"/>
      <c r="C45" s="543"/>
      <c r="D45" s="54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3"/>
      <c r="C46" s="543"/>
      <c r="D46" s="54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3"/>
      <c r="C47" s="543"/>
      <c r="D47" s="54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3"/>
      <c r="C48" s="543"/>
      <c r="D48" s="54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3"/>
      <c r="C49" s="543"/>
      <c r="D49" s="54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3"/>
      <c r="C50" s="543"/>
      <c r="D50" s="54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3"/>
      <c r="C51" s="543"/>
      <c r="D51" s="54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3"/>
      <c r="C52" s="543"/>
      <c r="D52" s="54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3"/>
      <c r="C53" s="543"/>
      <c r="D53" s="54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3"/>
      <c r="C54" s="543"/>
      <c r="D54" s="54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3"/>
      <c r="C55" s="543"/>
      <c r="D55" s="54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3"/>
      <c r="C56" s="543"/>
      <c r="D56" s="54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3"/>
      <c r="C57" s="543"/>
      <c r="D57" s="54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3"/>
      <c r="C58" s="543"/>
      <c r="D58" s="54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3"/>
      <c r="C59" s="543"/>
      <c r="D59" s="54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3"/>
      <c r="C60" s="543"/>
      <c r="D60" s="54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3"/>
      <c r="C61" s="543"/>
      <c r="D61" s="54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3"/>
      <c r="C62" s="543"/>
      <c r="D62" s="54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3"/>
      <c r="C63" s="543"/>
      <c r="D63" s="54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3"/>
      <c r="C64" s="543"/>
      <c r="D64" s="54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3"/>
      <c r="C65" s="543"/>
      <c r="D65" s="54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3"/>
      <c r="C66" s="543"/>
      <c r="D66" s="54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3"/>
      <c r="C67" s="543"/>
      <c r="D67" s="54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3"/>
      <c r="C68" s="543"/>
      <c r="D68" s="54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3"/>
      <c r="C69" s="543"/>
      <c r="D69" s="54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3"/>
      <c r="C70" s="543"/>
      <c r="D70" s="54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3"/>
      <c r="C71" s="543"/>
      <c r="D71" s="54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3"/>
      <c r="C72" s="543"/>
      <c r="D72" s="54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D0F83CC0-0361-4280-BCA4-9A92C986158B}" state="hidden">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t="str">
        <f>'As-Filed Schedule 1'!C5</f>
        <v>Eagle Valley Behavioral Health</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31" t="s">
        <v>480</v>
      </c>
      <c r="B9" s="531"/>
      <c r="C9" s="531"/>
      <c r="D9" s="531"/>
      <c r="E9" s="531"/>
      <c r="F9" s="531"/>
      <c r="G9" s="531"/>
      <c r="H9" s="531"/>
      <c r="I9" s="531"/>
      <c r="J9" s="531"/>
      <c r="K9" s="531"/>
      <c r="L9" s="100"/>
      <c r="T9" s="40"/>
      <c r="U9" s="40"/>
      <c r="V9" s="40"/>
    </row>
    <row r="10" spans="1:22" x14ac:dyDescent="0.35">
      <c r="A10" s="531"/>
      <c r="B10" s="531"/>
      <c r="C10" s="531"/>
      <c r="D10" s="531"/>
      <c r="E10" s="531"/>
      <c r="F10" s="531"/>
      <c r="G10" s="531"/>
      <c r="H10" s="531"/>
      <c r="I10" s="531"/>
      <c r="J10" s="531"/>
      <c r="K10" s="531"/>
      <c r="L10" s="100"/>
      <c r="T10" s="40"/>
      <c r="U10" s="40"/>
      <c r="V10" s="40"/>
    </row>
    <row r="11" spans="1:22" x14ac:dyDescent="0.35">
      <c r="A11" s="531"/>
      <c r="B11" s="531"/>
      <c r="C11" s="531"/>
      <c r="D11" s="531"/>
      <c r="E11" s="531"/>
      <c r="F11" s="531"/>
      <c r="G11" s="531"/>
      <c r="H11" s="531"/>
      <c r="I11" s="531"/>
      <c r="J11" s="531"/>
      <c r="K11" s="531"/>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26">
        <v>1</v>
      </c>
      <c r="C13" s="527"/>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56" t="s">
        <v>158</v>
      </c>
      <c r="C14" s="557"/>
      <c r="D14" s="560" t="s">
        <v>464</v>
      </c>
      <c r="E14" s="560" t="s">
        <v>437</v>
      </c>
      <c r="F14" s="560" t="s">
        <v>441</v>
      </c>
      <c r="G14" s="562" t="s">
        <v>492</v>
      </c>
      <c r="H14" s="562" t="s">
        <v>493</v>
      </c>
      <c r="I14" s="208"/>
      <c r="J14" s="208"/>
      <c r="K14" s="560" t="s">
        <v>160</v>
      </c>
      <c r="L14" s="560" t="s">
        <v>161</v>
      </c>
      <c r="M14" s="553" t="s">
        <v>168</v>
      </c>
      <c r="N14" s="553"/>
      <c r="O14" s="553" t="s">
        <v>34</v>
      </c>
      <c r="P14" s="553"/>
      <c r="Q14" s="553" t="s">
        <v>169</v>
      </c>
      <c r="R14" s="553"/>
    </row>
    <row r="15" spans="1:22" ht="60" customHeight="1" x14ac:dyDescent="0.35">
      <c r="A15" s="100"/>
      <c r="B15" s="558"/>
      <c r="C15" s="559"/>
      <c r="D15" s="561"/>
      <c r="E15" s="561"/>
      <c r="F15" s="561"/>
      <c r="G15" s="563"/>
      <c r="H15" s="563"/>
      <c r="I15" s="209" t="s">
        <v>454</v>
      </c>
      <c r="J15" s="209" t="s">
        <v>494</v>
      </c>
      <c r="K15" s="561"/>
      <c r="L15" s="561"/>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94" t="s">
        <v>1016</v>
      </c>
      <c r="C17" s="595"/>
      <c r="D17" s="478" t="s">
        <v>435</v>
      </c>
      <c r="E17" s="478"/>
      <c r="F17" s="479">
        <v>28</v>
      </c>
      <c r="G17" s="480">
        <v>45781</v>
      </c>
      <c r="H17" s="480"/>
      <c r="I17" s="139">
        <f>IF(B17=0,"",IF(AND(G17=0,H17=0),365,IF(AND(G17&gt;0,H17=0),$C$6-G17+1,IF(AND(G17=0,H17&gt;0),H17-($C$6-365),H17-G17+1))))</f>
        <v>-307</v>
      </c>
      <c r="J17" s="98"/>
      <c r="K17" s="8">
        <f>SUM(K18:K20)</f>
        <v>0</v>
      </c>
      <c r="L17" s="91" t="str">
        <f>IF(K17&gt;0,K17/(F17*I17),"")</f>
        <v/>
      </c>
      <c r="M17" s="126">
        <v>374224.83969920815</v>
      </c>
      <c r="N17" s="85" t="str">
        <f>IFERROR(M17/K17,"")</f>
        <v/>
      </c>
      <c r="O17" s="126"/>
      <c r="P17" s="85" t="str">
        <f>IFERROR(O17/K17,"")</f>
        <v/>
      </c>
      <c r="Q17" s="86">
        <f>IF(M17=0,"",M17-O17)</f>
        <v>374224.83969920815</v>
      </c>
      <c r="R17" s="85" t="str">
        <f>IFERROR(Q17/K17,"")</f>
        <v/>
      </c>
    </row>
    <row r="18" spans="1:18" x14ac:dyDescent="0.35">
      <c r="A18" s="101" t="s">
        <v>447</v>
      </c>
      <c r="B18" s="217"/>
      <c r="C18" s="217"/>
      <c r="D18" s="217"/>
      <c r="E18" s="217"/>
      <c r="F18" s="218"/>
      <c r="G18" s="219"/>
      <c r="H18" s="219"/>
      <c r="I18" s="104"/>
      <c r="J18" s="99"/>
      <c r="K18" s="221"/>
      <c r="L18" s="89"/>
      <c r="M18" s="87"/>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92"/>
      <c r="C22" s="593"/>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1"/>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92"/>
      <c r="C27" s="593"/>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92"/>
      <c r="C32" s="593"/>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92"/>
      <c r="C37" s="593"/>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92"/>
      <c r="C42" s="593"/>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92"/>
      <c r="C47" s="593"/>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92"/>
      <c r="C52" s="593"/>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92"/>
      <c r="C57" s="593"/>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92"/>
      <c r="C62" s="593"/>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92"/>
      <c r="C67" s="593"/>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92"/>
      <c r="C72" s="593"/>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92"/>
      <c r="C77" s="593"/>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92"/>
      <c r="C82" s="593"/>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92"/>
      <c r="C87" s="593"/>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92"/>
      <c r="C92" s="593"/>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92"/>
      <c r="C97" s="593"/>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92"/>
      <c r="C102" s="593"/>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92"/>
      <c r="C107" s="593"/>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92"/>
      <c r="C112" s="593"/>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92"/>
      <c r="C117" s="593"/>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92"/>
      <c r="C122" s="593"/>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92"/>
      <c r="C127" s="593"/>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92"/>
      <c r="C132" s="593"/>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92"/>
      <c r="C137" s="593"/>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92"/>
      <c r="C142" s="593"/>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92"/>
      <c r="C147" s="593"/>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92"/>
      <c r="C152" s="593"/>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92"/>
      <c r="C157" s="593"/>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92"/>
      <c r="C162" s="593"/>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64" t="s">
        <v>173</v>
      </c>
      <c r="C167" s="564"/>
      <c r="D167" s="564"/>
      <c r="E167" s="564"/>
      <c r="F167" s="27">
        <f>F162+F157+F152+F147+F142+F137+F132+F127+F122+F117+F112+F107+F102+F97+F92+F87+F82+F77+F72+F67+F62+F57+F52+F47+F42+F37+F32+F27+F22+F17</f>
        <v>28</v>
      </c>
      <c r="G167" s="32"/>
      <c r="H167" s="32"/>
      <c r="I167" s="32"/>
      <c r="J167" s="32"/>
      <c r="K167" s="27">
        <f>K162+K157+K152+K147+K142+K137+K132+K127+K122+K117+K112+K107+K102+K97+K92+K87+K82+K77+K72+K67+K62+K57+K52+K47+K42+K37+K32+K27+K22+K17</f>
        <v>0</v>
      </c>
      <c r="L167" s="29" t="str">
        <f>IF(K167&gt;0,K167/(F167*365),"")</f>
        <v/>
      </c>
      <c r="M167" s="27">
        <f>M162+M157+M152+M147+M142+M137+M132+M127+M122+M117+M112+M107+M102+M97+M92+M87+M82+M77+M72+M67+M62+M57+M52+M47+M42+M37+M32+M27+M22+M17</f>
        <v>374224.83969920815</v>
      </c>
      <c r="N167" s="17" t="str">
        <f t="shared" ref="N167" si="0">IFERROR(M167/K167,"")</f>
        <v/>
      </c>
      <c r="O167" s="27">
        <f>O162+O157+O152+O147+O142+O137+O132+O127+O122+O117+O112+O107+O102+O97+O92+O87+O82+O77+O72+O67+O62+O57+O52+O47+O42+O37+O32+O27+O22+O17</f>
        <v>0</v>
      </c>
      <c r="P167" s="17" t="str">
        <f t="shared" ref="P167" si="1">IFERROR(O167/K167,"")</f>
        <v/>
      </c>
      <c r="Q167" s="30">
        <f t="shared" ref="Q167" si="2">IF(M167=0,"",M167-O167)</f>
        <v>374224.83969920815</v>
      </c>
      <c r="R167" s="17" t="str">
        <f t="shared" ref="R167" si="3">IFERROR(Q167/K167,"")</f>
        <v/>
      </c>
    </row>
    <row r="169" spans="1:18" x14ac:dyDescent="0.35">
      <c r="A169" s="19">
        <v>32</v>
      </c>
      <c r="L169" s="37" t="s">
        <v>199</v>
      </c>
      <c r="M169" s="39">
        <f>'As-Filed Schedule 1'!G91</f>
        <v>214656.93402367301</v>
      </c>
    </row>
    <row r="170" spans="1:18" x14ac:dyDescent="0.35">
      <c r="A170" s="19">
        <v>33</v>
      </c>
      <c r="L170" s="37" t="s">
        <v>186</v>
      </c>
      <c r="M170" s="39">
        <f>'As-Filed Schedule 1'!G93</f>
        <v>159567.90567553512</v>
      </c>
    </row>
    <row r="171" spans="1:18" x14ac:dyDescent="0.35">
      <c r="A171" s="19">
        <v>34</v>
      </c>
      <c r="L171" s="37" t="s">
        <v>200</v>
      </c>
      <c r="M171" s="18">
        <f>SUM(M169:M170)</f>
        <v>374224.83969920815</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7:C17"/>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37:C37"/>
    <mergeCell ref="B32:C32"/>
    <mergeCell ref="B22:C22"/>
    <mergeCell ref="B67:C67"/>
    <mergeCell ref="B72:C72"/>
    <mergeCell ref="B42:C42"/>
    <mergeCell ref="B52:C52"/>
    <mergeCell ref="B47:C47"/>
    <mergeCell ref="B57:C57"/>
    <mergeCell ref="B62:C62"/>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929</v>
      </c>
      <c r="B3" s="5"/>
      <c r="C3" s="7"/>
      <c r="D3" s="54"/>
      <c r="E3" s="51"/>
      <c r="F3" s="51"/>
      <c r="G3" s="52"/>
      <c r="H3" s="52"/>
      <c r="I3" s="14"/>
      <c r="J3" s="14"/>
    </row>
    <row r="4" spans="1:12" x14ac:dyDescent="0.35">
      <c r="D4" s="54"/>
      <c r="E4" s="49"/>
      <c r="F4" s="49"/>
      <c r="G4" s="50"/>
      <c r="H4" s="50"/>
      <c r="K4" s="565"/>
      <c r="L4" s="565"/>
    </row>
    <row r="5" spans="1:12" ht="15" customHeight="1" x14ac:dyDescent="0.35">
      <c r="A5" s="1" t="s">
        <v>773</v>
      </c>
      <c r="C5" s="420" t="str">
        <f>'As-Filed Schedule 1'!C5</f>
        <v>Eagle Valley Behavioral Health</v>
      </c>
      <c r="D5" s="55"/>
      <c r="E5" s="53"/>
      <c r="F5" s="53"/>
      <c r="G5" s="50"/>
      <c r="H5" s="50"/>
      <c r="K5" s="565"/>
      <c r="L5" s="565"/>
    </row>
    <row r="6" spans="1:12" x14ac:dyDescent="0.35">
      <c r="A6" s="1" t="s">
        <v>0</v>
      </c>
      <c r="C6" s="35">
        <f>'As-Filed Schedule 1'!C6</f>
        <v>45473</v>
      </c>
      <c r="D6" s="35"/>
      <c r="E6" s="35"/>
      <c r="F6" s="35"/>
      <c r="K6" s="565"/>
      <c r="L6" s="565"/>
    </row>
    <row r="7" spans="1:12" x14ac:dyDescent="0.35">
      <c r="A7" s="1"/>
      <c r="C7" s="35"/>
      <c r="D7" s="23">
        <v>1</v>
      </c>
      <c r="E7" s="35"/>
      <c r="F7" s="23">
        <v>3</v>
      </c>
      <c r="H7" s="205"/>
      <c r="I7" s="175">
        <v>6</v>
      </c>
      <c r="J7" s="205"/>
      <c r="K7" s="175">
        <v>8</v>
      </c>
      <c r="L7" s="81"/>
    </row>
    <row r="8" spans="1:12" x14ac:dyDescent="0.35">
      <c r="A8" s="19">
        <v>1</v>
      </c>
      <c r="C8" s="46" t="s">
        <v>193</v>
      </c>
      <c r="D8" s="26">
        <f>'As-Filed Schedule 1'!F95</f>
        <v>19439768.300450038</v>
      </c>
      <c r="E8" s="46" t="s">
        <v>197</v>
      </c>
      <c r="F8" s="31">
        <f>F197</f>
        <v>45778.080000000002</v>
      </c>
      <c r="H8" s="427" t="s">
        <v>857</v>
      </c>
      <c r="I8" s="26">
        <f>'As-Filed Schedule 1'!F95</f>
        <v>19439768.300450038</v>
      </c>
      <c r="J8" s="427" t="s">
        <v>858</v>
      </c>
      <c r="K8" s="180">
        <v>45863</v>
      </c>
      <c r="L8" s="25"/>
    </row>
    <row r="9" spans="1:12" x14ac:dyDescent="0.35">
      <c r="A9" s="19">
        <v>2</v>
      </c>
      <c r="C9" s="46" t="s">
        <v>251</v>
      </c>
      <c r="D9" s="117"/>
      <c r="E9" s="46" t="s">
        <v>198</v>
      </c>
      <c r="F9" s="31">
        <f>J197</f>
        <v>82929.980000000025</v>
      </c>
      <c r="H9" s="427" t="s">
        <v>859</v>
      </c>
      <c r="I9" s="180"/>
      <c r="J9" s="569"/>
      <c r="K9" s="569"/>
      <c r="L9" s="45"/>
    </row>
    <row r="10" spans="1:12" x14ac:dyDescent="0.35">
      <c r="A10" s="19">
        <v>3</v>
      </c>
      <c r="C10" s="42" t="s">
        <v>194</v>
      </c>
      <c r="D10" s="18">
        <f>D8-D9</f>
        <v>19439768.300450038</v>
      </c>
      <c r="E10" s="42" t="s">
        <v>195</v>
      </c>
      <c r="F10" s="9">
        <f>SUM(F8:F9)</f>
        <v>128708.06000000003</v>
      </c>
      <c r="H10" s="428" t="s">
        <v>860</v>
      </c>
      <c r="I10" s="185">
        <f>I8-I9</f>
        <v>19439768.300450038</v>
      </c>
      <c r="J10" s="569"/>
      <c r="K10" s="569"/>
      <c r="L10" s="45"/>
    </row>
    <row r="11" spans="1:12" x14ac:dyDescent="0.35">
      <c r="A11" s="1"/>
      <c r="H11" s="206"/>
      <c r="I11" s="206"/>
      <c r="J11" s="569"/>
      <c r="K11" s="570"/>
      <c r="L11" s="45"/>
    </row>
    <row r="12" spans="1:12" ht="18.5" x14ac:dyDescent="0.45">
      <c r="A12" s="19">
        <v>4</v>
      </c>
      <c r="E12" s="44" t="s">
        <v>196</v>
      </c>
      <c r="F12" s="43">
        <f>D10/F10</f>
        <v>151.03769181549342</v>
      </c>
      <c r="H12" s="206"/>
      <c r="I12" s="206"/>
      <c r="J12" s="429" t="s">
        <v>861</v>
      </c>
      <c r="K12" s="430">
        <f>I10/K8</f>
        <v>423.86604235331396</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66" t="s">
        <v>191</v>
      </c>
      <c r="E15" s="567"/>
      <c r="F15" s="567"/>
      <c r="G15" s="568"/>
      <c r="H15" s="566" t="s">
        <v>192</v>
      </c>
      <c r="I15" s="567"/>
      <c r="J15" s="567"/>
      <c r="K15" s="568"/>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c r="E17" s="410">
        <v>0</v>
      </c>
      <c r="F17" s="148">
        <f>D17*E17</f>
        <v>0</v>
      </c>
      <c r="G17" s="149">
        <f t="shared" ref="G17" si="0">E17*$F$12</f>
        <v>0</v>
      </c>
      <c r="H17" s="150">
        <v>0</v>
      </c>
      <c r="I17" s="410">
        <v>0</v>
      </c>
      <c r="J17" s="47">
        <f>H17*I17</f>
        <v>0</v>
      </c>
      <c r="K17" s="21">
        <f t="shared" ref="K17" si="1">I17*$F$12</f>
        <v>0</v>
      </c>
    </row>
    <row r="18" spans="1:11" s="22" customFormat="1" x14ac:dyDescent="0.35">
      <c r="A18" s="19">
        <v>6</v>
      </c>
      <c r="B18" s="19">
        <v>80305</v>
      </c>
      <c r="C18" s="20" t="s">
        <v>111</v>
      </c>
      <c r="D18" s="116"/>
      <c r="E18" s="410">
        <v>0</v>
      </c>
      <c r="F18" s="148">
        <f>D18*E18</f>
        <v>0</v>
      </c>
      <c r="G18" s="149">
        <f t="shared" ref="G18:G73" si="2">E18*$F$12</f>
        <v>0</v>
      </c>
      <c r="H18" s="150">
        <v>332</v>
      </c>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v>0</v>
      </c>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v>0</v>
      </c>
      <c r="I20" s="410">
        <v>0</v>
      </c>
      <c r="J20" s="47">
        <f t="shared" si="4"/>
        <v>0</v>
      </c>
      <c r="K20" s="21">
        <f t="shared" si="3"/>
        <v>0</v>
      </c>
    </row>
    <row r="21" spans="1:11" s="22" customFormat="1" x14ac:dyDescent="0.35">
      <c r="A21" s="19">
        <v>9</v>
      </c>
      <c r="B21" s="19">
        <v>90785</v>
      </c>
      <c r="C21" s="20" t="s">
        <v>319</v>
      </c>
      <c r="D21" s="116"/>
      <c r="E21" s="410">
        <v>0.44</v>
      </c>
      <c r="F21" s="47">
        <f t="shared" si="5"/>
        <v>0</v>
      </c>
      <c r="G21" s="21">
        <f t="shared" si="2"/>
        <v>66.4565843988171</v>
      </c>
      <c r="H21" s="150">
        <v>1</v>
      </c>
      <c r="I21" s="410">
        <v>0.39</v>
      </c>
      <c r="J21" s="47">
        <f t="shared" si="4"/>
        <v>0.39</v>
      </c>
      <c r="K21" s="21">
        <f t="shared" si="3"/>
        <v>58.904699808042437</v>
      </c>
    </row>
    <row r="22" spans="1:11" s="22" customFormat="1" x14ac:dyDescent="0.35">
      <c r="A22" s="19">
        <v>10</v>
      </c>
      <c r="B22" s="19">
        <v>90791</v>
      </c>
      <c r="C22" s="20" t="s">
        <v>320</v>
      </c>
      <c r="D22" s="116">
        <v>594</v>
      </c>
      <c r="E22" s="410">
        <v>5.17</v>
      </c>
      <c r="F22" s="47">
        <f t="shared" si="5"/>
        <v>3070.98</v>
      </c>
      <c r="G22" s="21">
        <f t="shared" si="2"/>
        <v>780.86486668610098</v>
      </c>
      <c r="H22" s="150">
        <v>1151</v>
      </c>
      <c r="I22" s="410">
        <v>4.43</v>
      </c>
      <c r="J22" s="47">
        <f t="shared" si="4"/>
        <v>5098.9299999999994</v>
      </c>
      <c r="K22" s="21">
        <f t="shared" si="3"/>
        <v>669.09697474263578</v>
      </c>
    </row>
    <row r="23" spans="1:11" s="22" customFormat="1" x14ac:dyDescent="0.35">
      <c r="A23" s="19">
        <v>11</v>
      </c>
      <c r="B23" s="19">
        <v>90792</v>
      </c>
      <c r="C23" s="20" t="s">
        <v>321</v>
      </c>
      <c r="D23" s="116">
        <v>0</v>
      </c>
      <c r="E23" s="410">
        <v>5.82</v>
      </c>
      <c r="F23" s="47">
        <f t="shared" si="5"/>
        <v>0</v>
      </c>
      <c r="G23" s="21">
        <f t="shared" si="2"/>
        <v>879.03936636617175</v>
      </c>
      <c r="H23" s="150">
        <v>914</v>
      </c>
      <c r="I23" s="410">
        <v>5.08</v>
      </c>
      <c r="J23" s="47">
        <f t="shared" si="4"/>
        <v>4643.12</v>
      </c>
      <c r="K23" s="21">
        <f t="shared" si="3"/>
        <v>767.27147442270655</v>
      </c>
    </row>
    <row r="24" spans="1:11" s="22" customFormat="1" x14ac:dyDescent="0.35">
      <c r="A24" s="19">
        <v>12</v>
      </c>
      <c r="B24" s="19">
        <v>90832</v>
      </c>
      <c r="C24" s="20" t="s">
        <v>325</v>
      </c>
      <c r="D24" s="116">
        <v>2112</v>
      </c>
      <c r="E24" s="410">
        <v>2.35</v>
      </c>
      <c r="F24" s="47">
        <f t="shared" si="5"/>
        <v>4963.2</v>
      </c>
      <c r="G24" s="21">
        <f t="shared" si="2"/>
        <v>354.93857576640954</v>
      </c>
      <c r="H24" s="150">
        <v>496</v>
      </c>
      <c r="I24" s="410">
        <v>2.0499999999999998</v>
      </c>
      <c r="J24" s="47">
        <f t="shared" si="4"/>
        <v>1016.8</v>
      </c>
      <c r="K24" s="21">
        <f t="shared" si="3"/>
        <v>309.62726822176148</v>
      </c>
    </row>
    <row r="25" spans="1:11" s="22" customFormat="1" x14ac:dyDescent="0.35">
      <c r="A25" s="19">
        <v>13</v>
      </c>
      <c r="B25" s="19">
        <v>90833</v>
      </c>
      <c r="C25" s="20" t="s">
        <v>322</v>
      </c>
      <c r="D25" s="116">
        <v>0</v>
      </c>
      <c r="E25" s="410">
        <v>2.16</v>
      </c>
      <c r="F25" s="47">
        <f t="shared" si="5"/>
        <v>0</v>
      </c>
      <c r="G25" s="21">
        <f t="shared" si="2"/>
        <v>326.24141432146581</v>
      </c>
      <c r="H25" s="150">
        <v>1</v>
      </c>
      <c r="I25" s="410">
        <v>1.92</v>
      </c>
      <c r="J25" s="47">
        <f t="shared" si="4"/>
        <v>1.92</v>
      </c>
      <c r="K25" s="21">
        <f t="shared" si="3"/>
        <v>289.99236828574738</v>
      </c>
    </row>
    <row r="26" spans="1:11" s="22" customFormat="1" x14ac:dyDescent="0.35">
      <c r="A26" s="19">
        <v>14</v>
      </c>
      <c r="B26" s="19">
        <v>90834</v>
      </c>
      <c r="C26" s="20" t="s">
        <v>323</v>
      </c>
      <c r="D26" s="116">
        <v>2735</v>
      </c>
      <c r="E26" s="410">
        <v>3.1</v>
      </c>
      <c r="F26" s="47">
        <f t="shared" si="5"/>
        <v>8478.5</v>
      </c>
      <c r="G26" s="21">
        <f t="shared" si="2"/>
        <v>468.21684462802961</v>
      </c>
      <c r="H26" s="150">
        <v>418</v>
      </c>
      <c r="I26" s="410">
        <v>2.71</v>
      </c>
      <c r="J26" s="47">
        <f t="shared" si="4"/>
        <v>1132.78</v>
      </c>
      <c r="K26" s="21">
        <f t="shared" si="3"/>
        <v>409.31214481998717</v>
      </c>
    </row>
    <row r="27" spans="1:11" s="22" customFormat="1" x14ac:dyDescent="0.35">
      <c r="A27" s="19">
        <v>15</v>
      </c>
      <c r="B27" s="19">
        <v>90836</v>
      </c>
      <c r="C27" s="20" t="s">
        <v>326</v>
      </c>
      <c r="D27" s="116">
        <v>0</v>
      </c>
      <c r="E27" s="410">
        <v>2.73</v>
      </c>
      <c r="F27" s="47">
        <f t="shared" si="5"/>
        <v>0</v>
      </c>
      <c r="G27" s="21">
        <f t="shared" si="2"/>
        <v>412.332898656297</v>
      </c>
      <c r="H27" s="150">
        <v>2</v>
      </c>
      <c r="I27" s="410">
        <v>2.4300000000000002</v>
      </c>
      <c r="J27" s="47">
        <f t="shared" si="4"/>
        <v>4.8600000000000003</v>
      </c>
      <c r="K27" s="21">
        <f t="shared" si="3"/>
        <v>367.021591111649</v>
      </c>
    </row>
    <row r="28" spans="1:11" s="22" customFormat="1" x14ac:dyDescent="0.35">
      <c r="A28" s="19">
        <v>16</v>
      </c>
      <c r="B28" s="19">
        <v>90837</v>
      </c>
      <c r="C28" s="20" t="s">
        <v>324</v>
      </c>
      <c r="D28" s="116">
        <v>1914</v>
      </c>
      <c r="E28" s="410">
        <v>4.57</v>
      </c>
      <c r="F28" s="47">
        <f t="shared" si="5"/>
        <v>8746.9800000000014</v>
      </c>
      <c r="G28" s="21">
        <f t="shared" si="2"/>
        <v>690.24225159680498</v>
      </c>
      <c r="H28" s="150">
        <v>9733</v>
      </c>
      <c r="I28" s="410">
        <v>4</v>
      </c>
      <c r="J28" s="47">
        <f t="shared" si="4"/>
        <v>38932</v>
      </c>
      <c r="K28" s="21">
        <f t="shared" si="3"/>
        <v>604.15076726197367</v>
      </c>
    </row>
    <row r="29" spans="1:11" s="22" customFormat="1" x14ac:dyDescent="0.35">
      <c r="A29" s="19">
        <v>17</v>
      </c>
      <c r="B29" s="19">
        <v>90838</v>
      </c>
      <c r="C29" s="20" t="s">
        <v>327</v>
      </c>
      <c r="D29" s="116"/>
      <c r="E29" s="410">
        <v>3.62</v>
      </c>
      <c r="F29" s="47">
        <f t="shared" si="5"/>
        <v>0</v>
      </c>
      <c r="G29" s="21">
        <f t="shared" si="2"/>
        <v>546.75644437208621</v>
      </c>
      <c r="H29" s="150">
        <v>0</v>
      </c>
      <c r="I29" s="410">
        <v>3.22</v>
      </c>
      <c r="J29" s="47">
        <f t="shared" si="4"/>
        <v>0</v>
      </c>
      <c r="K29" s="21">
        <f t="shared" si="3"/>
        <v>486.34136764588885</v>
      </c>
    </row>
    <row r="30" spans="1:11" s="22" customFormat="1" x14ac:dyDescent="0.35">
      <c r="A30" s="19">
        <v>18</v>
      </c>
      <c r="B30" s="19">
        <v>90839</v>
      </c>
      <c r="C30" s="20" t="s">
        <v>329</v>
      </c>
      <c r="D30" s="116">
        <v>462</v>
      </c>
      <c r="E30" s="410">
        <v>4.4000000000000004</v>
      </c>
      <c r="F30" s="47">
        <f t="shared" si="5"/>
        <v>2032.8000000000002</v>
      </c>
      <c r="G30" s="21">
        <f t="shared" si="2"/>
        <v>664.56584398817108</v>
      </c>
      <c r="H30" s="150">
        <v>13</v>
      </c>
      <c r="I30" s="410">
        <v>3.87</v>
      </c>
      <c r="J30" s="47">
        <f t="shared" si="4"/>
        <v>50.31</v>
      </c>
      <c r="K30" s="21">
        <f t="shared" si="3"/>
        <v>584.51586732595956</v>
      </c>
    </row>
    <row r="31" spans="1:11" s="22" customFormat="1" x14ac:dyDescent="0.35">
      <c r="A31" s="19">
        <v>19</v>
      </c>
      <c r="B31" s="19">
        <v>90840</v>
      </c>
      <c r="C31" s="20" t="s">
        <v>328</v>
      </c>
      <c r="D31" s="116">
        <v>0</v>
      </c>
      <c r="E31" s="410">
        <v>2.1800000000000002</v>
      </c>
      <c r="F31" s="47">
        <f t="shared" si="5"/>
        <v>0</v>
      </c>
      <c r="G31" s="21">
        <f t="shared" si="2"/>
        <v>329.26216815777565</v>
      </c>
      <c r="H31" s="150">
        <v>9</v>
      </c>
      <c r="I31" s="410">
        <v>1.94</v>
      </c>
      <c r="J31" s="47">
        <f t="shared" si="4"/>
        <v>17.46</v>
      </c>
      <c r="K31" s="21">
        <f t="shared" si="3"/>
        <v>293.01312212205721</v>
      </c>
    </row>
    <row r="32" spans="1:11" s="22" customFormat="1" x14ac:dyDescent="0.35">
      <c r="A32" s="19">
        <v>20</v>
      </c>
      <c r="B32" s="19">
        <v>90846</v>
      </c>
      <c r="C32" s="20" t="s">
        <v>113</v>
      </c>
      <c r="D32" s="116">
        <v>464</v>
      </c>
      <c r="E32" s="410">
        <v>2.93</v>
      </c>
      <c r="F32" s="47">
        <f t="shared" si="5"/>
        <v>1359.52</v>
      </c>
      <c r="G32" s="21">
        <f t="shared" si="2"/>
        <v>442.54043701939571</v>
      </c>
      <c r="H32" s="150">
        <v>12</v>
      </c>
      <c r="I32" s="410">
        <v>2.92</v>
      </c>
      <c r="J32" s="47">
        <f t="shared" si="4"/>
        <v>35.04</v>
      </c>
      <c r="K32" s="21">
        <f t="shared" si="3"/>
        <v>441.03006010124079</v>
      </c>
    </row>
    <row r="33" spans="1:11" s="22" customFormat="1" x14ac:dyDescent="0.35">
      <c r="A33" s="19">
        <v>21</v>
      </c>
      <c r="B33" s="19">
        <v>90847</v>
      </c>
      <c r="C33" s="20" t="s">
        <v>114</v>
      </c>
      <c r="D33" s="116">
        <v>65</v>
      </c>
      <c r="E33" s="410">
        <v>3.07</v>
      </c>
      <c r="F33" s="47">
        <f t="shared" si="5"/>
        <v>199.54999999999998</v>
      </c>
      <c r="G33" s="21">
        <f t="shared" si="2"/>
        <v>463.68571387356479</v>
      </c>
      <c r="H33" s="150">
        <v>86</v>
      </c>
      <c r="I33" s="410">
        <v>3.05</v>
      </c>
      <c r="J33" s="47">
        <f t="shared" si="4"/>
        <v>262.3</v>
      </c>
      <c r="K33" s="21">
        <f t="shared" si="3"/>
        <v>460.6649600372549</v>
      </c>
    </row>
    <row r="34" spans="1:11" s="22" customFormat="1" x14ac:dyDescent="0.35">
      <c r="A34" s="19">
        <v>22</v>
      </c>
      <c r="B34" s="19">
        <v>90849</v>
      </c>
      <c r="C34" s="20" t="s">
        <v>115</v>
      </c>
      <c r="D34" s="116"/>
      <c r="E34" s="410">
        <v>1.1299999999999999</v>
      </c>
      <c r="F34" s="47">
        <f t="shared" si="5"/>
        <v>0</v>
      </c>
      <c r="G34" s="21">
        <f t="shared" si="2"/>
        <v>170.67259175150755</v>
      </c>
      <c r="H34" s="150">
        <v>0</v>
      </c>
      <c r="I34" s="410">
        <v>0.88</v>
      </c>
      <c r="J34" s="47">
        <f t="shared" si="4"/>
        <v>0</v>
      </c>
      <c r="K34" s="21">
        <f t="shared" si="3"/>
        <v>132.9131687976342</v>
      </c>
    </row>
    <row r="35" spans="1:11" s="22" customFormat="1" x14ac:dyDescent="0.35">
      <c r="A35" s="19">
        <v>23</v>
      </c>
      <c r="B35" s="19">
        <v>90853</v>
      </c>
      <c r="C35" s="20" t="s">
        <v>116</v>
      </c>
      <c r="D35" s="116">
        <v>1566</v>
      </c>
      <c r="E35" s="410">
        <v>0.83</v>
      </c>
      <c r="F35" s="47">
        <f t="shared" si="5"/>
        <v>1299.78</v>
      </c>
      <c r="G35" s="21">
        <f t="shared" si="2"/>
        <v>125.36128420685954</v>
      </c>
      <c r="H35" s="150">
        <v>14</v>
      </c>
      <c r="I35" s="410">
        <v>0.72</v>
      </c>
      <c r="J35" s="47">
        <f t="shared" si="4"/>
        <v>10.08</v>
      </c>
      <c r="K35" s="21">
        <f t="shared" si="3"/>
        <v>108.74713810715525</v>
      </c>
    </row>
    <row r="36" spans="1:11" s="22" customFormat="1" x14ac:dyDescent="0.35">
      <c r="A36" s="19">
        <v>24</v>
      </c>
      <c r="B36" s="19">
        <v>90870</v>
      </c>
      <c r="C36" s="20" t="s">
        <v>117</v>
      </c>
      <c r="D36" s="116"/>
      <c r="E36" s="410">
        <v>5.18</v>
      </c>
      <c r="F36" s="47">
        <f t="shared" si="5"/>
        <v>0</v>
      </c>
      <c r="G36" s="21">
        <f t="shared" si="2"/>
        <v>782.37524360425584</v>
      </c>
      <c r="H36" s="150">
        <v>0</v>
      </c>
      <c r="I36" s="410">
        <v>3.12</v>
      </c>
      <c r="J36" s="47">
        <f t="shared" si="4"/>
        <v>0</v>
      </c>
      <c r="K36" s="21">
        <f t="shared" si="3"/>
        <v>471.2375984643395</v>
      </c>
    </row>
    <row r="37" spans="1:11" s="22" customFormat="1" x14ac:dyDescent="0.35">
      <c r="A37" s="19">
        <v>25</v>
      </c>
      <c r="B37" s="19">
        <v>90875</v>
      </c>
      <c r="C37" s="20" t="s">
        <v>152</v>
      </c>
      <c r="D37" s="116"/>
      <c r="E37" s="410">
        <v>1.75</v>
      </c>
      <c r="F37" s="47">
        <f t="shared" si="5"/>
        <v>0</v>
      </c>
      <c r="G37" s="21">
        <f t="shared" si="2"/>
        <v>264.31596067711348</v>
      </c>
      <c r="H37" s="150">
        <v>0</v>
      </c>
      <c r="I37" s="410">
        <v>1.74</v>
      </c>
      <c r="J37" s="47">
        <f t="shared" si="4"/>
        <v>0</v>
      </c>
      <c r="K37" s="21">
        <f t="shared" si="3"/>
        <v>262.80558375895856</v>
      </c>
    </row>
    <row r="38" spans="1:11" s="22" customFormat="1" x14ac:dyDescent="0.35">
      <c r="A38" s="19">
        <v>26</v>
      </c>
      <c r="B38" s="19">
        <v>90876</v>
      </c>
      <c r="C38" s="20" t="s">
        <v>153</v>
      </c>
      <c r="D38" s="116"/>
      <c r="E38" s="410">
        <v>3.08</v>
      </c>
      <c r="F38" s="47">
        <f t="shared" si="5"/>
        <v>0</v>
      </c>
      <c r="G38" s="21">
        <f t="shared" si="2"/>
        <v>465.19609079171971</v>
      </c>
      <c r="H38" s="150">
        <v>0</v>
      </c>
      <c r="I38" s="410">
        <v>2.76</v>
      </c>
      <c r="J38" s="47">
        <f t="shared" si="4"/>
        <v>0</v>
      </c>
      <c r="K38" s="21">
        <f t="shared" si="3"/>
        <v>416.86402941076182</v>
      </c>
    </row>
    <row r="39" spans="1:11" s="22" customFormat="1" x14ac:dyDescent="0.35">
      <c r="A39" s="19">
        <v>27</v>
      </c>
      <c r="B39" s="19">
        <v>90887</v>
      </c>
      <c r="C39" s="20" t="s">
        <v>330</v>
      </c>
      <c r="D39" s="116"/>
      <c r="E39" s="410">
        <v>2.56</v>
      </c>
      <c r="F39" s="47">
        <f t="shared" si="5"/>
        <v>0</v>
      </c>
      <c r="G39" s="21">
        <f t="shared" si="2"/>
        <v>386.65649104766317</v>
      </c>
      <c r="H39" s="150">
        <v>0</v>
      </c>
      <c r="I39" s="410">
        <v>2.14</v>
      </c>
      <c r="J39" s="47">
        <f t="shared" si="4"/>
        <v>0</v>
      </c>
      <c r="K39" s="21">
        <f t="shared" si="3"/>
        <v>323.22066048515592</v>
      </c>
    </row>
    <row r="40" spans="1:11" s="22" customFormat="1" x14ac:dyDescent="0.35">
      <c r="A40" s="19">
        <v>28</v>
      </c>
      <c r="B40" s="19">
        <v>96116</v>
      </c>
      <c r="C40" s="20" t="s">
        <v>341</v>
      </c>
      <c r="D40" s="116"/>
      <c r="E40" s="410">
        <v>2.76</v>
      </c>
      <c r="F40" s="47">
        <f t="shared" si="5"/>
        <v>0</v>
      </c>
      <c r="G40" s="21">
        <f t="shared" si="2"/>
        <v>416.86402941076182</v>
      </c>
      <c r="H40" s="150">
        <v>0</v>
      </c>
      <c r="I40" s="410">
        <v>2.37</v>
      </c>
      <c r="J40" s="47">
        <f t="shared" si="4"/>
        <v>0</v>
      </c>
      <c r="K40" s="21">
        <f t="shared" si="3"/>
        <v>357.95932960271944</v>
      </c>
    </row>
    <row r="41" spans="1:11" s="22" customFormat="1" x14ac:dyDescent="0.35">
      <c r="A41" s="19">
        <v>29</v>
      </c>
      <c r="B41" s="19">
        <v>96121</v>
      </c>
      <c r="C41" s="20" t="s">
        <v>340</v>
      </c>
      <c r="D41" s="116"/>
      <c r="E41" s="410">
        <v>2.25</v>
      </c>
      <c r="F41" s="47">
        <f t="shared" si="5"/>
        <v>0</v>
      </c>
      <c r="G41" s="21">
        <f t="shared" si="2"/>
        <v>339.83480658486019</v>
      </c>
      <c r="H41" s="150">
        <v>0</v>
      </c>
      <c r="I41" s="410">
        <v>1.97</v>
      </c>
      <c r="J41" s="47">
        <f t="shared" si="4"/>
        <v>0</v>
      </c>
      <c r="K41" s="21">
        <f t="shared" si="3"/>
        <v>297.54425287652202</v>
      </c>
    </row>
    <row r="42" spans="1:11" s="22" customFormat="1" x14ac:dyDescent="0.35">
      <c r="A42" s="19">
        <v>30</v>
      </c>
      <c r="B42" s="19">
        <v>96130</v>
      </c>
      <c r="C42" s="20" t="s">
        <v>338</v>
      </c>
      <c r="D42" s="116">
        <v>2</v>
      </c>
      <c r="E42" s="410">
        <v>3.6</v>
      </c>
      <c r="F42" s="47">
        <f t="shared" si="5"/>
        <v>7.2</v>
      </c>
      <c r="G42" s="21">
        <f t="shared" si="2"/>
        <v>543.73569053577637</v>
      </c>
      <c r="H42" s="150">
        <v>0</v>
      </c>
      <c r="I42" s="410">
        <v>3.25</v>
      </c>
      <c r="J42" s="47">
        <f t="shared" si="4"/>
        <v>0</v>
      </c>
      <c r="K42" s="21">
        <f t="shared" si="3"/>
        <v>490.87249840035361</v>
      </c>
    </row>
    <row r="43" spans="1:11" s="22" customFormat="1" x14ac:dyDescent="0.35">
      <c r="A43" s="19">
        <v>31</v>
      </c>
      <c r="B43" s="19">
        <v>96131</v>
      </c>
      <c r="C43" s="20" t="s">
        <v>339</v>
      </c>
      <c r="D43" s="116"/>
      <c r="E43" s="410">
        <v>2.57</v>
      </c>
      <c r="F43" s="47">
        <f t="shared" si="5"/>
        <v>0</v>
      </c>
      <c r="G43" s="21">
        <f t="shared" si="2"/>
        <v>388.16686796581808</v>
      </c>
      <c r="H43" s="150">
        <v>0</v>
      </c>
      <c r="I43" s="410">
        <v>2.25</v>
      </c>
      <c r="J43" s="47">
        <f t="shared" si="4"/>
        <v>0</v>
      </c>
      <c r="K43" s="21">
        <f t="shared" si="3"/>
        <v>339.83480658486019</v>
      </c>
    </row>
    <row r="44" spans="1:11" s="22" customFormat="1" x14ac:dyDescent="0.35">
      <c r="A44" s="19">
        <v>32</v>
      </c>
      <c r="B44" s="19">
        <v>96132</v>
      </c>
      <c r="C44" s="20" t="s">
        <v>332</v>
      </c>
      <c r="D44" s="116"/>
      <c r="E44" s="410">
        <v>3.85</v>
      </c>
      <c r="F44" s="47">
        <f t="shared" si="5"/>
        <v>0</v>
      </c>
      <c r="G44" s="21">
        <f t="shared" si="2"/>
        <v>581.49511348964973</v>
      </c>
      <c r="H44" s="150">
        <v>0</v>
      </c>
      <c r="I44" s="410">
        <v>3.14</v>
      </c>
      <c r="J44" s="47">
        <f t="shared" si="4"/>
        <v>0</v>
      </c>
      <c r="K44" s="21">
        <f t="shared" si="3"/>
        <v>474.25835230064934</v>
      </c>
    </row>
    <row r="45" spans="1:11" s="22" customFormat="1" x14ac:dyDescent="0.35">
      <c r="A45" s="19">
        <v>33</v>
      </c>
      <c r="B45" s="19">
        <v>96133</v>
      </c>
      <c r="C45" s="20" t="s">
        <v>333</v>
      </c>
      <c r="D45" s="116"/>
      <c r="E45" s="410">
        <v>2.92</v>
      </c>
      <c r="F45" s="47">
        <f t="shared" si="5"/>
        <v>0</v>
      </c>
      <c r="G45" s="21">
        <f t="shared" si="2"/>
        <v>441.03006010124079</v>
      </c>
      <c r="H45" s="150">
        <v>0</v>
      </c>
      <c r="I45" s="410">
        <v>2.2599999999999998</v>
      </c>
      <c r="J45" s="47">
        <f t="shared" si="4"/>
        <v>0</v>
      </c>
      <c r="K45" s="21">
        <f t="shared" si="3"/>
        <v>341.34518350301511</v>
      </c>
    </row>
    <row r="46" spans="1:11" s="22" customFormat="1" x14ac:dyDescent="0.35">
      <c r="A46" s="19">
        <v>34</v>
      </c>
      <c r="B46" s="19">
        <v>96136</v>
      </c>
      <c r="C46" s="20" t="s">
        <v>334</v>
      </c>
      <c r="D46" s="116"/>
      <c r="E46" s="410">
        <v>1.25</v>
      </c>
      <c r="F46" s="47">
        <f t="shared" si="5"/>
        <v>0</v>
      </c>
      <c r="G46" s="21">
        <f t="shared" si="2"/>
        <v>188.79711476936677</v>
      </c>
      <c r="H46" s="150">
        <v>0</v>
      </c>
      <c r="I46" s="410">
        <v>0.69</v>
      </c>
      <c r="J46" s="47">
        <f t="shared" si="4"/>
        <v>0</v>
      </c>
      <c r="K46" s="21">
        <f t="shared" si="3"/>
        <v>104.21600735269045</v>
      </c>
    </row>
    <row r="47" spans="1:11" s="22" customFormat="1" x14ac:dyDescent="0.35">
      <c r="A47" s="19">
        <v>35</v>
      </c>
      <c r="B47" s="19">
        <v>96137</v>
      </c>
      <c r="C47" s="20" t="s">
        <v>335</v>
      </c>
      <c r="D47" s="116"/>
      <c r="E47" s="410">
        <v>1.1299999999999999</v>
      </c>
      <c r="F47" s="47">
        <f t="shared" si="5"/>
        <v>0</v>
      </c>
      <c r="G47" s="21">
        <f t="shared" si="2"/>
        <v>170.67259175150755</v>
      </c>
      <c r="H47" s="150">
        <v>0</v>
      </c>
      <c r="I47" s="410">
        <v>0.53</v>
      </c>
      <c r="J47" s="47">
        <f t="shared" si="4"/>
        <v>0</v>
      </c>
      <c r="K47" s="21">
        <f t="shared" si="3"/>
        <v>80.04997666221152</v>
      </c>
    </row>
    <row r="48" spans="1:11" s="22" customFormat="1" x14ac:dyDescent="0.35">
      <c r="A48" s="19">
        <v>36</v>
      </c>
      <c r="B48" s="19">
        <v>96138</v>
      </c>
      <c r="C48" s="20" t="s">
        <v>336</v>
      </c>
      <c r="D48" s="116"/>
      <c r="E48" s="410">
        <v>1.03</v>
      </c>
      <c r="F48" s="47">
        <f t="shared" si="5"/>
        <v>0</v>
      </c>
      <c r="G48" s="21">
        <f t="shared" si="2"/>
        <v>155.56882256995823</v>
      </c>
      <c r="H48" s="150">
        <v>0</v>
      </c>
      <c r="I48" s="410">
        <v>0.56999999999999995</v>
      </c>
      <c r="J48" s="47">
        <f t="shared" si="4"/>
        <v>0</v>
      </c>
      <c r="K48" s="21">
        <f t="shared" si="3"/>
        <v>86.091484334831236</v>
      </c>
    </row>
    <row r="49" spans="1:11" s="22" customFormat="1" x14ac:dyDescent="0.35">
      <c r="A49" s="19">
        <v>37</v>
      </c>
      <c r="B49" s="19">
        <v>96139</v>
      </c>
      <c r="C49" s="20" t="s">
        <v>337</v>
      </c>
      <c r="D49" s="116"/>
      <c r="E49" s="410">
        <v>1.06</v>
      </c>
      <c r="F49" s="47">
        <f t="shared" si="5"/>
        <v>0</v>
      </c>
      <c r="G49" s="21">
        <f t="shared" si="2"/>
        <v>160.09995332442304</v>
      </c>
      <c r="H49" s="150">
        <v>0</v>
      </c>
      <c r="I49" s="410">
        <v>0.5</v>
      </c>
      <c r="J49" s="47">
        <f t="shared" si="4"/>
        <v>0</v>
      </c>
      <c r="K49" s="21">
        <f t="shared" si="3"/>
        <v>75.518845907746709</v>
      </c>
    </row>
    <row r="50" spans="1:11" s="22" customFormat="1" x14ac:dyDescent="0.35">
      <c r="A50" s="19">
        <v>38</v>
      </c>
      <c r="B50" s="19">
        <v>96146</v>
      </c>
      <c r="C50" s="20" t="s">
        <v>331</v>
      </c>
      <c r="D50" s="116"/>
      <c r="E50" s="410">
        <v>7.0000000000000007E-2</v>
      </c>
      <c r="F50" s="47">
        <f t="shared" si="5"/>
        <v>0</v>
      </c>
      <c r="G50" s="21">
        <f t="shared" si="2"/>
        <v>10.57263842708454</v>
      </c>
      <c r="H50" s="150">
        <v>0</v>
      </c>
      <c r="I50" s="410">
        <v>7.0000000000000007E-2</v>
      </c>
      <c r="J50" s="47">
        <f t="shared" si="4"/>
        <v>0</v>
      </c>
      <c r="K50" s="21">
        <f t="shared" si="3"/>
        <v>10.57263842708454</v>
      </c>
    </row>
    <row r="51" spans="1:11" s="22" customFormat="1" x14ac:dyDescent="0.35">
      <c r="A51" s="19">
        <v>39</v>
      </c>
      <c r="B51" s="19">
        <v>96372</v>
      </c>
      <c r="C51" s="20" t="s">
        <v>118</v>
      </c>
      <c r="D51" s="116"/>
      <c r="E51" s="410">
        <v>0.43</v>
      </c>
      <c r="F51" s="47">
        <f t="shared" si="5"/>
        <v>0</v>
      </c>
      <c r="G51" s="21">
        <f t="shared" si="2"/>
        <v>64.946207480662167</v>
      </c>
      <c r="H51" s="150">
        <v>0</v>
      </c>
      <c r="I51" s="410">
        <v>0.43</v>
      </c>
      <c r="J51" s="47">
        <f t="shared" si="4"/>
        <v>0</v>
      </c>
      <c r="K51" s="21">
        <f t="shared" si="3"/>
        <v>64.946207480662167</v>
      </c>
    </row>
    <row r="52" spans="1:11" s="22" customFormat="1" x14ac:dyDescent="0.35">
      <c r="A52" s="19">
        <v>40</v>
      </c>
      <c r="B52" s="19">
        <v>97535</v>
      </c>
      <c r="C52" s="20" t="s">
        <v>119</v>
      </c>
      <c r="D52" s="116"/>
      <c r="E52" s="410">
        <v>0.98</v>
      </c>
      <c r="F52" s="47">
        <f t="shared" si="5"/>
        <v>0</v>
      </c>
      <c r="G52" s="21">
        <f t="shared" si="2"/>
        <v>148.01693797918355</v>
      </c>
      <c r="H52" s="150">
        <v>0</v>
      </c>
      <c r="I52" s="410">
        <v>0.98</v>
      </c>
      <c r="J52" s="47">
        <f t="shared" si="4"/>
        <v>0</v>
      </c>
      <c r="K52" s="21">
        <f t="shared" si="3"/>
        <v>148.01693797918355</v>
      </c>
    </row>
    <row r="53" spans="1:11" s="22" customFormat="1" x14ac:dyDescent="0.35">
      <c r="A53" s="19">
        <v>41</v>
      </c>
      <c r="B53" s="19">
        <v>97537</v>
      </c>
      <c r="C53" s="20" t="s">
        <v>120</v>
      </c>
      <c r="D53" s="116"/>
      <c r="E53" s="410">
        <v>0.95</v>
      </c>
      <c r="F53" s="47">
        <f t="shared" si="5"/>
        <v>0</v>
      </c>
      <c r="G53" s="21">
        <f t="shared" si="2"/>
        <v>143.48580722471874</v>
      </c>
      <c r="H53" s="150">
        <v>0</v>
      </c>
      <c r="I53" s="410">
        <v>0.95</v>
      </c>
      <c r="J53" s="47">
        <f t="shared" si="4"/>
        <v>0</v>
      </c>
      <c r="K53" s="21">
        <f t="shared" si="3"/>
        <v>143.48580722471874</v>
      </c>
    </row>
    <row r="54" spans="1:11" s="22" customFormat="1" x14ac:dyDescent="0.35">
      <c r="A54" s="19">
        <v>42</v>
      </c>
      <c r="B54" s="19">
        <v>98966</v>
      </c>
      <c r="C54" s="20" t="s">
        <v>342</v>
      </c>
      <c r="D54" s="116"/>
      <c r="E54" s="410">
        <v>0.39</v>
      </c>
      <c r="F54" s="47">
        <f t="shared" si="5"/>
        <v>0</v>
      </c>
      <c r="G54" s="21">
        <f t="shared" si="2"/>
        <v>58.904699808042437</v>
      </c>
      <c r="H54" s="150">
        <v>0</v>
      </c>
      <c r="I54" s="410">
        <v>0.34</v>
      </c>
      <c r="J54" s="47">
        <f t="shared" si="4"/>
        <v>0</v>
      </c>
      <c r="K54" s="21">
        <f t="shared" si="3"/>
        <v>51.352815217267768</v>
      </c>
    </row>
    <row r="55" spans="1:11" s="22" customFormat="1" x14ac:dyDescent="0.35">
      <c r="A55" s="19">
        <v>43</v>
      </c>
      <c r="B55" s="19">
        <v>98967</v>
      </c>
      <c r="C55" s="20" t="s">
        <v>343</v>
      </c>
      <c r="D55" s="116"/>
      <c r="E55" s="410">
        <v>0.72</v>
      </c>
      <c r="F55" s="47">
        <f t="shared" si="5"/>
        <v>0</v>
      </c>
      <c r="G55" s="21">
        <f t="shared" si="2"/>
        <v>108.74713810715525</v>
      </c>
      <c r="H55" s="150">
        <v>0</v>
      </c>
      <c r="I55" s="410">
        <v>0.66</v>
      </c>
      <c r="J55" s="47">
        <f t="shared" si="4"/>
        <v>0</v>
      </c>
      <c r="K55" s="21">
        <f t="shared" si="3"/>
        <v>99.684876598225657</v>
      </c>
    </row>
    <row r="56" spans="1:11" s="22" customFormat="1" x14ac:dyDescent="0.35">
      <c r="A56" s="19">
        <v>44</v>
      </c>
      <c r="B56" s="19">
        <v>98968</v>
      </c>
      <c r="C56" s="20" t="s">
        <v>344</v>
      </c>
      <c r="D56" s="116"/>
      <c r="E56" s="410">
        <v>0.99</v>
      </c>
      <c r="F56" s="47">
        <f t="shared" si="5"/>
        <v>0</v>
      </c>
      <c r="G56" s="21">
        <f t="shared" si="2"/>
        <v>149.52731489733847</v>
      </c>
      <c r="H56" s="150">
        <v>0</v>
      </c>
      <c r="I56" s="410">
        <v>0.92</v>
      </c>
      <c r="J56" s="47">
        <f t="shared" si="4"/>
        <v>0</v>
      </c>
      <c r="K56" s="21">
        <f t="shared" si="3"/>
        <v>138.95467647025396</v>
      </c>
    </row>
    <row r="57" spans="1:11" s="22" customFormat="1" x14ac:dyDescent="0.35">
      <c r="A57" s="19">
        <v>45</v>
      </c>
      <c r="B57" s="19">
        <v>99202</v>
      </c>
      <c r="C57" s="20" t="s">
        <v>154</v>
      </c>
      <c r="D57" s="116"/>
      <c r="E57" s="410">
        <v>2.17</v>
      </c>
      <c r="F57" s="47">
        <f t="shared" si="5"/>
        <v>0</v>
      </c>
      <c r="G57" s="21">
        <f t="shared" si="2"/>
        <v>327.75179123962073</v>
      </c>
      <c r="H57" s="150">
        <v>0</v>
      </c>
      <c r="I57" s="410">
        <v>1.41</v>
      </c>
      <c r="J57" s="47">
        <f t="shared" si="4"/>
        <v>0</v>
      </c>
      <c r="K57" s="21">
        <f t="shared" si="3"/>
        <v>212.96314545984572</v>
      </c>
    </row>
    <row r="58" spans="1:11" s="22" customFormat="1" x14ac:dyDescent="0.35">
      <c r="A58" s="19">
        <v>46</v>
      </c>
      <c r="B58" s="19">
        <v>99203</v>
      </c>
      <c r="C58" s="20" t="s">
        <v>154</v>
      </c>
      <c r="D58" s="116"/>
      <c r="E58" s="410">
        <v>3.35</v>
      </c>
      <c r="F58" s="47">
        <f t="shared" si="5"/>
        <v>0</v>
      </c>
      <c r="G58" s="21">
        <f t="shared" si="2"/>
        <v>505.97626758190296</v>
      </c>
      <c r="H58" s="150">
        <v>2</v>
      </c>
      <c r="I58" s="410">
        <v>2.44</v>
      </c>
      <c r="J58" s="47">
        <f t="shared" si="4"/>
        <v>4.88</v>
      </c>
      <c r="K58" s="21">
        <f t="shared" si="3"/>
        <v>368.53196802980392</v>
      </c>
    </row>
    <row r="59" spans="1:11" s="22" customFormat="1" x14ac:dyDescent="0.35">
      <c r="A59" s="19">
        <v>47</v>
      </c>
      <c r="B59" s="19">
        <v>99204</v>
      </c>
      <c r="C59" s="20" t="s">
        <v>154</v>
      </c>
      <c r="D59" s="116"/>
      <c r="E59" s="410">
        <v>5.0199999999999996</v>
      </c>
      <c r="F59" s="47">
        <f t="shared" si="5"/>
        <v>0</v>
      </c>
      <c r="G59" s="21">
        <f t="shared" si="2"/>
        <v>758.20921291377692</v>
      </c>
      <c r="H59" s="150">
        <v>9</v>
      </c>
      <c r="I59" s="410">
        <v>3.97</v>
      </c>
      <c r="J59" s="47">
        <f t="shared" si="4"/>
        <v>35.730000000000004</v>
      </c>
      <c r="K59" s="21">
        <f t="shared" si="3"/>
        <v>599.61963650750886</v>
      </c>
    </row>
    <row r="60" spans="1:11" s="22" customFormat="1" x14ac:dyDescent="0.35">
      <c r="A60" s="19">
        <v>48</v>
      </c>
      <c r="B60" s="19">
        <v>99205</v>
      </c>
      <c r="C60" s="20" t="s">
        <v>154</v>
      </c>
      <c r="D60" s="116"/>
      <c r="E60" s="410">
        <v>6.62</v>
      </c>
      <c r="F60" s="47">
        <f t="shared" si="5"/>
        <v>0</v>
      </c>
      <c r="G60" s="21">
        <f t="shared" si="2"/>
        <v>999.86951981856646</v>
      </c>
      <c r="H60" s="150">
        <v>47</v>
      </c>
      <c r="I60" s="410">
        <v>5.4</v>
      </c>
      <c r="J60" s="47">
        <f t="shared" si="4"/>
        <v>253.8</v>
      </c>
      <c r="K60" s="21">
        <f t="shared" si="3"/>
        <v>815.6035358036645</v>
      </c>
    </row>
    <row r="61" spans="1:11" s="22" customFormat="1" ht="43.5" x14ac:dyDescent="0.35">
      <c r="A61" s="19">
        <v>49</v>
      </c>
      <c r="B61" s="19">
        <v>99211</v>
      </c>
      <c r="C61" s="20" t="s">
        <v>345</v>
      </c>
      <c r="D61" s="116"/>
      <c r="E61" s="410">
        <v>0.7</v>
      </c>
      <c r="F61" s="47">
        <f t="shared" si="5"/>
        <v>0</v>
      </c>
      <c r="G61" s="21">
        <f t="shared" si="2"/>
        <v>105.72638427084539</v>
      </c>
      <c r="H61" s="150">
        <v>1</v>
      </c>
      <c r="I61" s="410">
        <v>0.26</v>
      </c>
      <c r="J61" s="47">
        <f t="shared" si="4"/>
        <v>0.26</v>
      </c>
      <c r="K61" s="21">
        <f t="shared" si="3"/>
        <v>39.269799872028287</v>
      </c>
    </row>
    <row r="62" spans="1:11" s="22" customFormat="1" x14ac:dyDescent="0.35">
      <c r="A62" s="19">
        <v>50</v>
      </c>
      <c r="B62" s="19">
        <v>99212</v>
      </c>
      <c r="C62" s="20" t="s">
        <v>155</v>
      </c>
      <c r="D62" s="116"/>
      <c r="E62" s="410">
        <v>1.7</v>
      </c>
      <c r="F62" s="47">
        <f t="shared" si="5"/>
        <v>0</v>
      </c>
      <c r="G62" s="21">
        <f t="shared" si="2"/>
        <v>256.76407608633878</v>
      </c>
      <c r="H62" s="150">
        <v>0</v>
      </c>
      <c r="I62" s="410">
        <v>1.05</v>
      </c>
      <c r="J62" s="47">
        <f t="shared" si="4"/>
        <v>0</v>
      </c>
      <c r="K62" s="21">
        <f t="shared" si="3"/>
        <v>158.58957640626809</v>
      </c>
    </row>
    <row r="63" spans="1:11" s="22" customFormat="1" x14ac:dyDescent="0.35">
      <c r="A63" s="19">
        <v>51</v>
      </c>
      <c r="B63" s="19">
        <v>99213</v>
      </c>
      <c r="C63" s="20" t="s">
        <v>155</v>
      </c>
      <c r="D63" s="116"/>
      <c r="E63" s="410">
        <v>2.73</v>
      </c>
      <c r="F63" s="47">
        <f t="shared" si="5"/>
        <v>0</v>
      </c>
      <c r="G63" s="21">
        <f t="shared" si="2"/>
        <v>412.332898656297</v>
      </c>
      <c r="H63" s="150">
        <v>71</v>
      </c>
      <c r="I63" s="410">
        <v>1.96</v>
      </c>
      <c r="J63" s="47">
        <f t="shared" si="4"/>
        <v>139.16</v>
      </c>
      <c r="K63" s="21">
        <f t="shared" si="3"/>
        <v>296.0338759583671</v>
      </c>
    </row>
    <row r="64" spans="1:11" s="22" customFormat="1" x14ac:dyDescent="0.35">
      <c r="A64" s="19">
        <v>52</v>
      </c>
      <c r="B64" s="19">
        <v>99214</v>
      </c>
      <c r="C64" s="20" t="s">
        <v>155</v>
      </c>
      <c r="D64" s="116"/>
      <c r="E64" s="410">
        <v>3.85</v>
      </c>
      <c r="F64" s="47">
        <f t="shared" si="5"/>
        <v>0</v>
      </c>
      <c r="G64" s="21">
        <f t="shared" si="2"/>
        <v>581.49511348964973</v>
      </c>
      <c r="H64" s="150">
        <v>1300</v>
      </c>
      <c r="I64" s="410">
        <v>2.89</v>
      </c>
      <c r="J64" s="47">
        <f t="shared" si="4"/>
        <v>3757</v>
      </c>
      <c r="K64" s="21">
        <f t="shared" si="3"/>
        <v>436.49892934677598</v>
      </c>
    </row>
    <row r="65" spans="1:11" s="22" customFormat="1" x14ac:dyDescent="0.35">
      <c r="A65" s="19">
        <v>53</v>
      </c>
      <c r="B65" s="19">
        <v>99215</v>
      </c>
      <c r="C65" s="20" t="s">
        <v>155</v>
      </c>
      <c r="D65" s="116"/>
      <c r="E65" s="410">
        <v>5.42</v>
      </c>
      <c r="F65" s="47">
        <f t="shared" si="5"/>
        <v>0</v>
      </c>
      <c r="G65" s="21">
        <f t="shared" si="2"/>
        <v>818.62428963997434</v>
      </c>
      <c r="H65" s="150">
        <v>5546</v>
      </c>
      <c r="I65" s="410">
        <v>4.29</v>
      </c>
      <c r="J65" s="47">
        <f t="shared" si="4"/>
        <v>23792.34</v>
      </c>
      <c r="K65" s="21">
        <f t="shared" si="3"/>
        <v>647.95169788846681</v>
      </c>
    </row>
    <row r="66" spans="1:11" s="22" customFormat="1" x14ac:dyDescent="0.35">
      <c r="A66" s="19">
        <v>54</v>
      </c>
      <c r="B66" s="19">
        <v>99221</v>
      </c>
      <c r="C66" s="20" t="s">
        <v>121</v>
      </c>
      <c r="D66" s="116"/>
      <c r="E66" s="410">
        <v>2.46</v>
      </c>
      <c r="F66" s="47">
        <f t="shared" si="5"/>
        <v>0</v>
      </c>
      <c r="G66" s="21">
        <f t="shared" si="2"/>
        <v>371.55272186611381</v>
      </c>
      <c r="H66" s="150">
        <v>0</v>
      </c>
      <c r="I66" s="410">
        <v>2.46</v>
      </c>
      <c r="J66" s="47">
        <f t="shared" si="4"/>
        <v>0</v>
      </c>
      <c r="K66" s="21">
        <f t="shared" si="3"/>
        <v>371.55272186611381</v>
      </c>
    </row>
    <row r="67" spans="1:11" s="22" customFormat="1" x14ac:dyDescent="0.35">
      <c r="A67" s="19">
        <v>55</v>
      </c>
      <c r="B67" s="19">
        <v>99222</v>
      </c>
      <c r="C67" s="20" t="s">
        <v>122</v>
      </c>
      <c r="D67" s="116"/>
      <c r="E67" s="410">
        <v>3.88</v>
      </c>
      <c r="F67" s="47">
        <f t="shared" si="5"/>
        <v>0</v>
      </c>
      <c r="G67" s="21">
        <f t="shared" si="2"/>
        <v>586.02624424411442</v>
      </c>
      <c r="H67" s="150">
        <v>0</v>
      </c>
      <c r="I67" s="410">
        <v>3.88</v>
      </c>
      <c r="J67" s="47">
        <f t="shared" si="4"/>
        <v>0</v>
      </c>
      <c r="K67" s="21">
        <f t="shared" si="3"/>
        <v>586.02624424411442</v>
      </c>
    </row>
    <row r="68" spans="1:11" s="22" customFormat="1" x14ac:dyDescent="0.35">
      <c r="A68" s="19">
        <v>56</v>
      </c>
      <c r="B68" s="19">
        <v>99223</v>
      </c>
      <c r="C68" s="20" t="s">
        <v>123</v>
      </c>
      <c r="D68" s="116"/>
      <c r="E68" s="410">
        <v>5.14</v>
      </c>
      <c r="F68" s="47">
        <f t="shared" si="5"/>
        <v>0</v>
      </c>
      <c r="G68" s="21">
        <f t="shared" si="2"/>
        <v>776.33373593163617</v>
      </c>
      <c r="H68" s="150">
        <v>0</v>
      </c>
      <c r="I68" s="410">
        <v>5.14</v>
      </c>
      <c r="J68" s="47">
        <f t="shared" si="4"/>
        <v>0</v>
      </c>
      <c r="K68" s="21">
        <f t="shared" si="3"/>
        <v>776.33373593163617</v>
      </c>
    </row>
    <row r="69" spans="1:11" s="22" customFormat="1" x14ac:dyDescent="0.35">
      <c r="A69" s="19">
        <v>57</v>
      </c>
      <c r="B69" s="19">
        <v>99231</v>
      </c>
      <c r="C69" s="20" t="s">
        <v>124</v>
      </c>
      <c r="D69" s="116"/>
      <c r="E69" s="410">
        <v>1.47</v>
      </c>
      <c r="F69" s="47">
        <f t="shared" si="5"/>
        <v>0</v>
      </c>
      <c r="G69" s="21">
        <f t="shared" si="2"/>
        <v>222.02540696877531</v>
      </c>
      <c r="H69" s="150">
        <v>0</v>
      </c>
      <c r="I69" s="410">
        <v>1.47</v>
      </c>
      <c r="J69" s="47">
        <f t="shared" si="4"/>
        <v>0</v>
      </c>
      <c r="K69" s="21">
        <f t="shared" si="3"/>
        <v>222.02540696877531</v>
      </c>
    </row>
    <row r="70" spans="1:11" s="22" customFormat="1" x14ac:dyDescent="0.35">
      <c r="A70" s="19">
        <v>58</v>
      </c>
      <c r="B70" s="19">
        <v>99232</v>
      </c>
      <c r="C70" s="20" t="s">
        <v>125</v>
      </c>
      <c r="D70" s="116"/>
      <c r="E70" s="410">
        <v>2.34</v>
      </c>
      <c r="F70" s="47">
        <f t="shared" si="5"/>
        <v>0</v>
      </c>
      <c r="G70" s="21">
        <f t="shared" si="2"/>
        <v>353.42819884825457</v>
      </c>
      <c r="H70" s="150">
        <v>0</v>
      </c>
      <c r="I70" s="410">
        <v>2.34</v>
      </c>
      <c r="J70" s="47">
        <f t="shared" si="4"/>
        <v>0</v>
      </c>
      <c r="K70" s="21">
        <f t="shared" si="3"/>
        <v>353.42819884825457</v>
      </c>
    </row>
    <row r="71" spans="1:11" s="22" customFormat="1" x14ac:dyDescent="0.35">
      <c r="A71" s="19">
        <v>59</v>
      </c>
      <c r="B71" s="19">
        <v>99233</v>
      </c>
      <c r="C71" s="20" t="s">
        <v>126</v>
      </c>
      <c r="D71" s="116"/>
      <c r="E71" s="410">
        <v>3.52</v>
      </c>
      <c r="F71" s="47">
        <f t="shared" si="5"/>
        <v>0</v>
      </c>
      <c r="G71" s="21">
        <f t="shared" si="2"/>
        <v>531.6526751905368</v>
      </c>
      <c r="H71" s="150">
        <v>0</v>
      </c>
      <c r="I71" s="410">
        <v>3.52</v>
      </c>
      <c r="J71" s="47">
        <f t="shared" si="4"/>
        <v>0</v>
      </c>
      <c r="K71" s="21">
        <f t="shared" si="3"/>
        <v>531.6526751905368</v>
      </c>
    </row>
    <row r="72" spans="1:11" s="22" customFormat="1" ht="29" x14ac:dyDescent="0.35">
      <c r="A72" s="19">
        <v>60</v>
      </c>
      <c r="B72" s="19">
        <v>99234</v>
      </c>
      <c r="C72" s="20" t="s">
        <v>360</v>
      </c>
      <c r="D72" s="116"/>
      <c r="E72" s="410">
        <v>2.9</v>
      </c>
      <c r="F72" s="47">
        <f t="shared" si="5"/>
        <v>0</v>
      </c>
      <c r="G72" s="21">
        <f t="shared" si="2"/>
        <v>438.0093062649309</v>
      </c>
      <c r="H72" s="150">
        <v>0</v>
      </c>
      <c r="I72" s="410">
        <v>2.9</v>
      </c>
      <c r="J72" s="47">
        <f t="shared" si="4"/>
        <v>0</v>
      </c>
      <c r="K72" s="21">
        <f t="shared" si="3"/>
        <v>438.0093062649309</v>
      </c>
    </row>
    <row r="73" spans="1:11" s="22" customFormat="1" ht="29" x14ac:dyDescent="0.35">
      <c r="A73" s="19">
        <v>61</v>
      </c>
      <c r="B73" s="19">
        <v>99235</v>
      </c>
      <c r="C73" s="20" t="s">
        <v>361</v>
      </c>
      <c r="D73" s="116"/>
      <c r="E73" s="410">
        <v>4.7300000000000004</v>
      </c>
      <c r="F73" s="47">
        <f t="shared" si="5"/>
        <v>0</v>
      </c>
      <c r="G73" s="21">
        <f t="shared" si="2"/>
        <v>714.4082822872839</v>
      </c>
      <c r="H73" s="150">
        <v>0</v>
      </c>
      <c r="I73" s="410">
        <v>4.7300000000000004</v>
      </c>
      <c r="J73" s="47">
        <f t="shared" si="4"/>
        <v>0</v>
      </c>
      <c r="K73" s="21">
        <f t="shared" si="3"/>
        <v>714.4082822872839</v>
      </c>
    </row>
    <row r="74" spans="1:11" s="22" customFormat="1" ht="29" x14ac:dyDescent="0.35">
      <c r="A74" s="19">
        <v>62</v>
      </c>
      <c r="B74" s="19">
        <v>99236</v>
      </c>
      <c r="C74" s="20" t="s">
        <v>362</v>
      </c>
      <c r="D74" s="116"/>
      <c r="E74" s="410">
        <v>6.18</v>
      </c>
      <c r="F74" s="47">
        <f t="shared" si="5"/>
        <v>0</v>
      </c>
      <c r="G74" s="21">
        <f t="shared" ref="G74:G123" si="6">E74*$F$12</f>
        <v>933.41293541974926</v>
      </c>
      <c r="H74" s="150">
        <v>0</v>
      </c>
      <c r="I74" s="410">
        <v>6.18</v>
      </c>
      <c r="J74" s="47">
        <f t="shared" si="4"/>
        <v>0</v>
      </c>
      <c r="K74" s="21">
        <f t="shared" ref="K74:K123" si="7">I74*$F$12</f>
        <v>933.41293541974926</v>
      </c>
    </row>
    <row r="75" spans="1:11" s="22" customFormat="1" x14ac:dyDescent="0.35">
      <c r="A75" s="19">
        <v>63</v>
      </c>
      <c r="B75" s="19">
        <v>99238</v>
      </c>
      <c r="C75" s="20" t="s">
        <v>346</v>
      </c>
      <c r="D75" s="116"/>
      <c r="E75" s="410">
        <v>2.41</v>
      </c>
      <c r="F75" s="47">
        <f t="shared" ref="F75:F123" si="8">D75*E75</f>
        <v>0</v>
      </c>
      <c r="G75" s="21">
        <f t="shared" si="6"/>
        <v>364.00083727533917</v>
      </c>
      <c r="H75" s="150">
        <v>0</v>
      </c>
      <c r="I75" s="410">
        <v>2.41</v>
      </c>
      <c r="J75" s="47">
        <f t="shared" ref="J75:J123" si="9">H75*I75</f>
        <v>0</v>
      </c>
      <c r="K75" s="21">
        <f t="shared" si="7"/>
        <v>364.00083727533917</v>
      </c>
    </row>
    <row r="76" spans="1:11" s="22" customFormat="1" x14ac:dyDescent="0.35">
      <c r="A76" s="19">
        <v>64</v>
      </c>
      <c r="B76" s="19">
        <v>99239</v>
      </c>
      <c r="C76" s="20" t="s">
        <v>127</v>
      </c>
      <c r="D76" s="116"/>
      <c r="E76" s="410">
        <v>3.4</v>
      </c>
      <c r="F76" s="47">
        <f t="shared" si="8"/>
        <v>0</v>
      </c>
      <c r="G76" s="21">
        <f t="shared" si="6"/>
        <v>513.52815217267755</v>
      </c>
      <c r="H76" s="150">
        <v>0</v>
      </c>
      <c r="I76" s="410">
        <v>3.4</v>
      </c>
      <c r="J76" s="47">
        <f t="shared" si="9"/>
        <v>0</v>
      </c>
      <c r="K76" s="21">
        <f t="shared" si="7"/>
        <v>513.52815217267755</v>
      </c>
    </row>
    <row r="77" spans="1:11" s="22" customFormat="1" x14ac:dyDescent="0.35">
      <c r="A77" s="19">
        <v>65</v>
      </c>
      <c r="B77" s="19">
        <v>99242</v>
      </c>
      <c r="C77" s="20" t="s">
        <v>347</v>
      </c>
      <c r="D77" s="116"/>
      <c r="E77" s="410">
        <v>2.25</v>
      </c>
      <c r="F77" s="148">
        <f t="shared" si="8"/>
        <v>0</v>
      </c>
      <c r="G77" s="149">
        <f t="shared" si="6"/>
        <v>339.83480658486019</v>
      </c>
      <c r="H77" s="150">
        <v>0</v>
      </c>
      <c r="I77" s="410">
        <v>1.66</v>
      </c>
      <c r="J77" s="47">
        <f t="shared" si="9"/>
        <v>0</v>
      </c>
      <c r="K77" s="21">
        <f t="shared" si="7"/>
        <v>250.72256841371907</v>
      </c>
    </row>
    <row r="78" spans="1:11" s="22" customFormat="1" x14ac:dyDescent="0.35">
      <c r="A78" s="19">
        <v>66</v>
      </c>
      <c r="B78" s="19">
        <v>99243</v>
      </c>
      <c r="C78" s="20" t="s">
        <v>348</v>
      </c>
      <c r="D78" s="116"/>
      <c r="E78" s="410">
        <v>3.37</v>
      </c>
      <c r="F78" s="47">
        <f t="shared" si="8"/>
        <v>0</v>
      </c>
      <c r="G78" s="21">
        <f t="shared" si="6"/>
        <v>508.99702141821285</v>
      </c>
      <c r="H78" s="150">
        <v>0</v>
      </c>
      <c r="I78" s="410">
        <v>2.62</v>
      </c>
      <c r="J78" s="47">
        <f t="shared" si="9"/>
        <v>0</v>
      </c>
      <c r="K78" s="21">
        <f t="shared" si="7"/>
        <v>395.71875255659279</v>
      </c>
    </row>
    <row r="79" spans="1:11" s="22" customFormat="1" x14ac:dyDescent="0.35">
      <c r="A79" s="19">
        <v>67</v>
      </c>
      <c r="B79" s="19">
        <v>99244</v>
      </c>
      <c r="C79" s="20" t="s">
        <v>349</v>
      </c>
      <c r="D79" s="116"/>
      <c r="E79" s="410">
        <v>4.8099999999999996</v>
      </c>
      <c r="F79" s="47">
        <f t="shared" si="8"/>
        <v>0</v>
      </c>
      <c r="G79" s="21">
        <f t="shared" si="6"/>
        <v>726.49129763252324</v>
      </c>
      <c r="H79" s="150">
        <v>0</v>
      </c>
      <c r="I79" s="410">
        <v>3.99</v>
      </c>
      <c r="J79" s="47">
        <f t="shared" si="9"/>
        <v>0</v>
      </c>
      <c r="K79" s="21">
        <f t="shared" si="7"/>
        <v>602.64039034381881</v>
      </c>
    </row>
    <row r="80" spans="1:11" s="22" customFormat="1" x14ac:dyDescent="0.35">
      <c r="A80" s="19">
        <v>68</v>
      </c>
      <c r="B80" s="19">
        <v>99245</v>
      </c>
      <c r="C80" s="20" t="s">
        <v>350</v>
      </c>
      <c r="D80" s="116"/>
      <c r="E80" s="410">
        <v>6.28</v>
      </c>
      <c r="F80" s="47">
        <f t="shared" si="8"/>
        <v>0</v>
      </c>
      <c r="G80" s="21">
        <f t="shared" si="6"/>
        <v>948.51670460129867</v>
      </c>
      <c r="H80" s="150">
        <v>0</v>
      </c>
      <c r="I80" s="410">
        <v>5.36</v>
      </c>
      <c r="J80" s="47">
        <f t="shared" si="9"/>
        <v>0</v>
      </c>
      <c r="K80" s="21">
        <f t="shared" si="7"/>
        <v>809.56202813104471</v>
      </c>
    </row>
    <row r="81" spans="1:11" s="22" customFormat="1" x14ac:dyDescent="0.35">
      <c r="A81" s="19">
        <v>69</v>
      </c>
      <c r="B81" s="19">
        <v>99252</v>
      </c>
      <c r="C81" s="20" t="s">
        <v>351</v>
      </c>
      <c r="D81" s="116"/>
      <c r="E81" s="410">
        <v>2.11</v>
      </c>
      <c r="F81" s="47">
        <f t="shared" si="8"/>
        <v>0</v>
      </c>
      <c r="G81" s="21">
        <f t="shared" si="6"/>
        <v>318.68952973069111</v>
      </c>
      <c r="H81" s="150">
        <v>0</v>
      </c>
      <c r="I81" s="410">
        <v>2.11</v>
      </c>
      <c r="J81" s="47">
        <f t="shared" si="9"/>
        <v>0</v>
      </c>
      <c r="K81" s="21">
        <f t="shared" si="7"/>
        <v>318.68952973069111</v>
      </c>
    </row>
    <row r="82" spans="1:11" s="22" customFormat="1" x14ac:dyDescent="0.35">
      <c r="A82" s="19">
        <v>70</v>
      </c>
      <c r="B82" s="19">
        <v>99253</v>
      </c>
      <c r="C82" s="20" t="s">
        <v>352</v>
      </c>
      <c r="D82" s="116"/>
      <c r="E82" s="410">
        <v>2.96</v>
      </c>
      <c r="F82" s="47">
        <f t="shared" si="8"/>
        <v>0</v>
      </c>
      <c r="G82" s="21">
        <f t="shared" si="6"/>
        <v>447.07156777386052</v>
      </c>
      <c r="H82" s="150">
        <v>0</v>
      </c>
      <c r="I82" s="410">
        <v>2.96</v>
      </c>
      <c r="J82" s="47">
        <f t="shared" si="9"/>
        <v>0</v>
      </c>
      <c r="K82" s="21">
        <f t="shared" si="7"/>
        <v>447.07156777386052</v>
      </c>
    </row>
    <row r="83" spans="1:11" s="22" customFormat="1" x14ac:dyDescent="0.35">
      <c r="A83" s="19">
        <v>71</v>
      </c>
      <c r="B83" s="19">
        <v>99254</v>
      </c>
      <c r="C83" s="20" t="s">
        <v>353</v>
      </c>
      <c r="D83" s="116"/>
      <c r="E83" s="410">
        <v>4.1100000000000003</v>
      </c>
      <c r="F83" s="47">
        <f t="shared" si="8"/>
        <v>0</v>
      </c>
      <c r="G83" s="21">
        <f t="shared" si="6"/>
        <v>620.76491336167794</v>
      </c>
      <c r="H83" s="150">
        <v>0</v>
      </c>
      <c r="I83" s="410">
        <v>4.1100000000000003</v>
      </c>
      <c r="J83" s="47">
        <f t="shared" si="9"/>
        <v>0</v>
      </c>
      <c r="K83" s="21">
        <f t="shared" si="7"/>
        <v>620.76491336167794</v>
      </c>
    </row>
    <row r="84" spans="1:11" s="22" customFormat="1" x14ac:dyDescent="0.35">
      <c r="A84" s="19">
        <v>72</v>
      </c>
      <c r="B84" s="19">
        <v>99255</v>
      </c>
      <c r="C84" s="20" t="s">
        <v>354</v>
      </c>
      <c r="D84" s="116"/>
      <c r="E84" s="410">
        <v>5.53</v>
      </c>
      <c r="F84" s="47">
        <f t="shared" si="8"/>
        <v>0</v>
      </c>
      <c r="G84" s="21">
        <f t="shared" si="6"/>
        <v>835.23843573967861</v>
      </c>
      <c r="H84" s="150">
        <v>0</v>
      </c>
      <c r="I84" s="410">
        <v>5.53</v>
      </c>
      <c r="J84" s="47">
        <f t="shared" si="9"/>
        <v>0</v>
      </c>
      <c r="K84" s="21">
        <f t="shared" si="7"/>
        <v>835.23843573967861</v>
      </c>
    </row>
    <row r="85" spans="1:11" s="22" customFormat="1" x14ac:dyDescent="0.35">
      <c r="A85" s="19">
        <v>73</v>
      </c>
      <c r="B85" s="19">
        <v>99281</v>
      </c>
      <c r="C85" s="20" t="s">
        <v>355</v>
      </c>
      <c r="D85" s="116"/>
      <c r="E85" s="410">
        <v>0.34</v>
      </c>
      <c r="F85" s="47">
        <f t="shared" si="8"/>
        <v>0</v>
      </c>
      <c r="G85" s="21">
        <f t="shared" si="6"/>
        <v>51.352815217267768</v>
      </c>
      <c r="H85" s="150">
        <v>0</v>
      </c>
      <c r="I85" s="410">
        <v>0.34</v>
      </c>
      <c r="J85" s="47">
        <f t="shared" si="9"/>
        <v>0</v>
      </c>
      <c r="K85" s="21">
        <f t="shared" si="7"/>
        <v>51.352815217267768</v>
      </c>
    </row>
    <row r="86" spans="1:11" s="22" customFormat="1" x14ac:dyDescent="0.35">
      <c r="A86" s="19">
        <v>74</v>
      </c>
      <c r="B86" s="19">
        <v>99282</v>
      </c>
      <c r="C86" s="20" t="s">
        <v>356</v>
      </c>
      <c r="D86" s="116"/>
      <c r="E86" s="410">
        <v>1.24</v>
      </c>
      <c r="F86" s="47">
        <f t="shared" si="8"/>
        <v>0</v>
      </c>
      <c r="G86" s="21">
        <f t="shared" si="6"/>
        <v>187.28673785121183</v>
      </c>
      <c r="H86" s="150">
        <v>0</v>
      </c>
      <c r="I86" s="410">
        <v>1.24</v>
      </c>
      <c r="J86" s="47">
        <f t="shared" si="9"/>
        <v>0</v>
      </c>
      <c r="K86" s="21">
        <f t="shared" si="7"/>
        <v>187.28673785121183</v>
      </c>
    </row>
    <row r="87" spans="1:11" s="22" customFormat="1" x14ac:dyDescent="0.35">
      <c r="A87" s="19">
        <v>75</v>
      </c>
      <c r="B87" s="19">
        <v>99283</v>
      </c>
      <c r="C87" s="20" t="s">
        <v>357</v>
      </c>
      <c r="D87" s="116"/>
      <c r="E87" s="410">
        <v>2.11</v>
      </c>
      <c r="F87" s="47">
        <f t="shared" si="8"/>
        <v>0</v>
      </c>
      <c r="G87" s="21">
        <f t="shared" si="6"/>
        <v>318.68952973069111</v>
      </c>
      <c r="H87" s="150">
        <v>0</v>
      </c>
      <c r="I87" s="410">
        <v>2.11</v>
      </c>
      <c r="J87" s="47">
        <f t="shared" si="9"/>
        <v>0</v>
      </c>
      <c r="K87" s="21">
        <f t="shared" si="7"/>
        <v>318.68952973069111</v>
      </c>
    </row>
    <row r="88" spans="1:11" s="22" customFormat="1" x14ac:dyDescent="0.35">
      <c r="A88" s="19">
        <v>76</v>
      </c>
      <c r="B88" s="19">
        <v>99284</v>
      </c>
      <c r="C88" s="20" t="s">
        <v>358</v>
      </c>
      <c r="D88" s="116"/>
      <c r="E88" s="410">
        <v>3.59</v>
      </c>
      <c r="F88" s="47">
        <f t="shared" si="8"/>
        <v>0</v>
      </c>
      <c r="G88" s="21">
        <f t="shared" si="6"/>
        <v>542.2253136176214</v>
      </c>
      <c r="H88" s="150">
        <v>0</v>
      </c>
      <c r="I88" s="410">
        <v>3.59</v>
      </c>
      <c r="J88" s="47">
        <f t="shared" si="9"/>
        <v>0</v>
      </c>
      <c r="K88" s="21">
        <f t="shared" si="7"/>
        <v>542.2253136176214</v>
      </c>
    </row>
    <row r="89" spans="1:11" s="22" customFormat="1" x14ac:dyDescent="0.35">
      <c r="A89" s="19">
        <v>77</v>
      </c>
      <c r="B89" s="19">
        <v>99285</v>
      </c>
      <c r="C89" s="20" t="s">
        <v>359</v>
      </c>
      <c r="D89" s="116"/>
      <c r="E89" s="410">
        <v>5.2</v>
      </c>
      <c r="F89" s="47">
        <f t="shared" si="8"/>
        <v>0</v>
      </c>
      <c r="G89" s="21">
        <f t="shared" si="6"/>
        <v>785.39599744056579</v>
      </c>
      <c r="H89" s="150">
        <v>0</v>
      </c>
      <c r="I89" s="410">
        <v>5.2</v>
      </c>
      <c r="J89" s="47">
        <f t="shared" si="9"/>
        <v>0</v>
      </c>
      <c r="K89" s="21">
        <f t="shared" si="7"/>
        <v>785.39599744056579</v>
      </c>
    </row>
    <row r="90" spans="1:11" s="22" customFormat="1" x14ac:dyDescent="0.35">
      <c r="A90" s="19">
        <v>78</v>
      </c>
      <c r="B90" s="19">
        <v>99304</v>
      </c>
      <c r="C90" s="20" t="s">
        <v>363</v>
      </c>
      <c r="D90" s="116"/>
      <c r="E90" s="410">
        <v>2.39</v>
      </c>
      <c r="F90" s="47">
        <f t="shared" si="8"/>
        <v>0</v>
      </c>
      <c r="G90" s="21">
        <f t="shared" si="6"/>
        <v>360.98008343902927</v>
      </c>
      <c r="H90" s="150">
        <v>0</v>
      </c>
      <c r="I90" s="410">
        <v>2.39</v>
      </c>
      <c r="J90" s="47">
        <f t="shared" si="9"/>
        <v>0</v>
      </c>
      <c r="K90" s="21">
        <f t="shared" si="7"/>
        <v>360.98008343902927</v>
      </c>
    </row>
    <row r="91" spans="1:11" s="22" customFormat="1" x14ac:dyDescent="0.35">
      <c r="A91" s="19">
        <v>79</v>
      </c>
      <c r="B91" s="19">
        <v>99305</v>
      </c>
      <c r="C91" s="20" t="s">
        <v>364</v>
      </c>
      <c r="D91" s="116"/>
      <c r="E91" s="410">
        <v>3.97</v>
      </c>
      <c r="F91" s="47">
        <f t="shared" si="8"/>
        <v>0</v>
      </c>
      <c r="G91" s="21">
        <f t="shared" si="6"/>
        <v>599.61963650750886</v>
      </c>
      <c r="H91" s="150">
        <v>0</v>
      </c>
      <c r="I91" s="410">
        <v>3.97</v>
      </c>
      <c r="J91" s="47">
        <f t="shared" si="9"/>
        <v>0</v>
      </c>
      <c r="K91" s="21">
        <f t="shared" si="7"/>
        <v>599.61963650750886</v>
      </c>
    </row>
    <row r="92" spans="1:11" s="22" customFormat="1" x14ac:dyDescent="0.35">
      <c r="A92" s="19">
        <v>80</v>
      </c>
      <c r="B92" s="19">
        <v>99306</v>
      </c>
      <c r="C92" s="20" t="s">
        <v>365</v>
      </c>
      <c r="D92" s="116"/>
      <c r="E92" s="410">
        <v>5.42</v>
      </c>
      <c r="F92" s="47">
        <f t="shared" si="8"/>
        <v>0</v>
      </c>
      <c r="G92" s="21">
        <f t="shared" si="6"/>
        <v>818.62428963997434</v>
      </c>
      <c r="H92" s="150">
        <v>0</v>
      </c>
      <c r="I92" s="410">
        <v>5.42</v>
      </c>
      <c r="J92" s="47">
        <f t="shared" si="9"/>
        <v>0</v>
      </c>
      <c r="K92" s="21">
        <f t="shared" si="7"/>
        <v>818.62428963997434</v>
      </c>
    </row>
    <row r="93" spans="1:11" s="22" customFormat="1" x14ac:dyDescent="0.35">
      <c r="A93" s="19">
        <v>81</v>
      </c>
      <c r="B93" s="19">
        <v>99307</v>
      </c>
      <c r="C93" s="20" t="s">
        <v>366</v>
      </c>
      <c r="D93" s="116"/>
      <c r="E93" s="410">
        <v>1.2</v>
      </c>
      <c r="F93" s="47">
        <f t="shared" si="8"/>
        <v>0</v>
      </c>
      <c r="G93" s="21">
        <f t="shared" si="6"/>
        <v>181.2452301785921</v>
      </c>
      <c r="H93" s="150">
        <v>0</v>
      </c>
      <c r="I93" s="410">
        <v>1.2</v>
      </c>
      <c r="J93" s="47">
        <f t="shared" si="9"/>
        <v>0</v>
      </c>
      <c r="K93" s="21">
        <f t="shared" si="7"/>
        <v>181.2452301785921</v>
      </c>
    </row>
    <row r="94" spans="1:11" s="22" customFormat="1" x14ac:dyDescent="0.35">
      <c r="A94" s="19">
        <v>82</v>
      </c>
      <c r="B94" s="19">
        <v>99308</v>
      </c>
      <c r="C94" s="20" t="s">
        <v>367</v>
      </c>
      <c r="D94" s="116"/>
      <c r="E94" s="410">
        <v>2.2200000000000002</v>
      </c>
      <c r="F94" s="47">
        <f t="shared" si="8"/>
        <v>0</v>
      </c>
      <c r="G94" s="21">
        <f t="shared" si="6"/>
        <v>335.30367583039543</v>
      </c>
      <c r="H94" s="150">
        <v>0</v>
      </c>
      <c r="I94" s="410">
        <v>2.2200000000000002</v>
      </c>
      <c r="J94" s="47">
        <f t="shared" si="9"/>
        <v>0</v>
      </c>
      <c r="K94" s="21">
        <f t="shared" si="7"/>
        <v>335.30367583039543</v>
      </c>
    </row>
    <row r="95" spans="1:11" s="22" customFormat="1" x14ac:dyDescent="0.35">
      <c r="A95" s="19">
        <v>83</v>
      </c>
      <c r="B95" s="19">
        <v>99309</v>
      </c>
      <c r="C95" s="20" t="s">
        <v>368</v>
      </c>
      <c r="D95" s="116"/>
      <c r="E95" s="410">
        <v>3.21</v>
      </c>
      <c r="F95" s="47">
        <f t="shared" si="8"/>
        <v>0</v>
      </c>
      <c r="G95" s="21">
        <f t="shared" si="6"/>
        <v>484.83099072773388</v>
      </c>
      <c r="H95" s="150">
        <v>0</v>
      </c>
      <c r="I95" s="410">
        <v>3.21</v>
      </c>
      <c r="J95" s="47">
        <f t="shared" si="9"/>
        <v>0</v>
      </c>
      <c r="K95" s="21">
        <f t="shared" si="7"/>
        <v>484.83099072773388</v>
      </c>
    </row>
    <row r="96" spans="1:11" s="22" customFormat="1" x14ac:dyDescent="0.35">
      <c r="A96" s="19">
        <v>84</v>
      </c>
      <c r="B96" s="19">
        <v>99310</v>
      </c>
      <c r="C96" s="20" t="s">
        <v>369</v>
      </c>
      <c r="D96" s="116"/>
      <c r="E96" s="410">
        <v>4.58</v>
      </c>
      <c r="F96" s="47">
        <f t="shared" si="8"/>
        <v>0</v>
      </c>
      <c r="G96" s="21">
        <f t="shared" si="6"/>
        <v>691.75262851495984</v>
      </c>
      <c r="H96" s="150">
        <v>0</v>
      </c>
      <c r="I96" s="410">
        <v>4.58</v>
      </c>
      <c r="J96" s="47">
        <f t="shared" si="9"/>
        <v>0</v>
      </c>
      <c r="K96" s="21">
        <f t="shared" si="7"/>
        <v>691.75262851495984</v>
      </c>
    </row>
    <row r="97" spans="1:11" s="22" customFormat="1" x14ac:dyDescent="0.35">
      <c r="A97" s="19">
        <v>85</v>
      </c>
      <c r="B97" s="19">
        <v>99315</v>
      </c>
      <c r="C97" s="20" t="s">
        <v>370</v>
      </c>
      <c r="D97" s="116"/>
      <c r="E97" s="410">
        <v>2.4300000000000002</v>
      </c>
      <c r="F97" s="47">
        <f t="shared" si="8"/>
        <v>0</v>
      </c>
      <c r="G97" s="21">
        <f t="shared" si="6"/>
        <v>367.021591111649</v>
      </c>
      <c r="H97" s="150">
        <v>0</v>
      </c>
      <c r="I97" s="410">
        <v>2.4300000000000002</v>
      </c>
      <c r="J97" s="47">
        <f t="shared" si="9"/>
        <v>0</v>
      </c>
      <c r="K97" s="21">
        <f t="shared" si="7"/>
        <v>367.021591111649</v>
      </c>
    </row>
    <row r="98" spans="1:11" s="22" customFormat="1" x14ac:dyDescent="0.35">
      <c r="A98" s="19">
        <v>86</v>
      </c>
      <c r="B98" s="19">
        <v>99316</v>
      </c>
      <c r="C98" s="20" t="s">
        <v>128</v>
      </c>
      <c r="D98" s="116"/>
      <c r="E98" s="410">
        <v>3.9</v>
      </c>
      <c r="F98" s="47">
        <f t="shared" si="8"/>
        <v>0</v>
      </c>
      <c r="G98" s="21">
        <f t="shared" si="6"/>
        <v>589.04699808042426</v>
      </c>
      <c r="H98" s="150">
        <v>0</v>
      </c>
      <c r="I98" s="410">
        <v>3.9</v>
      </c>
      <c r="J98" s="47">
        <f t="shared" si="9"/>
        <v>0</v>
      </c>
      <c r="K98" s="21">
        <f t="shared" si="7"/>
        <v>589.04699808042426</v>
      </c>
    </row>
    <row r="99" spans="1:11" s="22" customFormat="1" x14ac:dyDescent="0.35">
      <c r="A99" s="19">
        <v>87</v>
      </c>
      <c r="B99" s="19">
        <v>99341</v>
      </c>
      <c r="C99" s="20" t="s">
        <v>371</v>
      </c>
      <c r="D99" s="116"/>
      <c r="E99" s="410">
        <v>1.47</v>
      </c>
      <c r="F99" s="47">
        <f t="shared" si="8"/>
        <v>0</v>
      </c>
      <c r="G99" s="21">
        <f t="shared" si="6"/>
        <v>222.02540696877531</v>
      </c>
      <c r="H99" s="150">
        <v>0</v>
      </c>
      <c r="I99" s="410">
        <v>1.47</v>
      </c>
      <c r="J99" s="47">
        <f t="shared" si="9"/>
        <v>0</v>
      </c>
      <c r="K99" s="21">
        <f t="shared" si="7"/>
        <v>222.02540696877531</v>
      </c>
    </row>
    <row r="100" spans="1:11" s="22" customFormat="1" x14ac:dyDescent="0.35">
      <c r="A100" s="19">
        <v>88</v>
      </c>
      <c r="B100" s="19">
        <v>99342</v>
      </c>
      <c r="C100" s="20" t="s">
        <v>372</v>
      </c>
      <c r="D100" s="116"/>
      <c r="E100" s="410">
        <v>2.33</v>
      </c>
      <c r="F100" s="47">
        <f t="shared" si="8"/>
        <v>0</v>
      </c>
      <c r="G100" s="21">
        <f t="shared" si="6"/>
        <v>351.91782193009965</v>
      </c>
      <c r="H100" s="150">
        <v>0</v>
      </c>
      <c r="I100" s="410">
        <v>2.33</v>
      </c>
      <c r="J100" s="47">
        <f t="shared" si="9"/>
        <v>0</v>
      </c>
      <c r="K100" s="21">
        <f t="shared" si="7"/>
        <v>351.91782193009965</v>
      </c>
    </row>
    <row r="101" spans="1:11" s="22" customFormat="1" x14ac:dyDescent="0.35">
      <c r="A101" s="19">
        <v>89</v>
      </c>
      <c r="B101" s="19">
        <v>99344</v>
      </c>
      <c r="C101" s="20" t="s">
        <v>373</v>
      </c>
      <c r="D101" s="116"/>
      <c r="E101" s="410">
        <v>4.2300000000000004</v>
      </c>
      <c r="F101" s="47">
        <f t="shared" si="8"/>
        <v>0</v>
      </c>
      <c r="G101" s="21">
        <f t="shared" si="6"/>
        <v>638.88943637953719</v>
      </c>
      <c r="H101" s="150">
        <v>0</v>
      </c>
      <c r="I101" s="410">
        <v>4.2300000000000004</v>
      </c>
      <c r="J101" s="47">
        <f t="shared" si="9"/>
        <v>0</v>
      </c>
      <c r="K101" s="21">
        <f t="shared" si="7"/>
        <v>638.88943637953719</v>
      </c>
    </row>
    <row r="102" spans="1:11" s="22" customFormat="1" x14ac:dyDescent="0.35">
      <c r="A102" s="19">
        <v>90</v>
      </c>
      <c r="B102" s="19">
        <v>99345</v>
      </c>
      <c r="C102" s="20" t="s">
        <v>374</v>
      </c>
      <c r="D102" s="116"/>
      <c r="E102" s="410">
        <v>6.01</v>
      </c>
      <c r="F102" s="47">
        <f t="shared" si="8"/>
        <v>0</v>
      </c>
      <c r="G102" s="21">
        <f t="shared" si="6"/>
        <v>907.73652781111537</v>
      </c>
      <c r="H102" s="150">
        <v>0</v>
      </c>
      <c r="I102" s="410">
        <v>6.01</v>
      </c>
      <c r="J102" s="47">
        <f t="shared" si="9"/>
        <v>0</v>
      </c>
      <c r="K102" s="21">
        <f t="shared" si="7"/>
        <v>907.73652781111537</v>
      </c>
    </row>
    <row r="103" spans="1:11" s="22" customFormat="1" x14ac:dyDescent="0.35">
      <c r="A103" s="19">
        <v>91</v>
      </c>
      <c r="B103" s="19">
        <v>99347</v>
      </c>
      <c r="C103" s="20" t="s">
        <v>375</v>
      </c>
      <c r="D103" s="116"/>
      <c r="E103" s="410">
        <v>1.35</v>
      </c>
      <c r="F103" s="47">
        <f t="shared" si="8"/>
        <v>0</v>
      </c>
      <c r="G103" s="21">
        <f t="shared" si="6"/>
        <v>203.90088395091612</v>
      </c>
      <c r="H103" s="150">
        <v>0</v>
      </c>
      <c r="I103" s="410">
        <v>1.35</v>
      </c>
      <c r="J103" s="47">
        <f t="shared" si="9"/>
        <v>0</v>
      </c>
      <c r="K103" s="21">
        <f t="shared" si="7"/>
        <v>203.90088395091612</v>
      </c>
    </row>
    <row r="104" spans="1:11" s="22" customFormat="1" x14ac:dyDescent="0.35">
      <c r="A104" s="19">
        <v>92</v>
      </c>
      <c r="B104" s="19">
        <v>99348</v>
      </c>
      <c r="C104" s="20" t="s">
        <v>376</v>
      </c>
      <c r="D104" s="116"/>
      <c r="E104" s="410">
        <v>2.2799999999999998</v>
      </c>
      <c r="F104" s="47">
        <f t="shared" si="8"/>
        <v>0</v>
      </c>
      <c r="G104" s="21">
        <f t="shared" si="6"/>
        <v>344.36593733932494</v>
      </c>
      <c r="H104" s="150">
        <v>0</v>
      </c>
      <c r="I104" s="410">
        <v>2.2799999999999998</v>
      </c>
      <c r="J104" s="47">
        <f t="shared" si="9"/>
        <v>0</v>
      </c>
      <c r="K104" s="21">
        <f t="shared" si="7"/>
        <v>344.36593733932494</v>
      </c>
    </row>
    <row r="105" spans="1:11" s="22" customFormat="1" x14ac:dyDescent="0.35">
      <c r="A105" s="19">
        <v>93</v>
      </c>
      <c r="B105" s="19">
        <v>99349</v>
      </c>
      <c r="C105" s="20" t="s">
        <v>377</v>
      </c>
      <c r="D105" s="116"/>
      <c r="E105" s="410">
        <v>3.79</v>
      </c>
      <c r="F105" s="47">
        <f t="shared" si="8"/>
        <v>0</v>
      </c>
      <c r="G105" s="21">
        <f t="shared" si="6"/>
        <v>572.4328519807201</v>
      </c>
      <c r="H105" s="150">
        <v>0</v>
      </c>
      <c r="I105" s="410">
        <v>3.79</v>
      </c>
      <c r="J105" s="47">
        <f t="shared" si="9"/>
        <v>0</v>
      </c>
      <c r="K105" s="21">
        <f t="shared" si="7"/>
        <v>572.4328519807201</v>
      </c>
    </row>
    <row r="106" spans="1:11" s="22" customFormat="1" x14ac:dyDescent="0.35">
      <c r="A106" s="19">
        <v>94</v>
      </c>
      <c r="B106" s="19">
        <v>99350</v>
      </c>
      <c r="C106" s="20" t="s">
        <v>378</v>
      </c>
      <c r="D106" s="116"/>
      <c r="E106" s="410">
        <v>5.52</v>
      </c>
      <c r="F106" s="47">
        <f t="shared" si="8"/>
        <v>0</v>
      </c>
      <c r="G106" s="21">
        <f t="shared" si="6"/>
        <v>833.72805882152363</v>
      </c>
      <c r="H106" s="150">
        <v>0</v>
      </c>
      <c r="I106" s="410">
        <v>5.52</v>
      </c>
      <c r="J106" s="47">
        <f t="shared" si="9"/>
        <v>0</v>
      </c>
      <c r="K106" s="21">
        <f t="shared" si="7"/>
        <v>833.72805882152363</v>
      </c>
    </row>
    <row r="107" spans="1:11" s="22" customFormat="1" x14ac:dyDescent="0.35">
      <c r="A107" s="19">
        <v>95</v>
      </c>
      <c r="B107" s="19">
        <v>99366</v>
      </c>
      <c r="C107" s="20" t="s">
        <v>379</v>
      </c>
      <c r="D107" s="116"/>
      <c r="E107" s="410">
        <v>1.22</v>
      </c>
      <c r="F107" s="47">
        <f t="shared" si="8"/>
        <v>0</v>
      </c>
      <c r="G107" s="21">
        <f t="shared" si="6"/>
        <v>184.26598401490196</v>
      </c>
      <c r="H107" s="150">
        <v>0</v>
      </c>
      <c r="I107" s="410">
        <v>1.19</v>
      </c>
      <c r="J107" s="47">
        <f t="shared" si="9"/>
        <v>0</v>
      </c>
      <c r="K107" s="21">
        <f t="shared" si="7"/>
        <v>179.73485326043715</v>
      </c>
    </row>
    <row r="108" spans="1:11" s="22" customFormat="1" x14ac:dyDescent="0.35">
      <c r="A108" s="19">
        <v>96</v>
      </c>
      <c r="B108" s="19">
        <v>99367</v>
      </c>
      <c r="C108" s="20" t="s">
        <v>380</v>
      </c>
      <c r="D108" s="116"/>
      <c r="E108" s="410">
        <v>1.6</v>
      </c>
      <c r="F108" s="47">
        <f t="shared" si="8"/>
        <v>0</v>
      </c>
      <c r="G108" s="21">
        <f t="shared" si="6"/>
        <v>241.66030690478948</v>
      </c>
      <c r="H108" s="150">
        <v>0</v>
      </c>
      <c r="I108" s="410">
        <v>1.6</v>
      </c>
      <c r="J108" s="47">
        <f t="shared" si="9"/>
        <v>0</v>
      </c>
      <c r="K108" s="21">
        <f t="shared" si="7"/>
        <v>241.66030690478948</v>
      </c>
    </row>
    <row r="109" spans="1:11" s="22" customFormat="1" x14ac:dyDescent="0.35">
      <c r="A109" s="19">
        <v>97</v>
      </c>
      <c r="B109" s="19">
        <v>99368</v>
      </c>
      <c r="C109" s="20" t="s">
        <v>381</v>
      </c>
      <c r="D109" s="116"/>
      <c r="E109" s="410">
        <v>1.04</v>
      </c>
      <c r="F109" s="47">
        <f t="shared" si="8"/>
        <v>0</v>
      </c>
      <c r="G109" s="21">
        <f t="shared" si="6"/>
        <v>157.07919948811315</v>
      </c>
      <c r="H109" s="150">
        <v>0</v>
      </c>
      <c r="I109" s="410">
        <v>1.04</v>
      </c>
      <c r="J109" s="47">
        <f t="shared" si="9"/>
        <v>0</v>
      </c>
      <c r="K109" s="21">
        <f t="shared" si="7"/>
        <v>157.07919948811315</v>
      </c>
    </row>
    <row r="110" spans="1:11" s="22" customFormat="1" x14ac:dyDescent="0.35">
      <c r="A110" s="19">
        <v>98</v>
      </c>
      <c r="B110" s="19">
        <v>99441</v>
      </c>
      <c r="C110" s="20" t="s">
        <v>382</v>
      </c>
      <c r="D110" s="116"/>
      <c r="E110" s="410">
        <v>1.69</v>
      </c>
      <c r="F110" s="47">
        <f t="shared" si="8"/>
        <v>0</v>
      </c>
      <c r="G110" s="21">
        <f t="shared" si="6"/>
        <v>255.25369916818386</v>
      </c>
      <c r="H110" s="150">
        <v>0</v>
      </c>
      <c r="I110" s="410">
        <v>1.04</v>
      </c>
      <c r="J110" s="47">
        <f t="shared" si="9"/>
        <v>0</v>
      </c>
      <c r="K110" s="21">
        <f t="shared" si="7"/>
        <v>157.07919948811315</v>
      </c>
    </row>
    <row r="111" spans="1:11" s="22" customFormat="1" x14ac:dyDescent="0.35">
      <c r="A111" s="19">
        <v>99</v>
      </c>
      <c r="B111" s="19">
        <v>99442</v>
      </c>
      <c r="C111" s="20" t="s">
        <v>383</v>
      </c>
      <c r="D111" s="116"/>
      <c r="E111" s="410">
        <v>2.72</v>
      </c>
      <c r="F111" s="47">
        <f t="shared" si="8"/>
        <v>0</v>
      </c>
      <c r="G111" s="21">
        <f t="shared" si="6"/>
        <v>410.82252173814214</v>
      </c>
      <c r="H111" s="150">
        <v>0</v>
      </c>
      <c r="I111" s="410">
        <v>1.95</v>
      </c>
      <c r="J111" s="47">
        <f t="shared" si="9"/>
        <v>0</v>
      </c>
      <c r="K111" s="21">
        <f t="shared" si="7"/>
        <v>294.52349904021213</v>
      </c>
    </row>
    <row r="112" spans="1:11" s="22" customFormat="1" x14ac:dyDescent="0.35">
      <c r="A112" s="19">
        <v>100</v>
      </c>
      <c r="B112" s="19">
        <v>99443</v>
      </c>
      <c r="C112" s="20" t="s">
        <v>384</v>
      </c>
      <c r="D112" s="116"/>
      <c r="E112" s="410">
        <v>3.85</v>
      </c>
      <c r="F112" s="47">
        <f t="shared" si="8"/>
        <v>0</v>
      </c>
      <c r="G112" s="21">
        <f t="shared" si="6"/>
        <v>581.49511348964973</v>
      </c>
      <c r="H112" s="150">
        <v>2</v>
      </c>
      <c r="I112" s="410">
        <v>2.89</v>
      </c>
      <c r="J112" s="47">
        <f t="shared" si="9"/>
        <v>5.78</v>
      </c>
      <c r="K112" s="21">
        <f t="shared" si="7"/>
        <v>436.49892934677598</v>
      </c>
    </row>
    <row r="113" spans="1:11" s="22" customFormat="1" ht="34.5" customHeight="1" x14ac:dyDescent="0.35">
      <c r="A113" s="19">
        <v>101</v>
      </c>
      <c r="B113" s="19" t="s">
        <v>42</v>
      </c>
      <c r="C113" s="20" t="s">
        <v>385</v>
      </c>
      <c r="D113" s="116"/>
      <c r="E113" s="410">
        <v>1.27</v>
      </c>
      <c r="F113" s="47">
        <f t="shared" si="8"/>
        <v>0</v>
      </c>
      <c r="G113" s="21">
        <f t="shared" si="6"/>
        <v>191.81786860567664</v>
      </c>
      <c r="H113" s="150">
        <v>0</v>
      </c>
      <c r="I113" s="410">
        <v>1.1100000000000001</v>
      </c>
      <c r="J113" s="47">
        <f t="shared" si="9"/>
        <v>0</v>
      </c>
      <c r="K113" s="21">
        <f t="shared" si="7"/>
        <v>167.65183791519772</v>
      </c>
    </row>
    <row r="114" spans="1:11" s="22" customFormat="1" ht="29" x14ac:dyDescent="0.35">
      <c r="A114" s="19">
        <v>102</v>
      </c>
      <c r="B114" s="19" t="s">
        <v>43</v>
      </c>
      <c r="C114" s="20" t="s">
        <v>386</v>
      </c>
      <c r="D114" s="116"/>
      <c r="E114" s="410">
        <v>0.75</v>
      </c>
      <c r="F114" s="47">
        <f t="shared" si="8"/>
        <v>0</v>
      </c>
      <c r="G114" s="21">
        <f t="shared" si="6"/>
        <v>113.27826886162006</v>
      </c>
      <c r="H114" s="150">
        <v>0</v>
      </c>
      <c r="I114" s="410">
        <v>0.37</v>
      </c>
      <c r="J114" s="47">
        <f t="shared" si="9"/>
        <v>0</v>
      </c>
      <c r="K114" s="21">
        <f t="shared" si="7"/>
        <v>55.883945971732565</v>
      </c>
    </row>
    <row r="115" spans="1:11" s="22" customFormat="1" x14ac:dyDescent="0.35">
      <c r="A115" s="19">
        <v>103</v>
      </c>
      <c r="B115" s="19" t="s">
        <v>44</v>
      </c>
      <c r="C115" s="20" t="s">
        <v>129</v>
      </c>
      <c r="D115" s="116"/>
      <c r="E115" s="410">
        <v>5.17</v>
      </c>
      <c r="F115" s="47">
        <f t="shared" si="8"/>
        <v>0</v>
      </c>
      <c r="G115" s="21">
        <f t="shared" si="6"/>
        <v>780.86486668610098</v>
      </c>
      <c r="H115" s="150">
        <v>0</v>
      </c>
      <c r="I115" s="410">
        <v>4.43</v>
      </c>
      <c r="J115" s="47">
        <f t="shared" si="9"/>
        <v>0</v>
      </c>
      <c r="K115" s="21">
        <f t="shared" si="7"/>
        <v>669.09697474263578</v>
      </c>
    </row>
    <row r="116" spans="1:11" s="22" customFormat="1" x14ac:dyDescent="0.35">
      <c r="A116" s="19">
        <v>104</v>
      </c>
      <c r="B116" s="19" t="s">
        <v>45</v>
      </c>
      <c r="C116" s="20" t="s">
        <v>387</v>
      </c>
      <c r="D116" s="116"/>
      <c r="E116" s="410">
        <v>0.72</v>
      </c>
      <c r="F116" s="47">
        <f t="shared" si="8"/>
        <v>0</v>
      </c>
      <c r="G116" s="21">
        <f t="shared" si="6"/>
        <v>108.74713810715525</v>
      </c>
      <c r="H116" s="150">
        <v>0</v>
      </c>
      <c r="I116" s="410">
        <v>0.66</v>
      </c>
      <c r="J116" s="47">
        <f t="shared" si="9"/>
        <v>0</v>
      </c>
      <c r="K116" s="21">
        <f t="shared" si="7"/>
        <v>99.684876598225657</v>
      </c>
    </row>
    <row r="117" spans="1:11" s="22" customFormat="1" ht="29" x14ac:dyDescent="0.35">
      <c r="A117" s="19">
        <v>105</v>
      </c>
      <c r="B117" s="19" t="s">
        <v>19</v>
      </c>
      <c r="C117" s="20" t="s">
        <v>39</v>
      </c>
      <c r="D117" s="116"/>
      <c r="E117" s="410">
        <v>0</v>
      </c>
      <c r="F117" s="47">
        <f t="shared" si="8"/>
        <v>0</v>
      </c>
      <c r="G117" s="21">
        <f t="shared" si="6"/>
        <v>0</v>
      </c>
      <c r="H117" s="150">
        <v>0</v>
      </c>
      <c r="I117" s="410">
        <v>0</v>
      </c>
      <c r="J117" s="47">
        <f t="shared" si="9"/>
        <v>0</v>
      </c>
      <c r="K117" s="21">
        <f t="shared" si="7"/>
        <v>0</v>
      </c>
    </row>
    <row r="118" spans="1:11" s="22" customFormat="1" x14ac:dyDescent="0.35">
      <c r="A118" s="19">
        <v>106</v>
      </c>
      <c r="B118" s="19" t="s">
        <v>46</v>
      </c>
      <c r="C118" s="20" t="s">
        <v>130</v>
      </c>
      <c r="D118" s="116"/>
      <c r="E118" s="410">
        <v>1.18</v>
      </c>
      <c r="F118" s="47">
        <f t="shared" si="8"/>
        <v>0</v>
      </c>
      <c r="G118" s="21">
        <f t="shared" si="6"/>
        <v>178.22447634228223</v>
      </c>
      <c r="H118" s="150">
        <v>0</v>
      </c>
      <c r="I118" s="410">
        <v>1.03</v>
      </c>
      <c r="J118" s="47">
        <f t="shared" si="9"/>
        <v>0</v>
      </c>
      <c r="K118" s="21">
        <f t="shared" si="7"/>
        <v>155.56882256995823</v>
      </c>
    </row>
    <row r="119" spans="1:11" s="22" customFormat="1" x14ac:dyDescent="0.35">
      <c r="A119" s="19">
        <v>107</v>
      </c>
      <c r="B119" s="19" t="s">
        <v>47</v>
      </c>
      <c r="C119" s="20" t="s">
        <v>131</v>
      </c>
      <c r="D119" s="116"/>
      <c r="E119" s="410">
        <v>0.83</v>
      </c>
      <c r="F119" s="47">
        <f t="shared" si="8"/>
        <v>0</v>
      </c>
      <c r="G119" s="21">
        <f t="shared" si="6"/>
        <v>125.36128420685954</v>
      </c>
      <c r="H119" s="150">
        <v>0</v>
      </c>
      <c r="I119" s="410">
        <v>0.72</v>
      </c>
      <c r="J119" s="47">
        <f t="shared" si="9"/>
        <v>0</v>
      </c>
      <c r="K119" s="21">
        <f t="shared" si="7"/>
        <v>108.74713810715525</v>
      </c>
    </row>
    <row r="120" spans="1:11" s="22" customFormat="1" x14ac:dyDescent="0.35">
      <c r="A120" s="19">
        <v>108</v>
      </c>
      <c r="B120" s="19" t="s">
        <v>48</v>
      </c>
      <c r="C120" s="20" t="s">
        <v>132</v>
      </c>
      <c r="D120" s="116"/>
      <c r="E120" s="410">
        <v>0.64</v>
      </c>
      <c r="F120" s="47">
        <f t="shared" si="8"/>
        <v>0</v>
      </c>
      <c r="G120" s="21">
        <f t="shared" si="6"/>
        <v>96.664122761915792</v>
      </c>
      <c r="H120" s="150">
        <v>0</v>
      </c>
      <c r="I120" s="410">
        <v>0.6</v>
      </c>
      <c r="J120" s="47">
        <f t="shared" si="9"/>
        <v>0</v>
      </c>
      <c r="K120" s="21">
        <f t="shared" si="7"/>
        <v>90.622615089296048</v>
      </c>
    </row>
    <row r="121" spans="1:11" s="22" customFormat="1" x14ac:dyDescent="0.35">
      <c r="A121" s="19">
        <v>109</v>
      </c>
      <c r="B121" s="19" t="s">
        <v>21</v>
      </c>
      <c r="C121" s="20" t="s">
        <v>24</v>
      </c>
      <c r="D121" s="116"/>
      <c r="E121" s="410">
        <v>0</v>
      </c>
      <c r="F121" s="47">
        <f t="shared" si="8"/>
        <v>0</v>
      </c>
      <c r="G121" s="21">
        <f t="shared" si="6"/>
        <v>0</v>
      </c>
      <c r="H121" s="150">
        <v>0</v>
      </c>
      <c r="I121" s="410">
        <v>0</v>
      </c>
      <c r="J121" s="47">
        <f t="shared" si="9"/>
        <v>0</v>
      </c>
      <c r="K121" s="21">
        <f t="shared" si="7"/>
        <v>0</v>
      </c>
    </row>
    <row r="122" spans="1:11" s="22" customFormat="1" ht="29" x14ac:dyDescent="0.35">
      <c r="A122" s="19">
        <v>110</v>
      </c>
      <c r="B122" s="19" t="s">
        <v>49</v>
      </c>
      <c r="C122" s="20" t="s">
        <v>388</v>
      </c>
      <c r="D122" s="116"/>
      <c r="E122" s="410">
        <v>0</v>
      </c>
      <c r="F122" s="47">
        <f t="shared" si="8"/>
        <v>0</v>
      </c>
      <c r="G122" s="21">
        <f t="shared" si="6"/>
        <v>0</v>
      </c>
      <c r="H122" s="150">
        <v>0</v>
      </c>
      <c r="I122" s="410">
        <v>0</v>
      </c>
      <c r="J122" s="47">
        <f t="shared" si="9"/>
        <v>0</v>
      </c>
      <c r="K122" s="21">
        <f t="shared" si="7"/>
        <v>0</v>
      </c>
    </row>
    <row r="123" spans="1:11" s="22" customFormat="1" ht="29" x14ac:dyDescent="0.35">
      <c r="A123" s="19">
        <v>111</v>
      </c>
      <c r="B123" s="19" t="s">
        <v>33</v>
      </c>
      <c r="C123" s="20" t="s">
        <v>389</v>
      </c>
      <c r="D123" s="116"/>
      <c r="E123" s="410">
        <v>0</v>
      </c>
      <c r="F123" s="47">
        <f t="shared" si="8"/>
        <v>0</v>
      </c>
      <c r="G123" s="21">
        <f t="shared" si="6"/>
        <v>0</v>
      </c>
      <c r="H123" s="150">
        <v>0</v>
      </c>
      <c r="I123" s="410">
        <v>0</v>
      </c>
      <c r="J123" s="47">
        <f t="shared" si="9"/>
        <v>0</v>
      </c>
      <c r="K123" s="21">
        <f t="shared" si="7"/>
        <v>0</v>
      </c>
    </row>
    <row r="124" spans="1:11" s="22" customFormat="1" x14ac:dyDescent="0.35">
      <c r="A124" s="19">
        <v>112</v>
      </c>
      <c r="B124" s="19" t="s">
        <v>50</v>
      </c>
      <c r="C124" s="20" t="s">
        <v>390</v>
      </c>
      <c r="D124" s="116"/>
      <c r="E124" s="410">
        <v>2.64</v>
      </c>
      <c r="F124" s="47">
        <f t="shared" ref="F124:F187" si="10">D124*E124</f>
        <v>0</v>
      </c>
      <c r="G124" s="21">
        <f t="shared" ref="G124:G186" si="11">E124*$F$12</f>
        <v>398.73950639290263</v>
      </c>
      <c r="H124" s="150">
        <v>0</v>
      </c>
      <c r="I124" s="410">
        <v>2.64</v>
      </c>
      <c r="J124" s="47">
        <f t="shared" ref="J124:J187" si="12">H124*I124</f>
        <v>0</v>
      </c>
      <c r="K124" s="21">
        <f t="shared" ref="K124:K186" si="13">I124*$F$12</f>
        <v>398.73950639290263</v>
      </c>
    </row>
    <row r="125" spans="1:11" s="22" customFormat="1" x14ac:dyDescent="0.35">
      <c r="A125" s="19">
        <v>113</v>
      </c>
      <c r="B125" s="19" t="s">
        <v>51</v>
      </c>
      <c r="C125" s="20" t="s">
        <v>133</v>
      </c>
      <c r="D125" s="116"/>
      <c r="E125" s="410">
        <v>0</v>
      </c>
      <c r="F125" s="47">
        <f t="shared" si="10"/>
        <v>0</v>
      </c>
      <c r="G125" s="21">
        <f t="shared" si="11"/>
        <v>0</v>
      </c>
      <c r="H125" s="150">
        <v>0</v>
      </c>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50">
        <v>0</v>
      </c>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50">
        <v>0</v>
      </c>
      <c r="I127" s="410">
        <v>0</v>
      </c>
      <c r="J127" s="47">
        <f t="shared" si="12"/>
        <v>0</v>
      </c>
      <c r="K127" s="21">
        <f t="shared" si="13"/>
        <v>0</v>
      </c>
    </row>
    <row r="128" spans="1:11" s="22" customFormat="1" ht="29" x14ac:dyDescent="0.35">
      <c r="A128" s="19">
        <v>116</v>
      </c>
      <c r="B128" s="19" t="s">
        <v>54</v>
      </c>
      <c r="C128" s="20" t="s">
        <v>391</v>
      </c>
      <c r="D128" s="116"/>
      <c r="E128" s="410">
        <v>1.02</v>
      </c>
      <c r="F128" s="47">
        <f t="shared" si="10"/>
        <v>0</v>
      </c>
      <c r="G128" s="21">
        <f t="shared" si="11"/>
        <v>154.05844565180328</v>
      </c>
      <c r="H128" s="150">
        <v>0</v>
      </c>
      <c r="I128" s="410">
        <v>0.94</v>
      </c>
      <c r="J128" s="47">
        <f t="shared" si="12"/>
        <v>0</v>
      </c>
      <c r="K128" s="21">
        <f t="shared" si="13"/>
        <v>141.97543030656379</v>
      </c>
    </row>
    <row r="129" spans="1:11" s="22" customFormat="1" x14ac:dyDescent="0.35">
      <c r="A129" s="19">
        <v>117</v>
      </c>
      <c r="B129" s="19" t="s">
        <v>22</v>
      </c>
      <c r="C129" s="20" t="s">
        <v>25</v>
      </c>
      <c r="D129" s="116"/>
      <c r="E129" s="410">
        <v>0</v>
      </c>
      <c r="F129" s="47">
        <f t="shared" si="10"/>
        <v>0</v>
      </c>
      <c r="G129" s="21">
        <f t="shared" si="11"/>
        <v>0</v>
      </c>
      <c r="H129" s="150">
        <v>0</v>
      </c>
      <c r="I129" s="410">
        <v>0</v>
      </c>
      <c r="J129" s="47">
        <f t="shared" si="12"/>
        <v>0</v>
      </c>
      <c r="K129" s="21">
        <f t="shared" si="13"/>
        <v>0</v>
      </c>
    </row>
    <row r="130" spans="1:11" s="22" customFormat="1" x14ac:dyDescent="0.35">
      <c r="A130" s="19">
        <v>118</v>
      </c>
      <c r="B130" s="19" t="s">
        <v>55</v>
      </c>
      <c r="C130" s="20" t="s">
        <v>392</v>
      </c>
      <c r="D130" s="116"/>
      <c r="E130" s="410">
        <v>0.12</v>
      </c>
      <c r="F130" s="47">
        <f t="shared" si="10"/>
        <v>0</v>
      </c>
      <c r="G130" s="21">
        <f t="shared" si="11"/>
        <v>18.124523017859211</v>
      </c>
      <c r="H130" s="150">
        <v>0</v>
      </c>
      <c r="I130" s="410">
        <v>0.09</v>
      </c>
      <c r="J130" s="47">
        <f t="shared" si="12"/>
        <v>0</v>
      </c>
      <c r="K130" s="21">
        <f t="shared" si="13"/>
        <v>13.593392263394406</v>
      </c>
    </row>
    <row r="131" spans="1:11" s="22" customFormat="1" x14ac:dyDescent="0.35">
      <c r="A131" s="19">
        <v>119</v>
      </c>
      <c r="B131" s="19" t="s">
        <v>56</v>
      </c>
      <c r="C131" s="20" t="s">
        <v>393</v>
      </c>
      <c r="D131" s="116">
        <v>1775</v>
      </c>
      <c r="E131" s="410">
        <v>0.59</v>
      </c>
      <c r="F131" s="47">
        <f t="shared" si="10"/>
        <v>1047.25</v>
      </c>
      <c r="G131" s="21">
        <f t="shared" si="11"/>
        <v>89.112238171141115</v>
      </c>
      <c r="H131" s="150">
        <v>0</v>
      </c>
      <c r="I131" s="410">
        <v>0.55000000000000004</v>
      </c>
      <c r="J131" s="47">
        <f t="shared" si="12"/>
        <v>0</v>
      </c>
      <c r="K131" s="21">
        <f t="shared" si="13"/>
        <v>83.070730498521385</v>
      </c>
    </row>
    <row r="132" spans="1:11" s="22" customFormat="1" ht="29" x14ac:dyDescent="0.35">
      <c r="A132" s="19">
        <v>120</v>
      </c>
      <c r="B132" s="19" t="s">
        <v>57</v>
      </c>
      <c r="C132" s="20" t="s">
        <v>136</v>
      </c>
      <c r="D132" s="116"/>
      <c r="E132" s="410">
        <v>0.75</v>
      </c>
      <c r="F132" s="47">
        <f t="shared" si="10"/>
        <v>0</v>
      </c>
      <c r="G132" s="21">
        <f t="shared" si="11"/>
        <v>113.27826886162006</v>
      </c>
      <c r="H132" s="150">
        <v>0</v>
      </c>
      <c r="I132" s="410">
        <v>0.37</v>
      </c>
      <c r="J132" s="47">
        <f t="shared" si="12"/>
        <v>0</v>
      </c>
      <c r="K132" s="21">
        <f t="shared" si="13"/>
        <v>55.883945971732565</v>
      </c>
    </row>
    <row r="133" spans="1:11" s="22" customFormat="1" ht="29" x14ac:dyDescent="0.35">
      <c r="A133" s="19">
        <v>121</v>
      </c>
      <c r="B133" s="19" t="s">
        <v>58</v>
      </c>
      <c r="C133" s="20" t="s">
        <v>137</v>
      </c>
      <c r="D133" s="116"/>
      <c r="E133" s="410">
        <v>0.75</v>
      </c>
      <c r="F133" s="47">
        <f t="shared" si="10"/>
        <v>0</v>
      </c>
      <c r="G133" s="21">
        <f t="shared" si="11"/>
        <v>113.27826886162006</v>
      </c>
      <c r="H133" s="150">
        <v>0</v>
      </c>
      <c r="I133" s="410">
        <v>0.37</v>
      </c>
      <c r="J133" s="47">
        <f t="shared" si="12"/>
        <v>0</v>
      </c>
      <c r="K133" s="21">
        <f t="shared" si="13"/>
        <v>55.883945971732565</v>
      </c>
    </row>
    <row r="134" spans="1:11" s="22" customFormat="1" ht="43.5" x14ac:dyDescent="0.35">
      <c r="A134" s="19">
        <v>122</v>
      </c>
      <c r="B134" s="19" t="s">
        <v>15</v>
      </c>
      <c r="C134" s="20" t="s">
        <v>18</v>
      </c>
      <c r="D134" s="116">
        <v>2</v>
      </c>
      <c r="E134" s="410">
        <v>0</v>
      </c>
      <c r="F134" s="47">
        <f t="shared" si="10"/>
        <v>0</v>
      </c>
      <c r="G134" s="21">
        <f t="shared" si="11"/>
        <v>0</v>
      </c>
      <c r="H134" s="150">
        <v>0</v>
      </c>
      <c r="I134" s="410">
        <v>0</v>
      </c>
      <c r="J134" s="47">
        <f t="shared" si="12"/>
        <v>0</v>
      </c>
      <c r="K134" s="21">
        <f t="shared" si="13"/>
        <v>0</v>
      </c>
    </row>
    <row r="135" spans="1:11" s="22" customFormat="1" ht="29" x14ac:dyDescent="0.35">
      <c r="A135" s="19">
        <v>123</v>
      </c>
      <c r="B135" s="19" t="s">
        <v>16</v>
      </c>
      <c r="C135" s="20" t="s">
        <v>138</v>
      </c>
      <c r="D135" s="116">
        <v>10</v>
      </c>
      <c r="E135" s="410">
        <v>0</v>
      </c>
      <c r="F135" s="47">
        <f t="shared" si="10"/>
        <v>0</v>
      </c>
      <c r="G135" s="21">
        <f t="shared" si="11"/>
        <v>0</v>
      </c>
      <c r="H135" s="150">
        <v>0</v>
      </c>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50">
        <v>0</v>
      </c>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50">
        <v>0</v>
      </c>
      <c r="I137" s="410">
        <v>0</v>
      </c>
      <c r="J137" s="47">
        <f t="shared" si="12"/>
        <v>0</v>
      </c>
      <c r="K137" s="21">
        <f t="shared" si="13"/>
        <v>0</v>
      </c>
    </row>
    <row r="138" spans="1:11" s="22" customFormat="1" x14ac:dyDescent="0.35">
      <c r="A138" s="19">
        <v>126</v>
      </c>
      <c r="B138" s="19" t="s">
        <v>59</v>
      </c>
      <c r="C138" s="20" t="s">
        <v>395</v>
      </c>
      <c r="D138" s="116"/>
      <c r="E138" s="410">
        <v>3.27</v>
      </c>
      <c r="F138" s="47">
        <f t="shared" si="10"/>
        <v>0</v>
      </c>
      <c r="G138" s="21">
        <f t="shared" si="11"/>
        <v>493.8932522366635</v>
      </c>
      <c r="H138" s="150">
        <v>0</v>
      </c>
      <c r="I138" s="410">
        <v>2.17</v>
      </c>
      <c r="J138" s="47">
        <f t="shared" si="12"/>
        <v>0</v>
      </c>
      <c r="K138" s="21">
        <f t="shared" si="13"/>
        <v>327.75179123962073</v>
      </c>
    </row>
    <row r="139" spans="1:11" s="22" customFormat="1" x14ac:dyDescent="0.35">
      <c r="A139" s="19">
        <v>127</v>
      </c>
      <c r="B139" s="19" t="s">
        <v>60</v>
      </c>
      <c r="C139" s="20" t="s">
        <v>394</v>
      </c>
      <c r="D139" s="116">
        <v>1</v>
      </c>
      <c r="E139" s="410">
        <v>1.1499999999999999</v>
      </c>
      <c r="F139" s="47">
        <f t="shared" si="10"/>
        <v>1.1499999999999999</v>
      </c>
      <c r="G139" s="21">
        <f t="shared" si="11"/>
        <v>173.69334558781742</v>
      </c>
      <c r="H139" s="150">
        <v>0</v>
      </c>
      <c r="I139" s="410">
        <v>0.7</v>
      </c>
      <c r="J139" s="47">
        <f t="shared" si="12"/>
        <v>0</v>
      </c>
      <c r="K139" s="21">
        <f t="shared" si="13"/>
        <v>105.72638427084539</v>
      </c>
    </row>
    <row r="140" spans="1:11" s="22" customFormat="1" x14ac:dyDescent="0.35">
      <c r="A140" s="19">
        <v>128</v>
      </c>
      <c r="B140" s="19" t="s">
        <v>61</v>
      </c>
      <c r="C140" s="20" t="s">
        <v>141</v>
      </c>
      <c r="D140" s="116"/>
      <c r="E140" s="410">
        <v>0.44</v>
      </c>
      <c r="F140" s="47">
        <f t="shared" si="10"/>
        <v>0</v>
      </c>
      <c r="G140" s="21">
        <f t="shared" si="11"/>
        <v>66.4565843988171</v>
      </c>
      <c r="H140" s="150">
        <v>0</v>
      </c>
      <c r="I140" s="410">
        <v>0.44</v>
      </c>
      <c r="J140" s="47">
        <f t="shared" si="12"/>
        <v>0</v>
      </c>
      <c r="K140" s="21">
        <f t="shared" si="13"/>
        <v>66.4565843988171</v>
      </c>
    </row>
    <row r="141" spans="1:11" s="22" customFormat="1" x14ac:dyDescent="0.35">
      <c r="A141" s="19">
        <v>129</v>
      </c>
      <c r="B141" s="19" t="s">
        <v>62</v>
      </c>
      <c r="C141" s="20" t="s">
        <v>396</v>
      </c>
      <c r="D141" s="116"/>
      <c r="E141" s="410">
        <v>0.92</v>
      </c>
      <c r="F141" s="47">
        <f t="shared" si="10"/>
        <v>0</v>
      </c>
      <c r="G141" s="21">
        <f t="shared" si="11"/>
        <v>138.95467647025396</v>
      </c>
      <c r="H141" s="150">
        <v>0</v>
      </c>
      <c r="I141" s="410">
        <v>0.92</v>
      </c>
      <c r="J141" s="47">
        <f t="shared" si="12"/>
        <v>0</v>
      </c>
      <c r="K141" s="21">
        <f t="shared" si="13"/>
        <v>138.95467647025396</v>
      </c>
    </row>
    <row r="142" spans="1:11" s="22" customFormat="1" x14ac:dyDescent="0.35">
      <c r="A142" s="19">
        <v>130</v>
      </c>
      <c r="B142" s="19" t="s">
        <v>63</v>
      </c>
      <c r="C142" s="20" t="s">
        <v>397</v>
      </c>
      <c r="D142" s="116"/>
      <c r="E142" s="410">
        <v>5.28</v>
      </c>
      <c r="F142" s="47">
        <f t="shared" si="10"/>
        <v>0</v>
      </c>
      <c r="G142" s="21">
        <f t="shared" si="11"/>
        <v>797.47901278580525</v>
      </c>
      <c r="H142" s="150">
        <v>0</v>
      </c>
      <c r="I142" s="410">
        <v>5.28</v>
      </c>
      <c r="J142" s="47">
        <f t="shared" si="12"/>
        <v>0</v>
      </c>
      <c r="K142" s="21">
        <f t="shared" si="13"/>
        <v>797.47901278580525</v>
      </c>
    </row>
    <row r="143" spans="1:11" s="22" customFormat="1" x14ac:dyDescent="0.35">
      <c r="A143" s="19">
        <v>131</v>
      </c>
      <c r="B143" s="19" t="s">
        <v>64</v>
      </c>
      <c r="C143" s="20" t="s">
        <v>399</v>
      </c>
      <c r="D143" s="116"/>
      <c r="E143" s="410">
        <v>0.44</v>
      </c>
      <c r="F143" s="47">
        <f t="shared" si="10"/>
        <v>0</v>
      </c>
      <c r="G143" s="21">
        <f t="shared" si="11"/>
        <v>66.4565843988171</v>
      </c>
      <c r="H143" s="150">
        <v>0</v>
      </c>
      <c r="I143" s="410">
        <v>0.44</v>
      </c>
      <c r="J143" s="47">
        <f t="shared" si="12"/>
        <v>0</v>
      </c>
      <c r="K143" s="21">
        <f t="shared" si="13"/>
        <v>66.4565843988171</v>
      </c>
    </row>
    <row r="144" spans="1:11" s="22" customFormat="1" x14ac:dyDescent="0.35">
      <c r="A144" s="19">
        <v>132</v>
      </c>
      <c r="B144" s="19" t="s">
        <v>65</v>
      </c>
      <c r="C144" s="20" t="s">
        <v>398</v>
      </c>
      <c r="D144" s="116"/>
      <c r="E144" s="410">
        <v>5.28</v>
      </c>
      <c r="F144" s="47">
        <f t="shared" si="10"/>
        <v>0</v>
      </c>
      <c r="G144" s="21">
        <f t="shared" si="11"/>
        <v>797.47901278580525</v>
      </c>
      <c r="H144" s="150">
        <v>0</v>
      </c>
      <c r="I144" s="410">
        <v>5.28</v>
      </c>
      <c r="J144" s="47">
        <f t="shared" si="12"/>
        <v>0</v>
      </c>
      <c r="K144" s="21">
        <f t="shared" si="13"/>
        <v>797.47901278580525</v>
      </c>
    </row>
    <row r="145" spans="1:11" s="22" customFormat="1" x14ac:dyDescent="0.35">
      <c r="A145" s="19">
        <v>133</v>
      </c>
      <c r="B145" s="19" t="s">
        <v>66</v>
      </c>
      <c r="C145" s="20" t="s">
        <v>142</v>
      </c>
      <c r="D145" s="116"/>
      <c r="E145" s="410">
        <v>0.54</v>
      </c>
      <c r="F145" s="47">
        <f t="shared" si="10"/>
        <v>0</v>
      </c>
      <c r="G145" s="21">
        <f t="shared" si="11"/>
        <v>81.560353580366453</v>
      </c>
      <c r="H145" s="150">
        <v>0</v>
      </c>
      <c r="I145" s="410">
        <v>0.54</v>
      </c>
      <c r="J145" s="47">
        <f t="shared" si="12"/>
        <v>0</v>
      </c>
      <c r="K145" s="21">
        <f t="shared" si="13"/>
        <v>81.560353580366453</v>
      </c>
    </row>
    <row r="146" spans="1:11" s="22" customFormat="1" x14ac:dyDescent="0.35">
      <c r="A146" s="19">
        <v>134</v>
      </c>
      <c r="B146" s="19" t="s">
        <v>67</v>
      </c>
      <c r="C146" s="20" t="s">
        <v>400</v>
      </c>
      <c r="D146" s="116">
        <v>539</v>
      </c>
      <c r="E146" s="410">
        <v>1.29</v>
      </c>
      <c r="F146" s="47">
        <f t="shared" si="10"/>
        <v>695.31000000000006</v>
      </c>
      <c r="G146" s="21">
        <f t="shared" si="11"/>
        <v>194.8386224419865</v>
      </c>
      <c r="H146" s="150">
        <v>0</v>
      </c>
      <c r="I146" s="410">
        <v>1.1299999999999999</v>
      </c>
      <c r="J146" s="47">
        <f t="shared" si="12"/>
        <v>0</v>
      </c>
      <c r="K146" s="21">
        <f t="shared" si="13"/>
        <v>170.67259175150755</v>
      </c>
    </row>
    <row r="147" spans="1:11" s="22" customFormat="1" x14ac:dyDescent="0.35">
      <c r="A147" s="19">
        <v>135</v>
      </c>
      <c r="B147" s="19" t="s">
        <v>68</v>
      </c>
      <c r="C147" s="20" t="s">
        <v>401</v>
      </c>
      <c r="D147" s="116"/>
      <c r="E147" s="410">
        <v>5.28</v>
      </c>
      <c r="F147" s="47">
        <f t="shared" si="10"/>
        <v>0</v>
      </c>
      <c r="G147" s="21">
        <f t="shared" si="11"/>
        <v>797.47901278580525</v>
      </c>
      <c r="H147" s="150">
        <v>0</v>
      </c>
      <c r="I147" s="410">
        <v>5.28</v>
      </c>
      <c r="J147" s="47">
        <f t="shared" si="12"/>
        <v>0</v>
      </c>
      <c r="K147" s="21">
        <f t="shared" si="13"/>
        <v>797.47901278580525</v>
      </c>
    </row>
    <row r="148" spans="1:11" s="22" customFormat="1" x14ac:dyDescent="0.35">
      <c r="A148" s="19">
        <v>136</v>
      </c>
      <c r="B148" s="19" t="s">
        <v>69</v>
      </c>
      <c r="C148" s="20" t="s">
        <v>402</v>
      </c>
      <c r="D148" s="116"/>
      <c r="E148" s="410">
        <v>0.14000000000000001</v>
      </c>
      <c r="F148" s="47">
        <f t="shared" si="10"/>
        <v>0</v>
      </c>
      <c r="G148" s="21">
        <f t="shared" si="11"/>
        <v>21.145276854169079</v>
      </c>
      <c r="H148" s="150">
        <v>0</v>
      </c>
      <c r="I148" s="410">
        <v>0.12</v>
      </c>
      <c r="J148" s="47">
        <f t="shared" si="12"/>
        <v>0</v>
      </c>
      <c r="K148" s="21">
        <f t="shared" si="13"/>
        <v>18.124523017859211</v>
      </c>
    </row>
    <row r="149" spans="1:11" s="22" customFormat="1" x14ac:dyDescent="0.35">
      <c r="A149" s="19">
        <v>137</v>
      </c>
      <c r="B149" s="19" t="s">
        <v>70</v>
      </c>
      <c r="C149" s="20" t="s">
        <v>403</v>
      </c>
      <c r="D149" s="116"/>
      <c r="E149" s="410">
        <v>3.08</v>
      </c>
      <c r="F149" s="47">
        <f t="shared" si="10"/>
        <v>0</v>
      </c>
      <c r="G149" s="21">
        <f t="shared" si="11"/>
        <v>465.19609079171971</v>
      </c>
      <c r="H149" s="150">
        <v>0</v>
      </c>
      <c r="I149" s="410">
        <v>2.6399999999999997</v>
      </c>
      <c r="J149" s="47">
        <f t="shared" si="12"/>
        <v>0</v>
      </c>
      <c r="K149" s="21">
        <f t="shared" si="13"/>
        <v>398.73950639290257</v>
      </c>
    </row>
    <row r="150" spans="1:11" s="22" customFormat="1" x14ac:dyDescent="0.35">
      <c r="A150" s="19">
        <v>138</v>
      </c>
      <c r="B150" s="19" t="s">
        <v>71</v>
      </c>
      <c r="C150" s="20" t="s">
        <v>404</v>
      </c>
      <c r="D150" s="116"/>
      <c r="E150" s="410">
        <v>5.28</v>
      </c>
      <c r="F150" s="47">
        <f t="shared" si="10"/>
        <v>0</v>
      </c>
      <c r="G150" s="21">
        <f t="shared" si="11"/>
        <v>797.47901278580525</v>
      </c>
      <c r="H150" s="150">
        <v>0</v>
      </c>
      <c r="I150" s="410">
        <v>5.28</v>
      </c>
      <c r="J150" s="47">
        <f t="shared" si="12"/>
        <v>0</v>
      </c>
      <c r="K150" s="21">
        <f t="shared" si="13"/>
        <v>797.47901278580525</v>
      </c>
    </row>
    <row r="151" spans="1:11" s="22" customFormat="1" x14ac:dyDescent="0.35">
      <c r="A151" s="19">
        <v>139</v>
      </c>
      <c r="B151" s="19" t="s">
        <v>789</v>
      </c>
      <c r="C151" s="20" t="s">
        <v>790</v>
      </c>
      <c r="D151" s="116"/>
      <c r="E151" s="410">
        <v>0.12</v>
      </c>
      <c r="F151" s="47">
        <f t="shared" ref="F151" si="14">D151*E151</f>
        <v>0</v>
      </c>
      <c r="G151" s="21">
        <f t="shared" ref="G151" si="15">E151*$F$12</f>
        <v>18.124523017859211</v>
      </c>
      <c r="H151" s="150">
        <v>0</v>
      </c>
      <c r="I151" s="410">
        <v>0.09</v>
      </c>
      <c r="J151" s="47">
        <f t="shared" ref="J151" si="16">H151*I151</f>
        <v>0</v>
      </c>
      <c r="K151" s="21">
        <f t="shared" ref="K151" si="17">I151*$F$12</f>
        <v>13.593392263394406</v>
      </c>
    </row>
    <row r="152" spans="1:11" s="22" customFormat="1" x14ac:dyDescent="0.35">
      <c r="A152" s="19">
        <v>140</v>
      </c>
      <c r="B152" s="19" t="s">
        <v>72</v>
      </c>
      <c r="C152" s="20" t="s">
        <v>405</v>
      </c>
      <c r="D152" s="116"/>
      <c r="E152" s="410">
        <v>1.02</v>
      </c>
      <c r="F152" s="47">
        <f t="shared" si="10"/>
        <v>0</v>
      </c>
      <c r="G152" s="21">
        <f t="shared" si="11"/>
        <v>154.05844565180328</v>
      </c>
      <c r="H152" s="150">
        <v>0</v>
      </c>
      <c r="I152" s="410">
        <v>0.94</v>
      </c>
      <c r="J152" s="47">
        <f t="shared" si="12"/>
        <v>0</v>
      </c>
      <c r="K152" s="21">
        <f t="shared" si="13"/>
        <v>141.97543030656379</v>
      </c>
    </row>
    <row r="153" spans="1:11" s="22" customFormat="1" x14ac:dyDescent="0.35">
      <c r="A153" s="19">
        <v>141</v>
      </c>
      <c r="B153" s="19" t="s">
        <v>20</v>
      </c>
      <c r="C153" s="20" t="s">
        <v>406</v>
      </c>
      <c r="D153" s="116"/>
      <c r="E153" s="410">
        <v>0</v>
      </c>
      <c r="F153" s="47">
        <f t="shared" si="10"/>
        <v>0</v>
      </c>
      <c r="G153" s="21">
        <f t="shared" si="11"/>
        <v>0</v>
      </c>
      <c r="H153" s="150">
        <v>0</v>
      </c>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780.86486668610098</v>
      </c>
      <c r="H154" s="150">
        <v>0</v>
      </c>
      <c r="I154" s="410">
        <v>4.43</v>
      </c>
      <c r="J154" s="47">
        <f t="shared" si="12"/>
        <v>0</v>
      </c>
      <c r="K154" s="21">
        <f t="shared" si="13"/>
        <v>669.09697474263578</v>
      </c>
    </row>
    <row r="155" spans="1:11" s="22" customFormat="1" x14ac:dyDescent="0.35">
      <c r="A155" s="19">
        <v>143</v>
      </c>
      <c r="B155" s="19" t="s">
        <v>74</v>
      </c>
      <c r="C155" s="20" t="s">
        <v>144</v>
      </c>
      <c r="D155" s="116"/>
      <c r="E155" s="410">
        <v>1.7</v>
      </c>
      <c r="F155" s="47">
        <f t="shared" si="10"/>
        <v>0</v>
      </c>
      <c r="G155" s="21">
        <f t="shared" si="11"/>
        <v>256.76407608633878</v>
      </c>
      <c r="H155" s="150">
        <v>0</v>
      </c>
      <c r="I155" s="410">
        <v>1.05</v>
      </c>
      <c r="J155" s="47">
        <f t="shared" si="12"/>
        <v>0</v>
      </c>
      <c r="K155" s="21">
        <f t="shared" si="13"/>
        <v>158.58957640626809</v>
      </c>
    </row>
    <row r="156" spans="1:11" s="22" customFormat="1" x14ac:dyDescent="0.35">
      <c r="A156" s="19">
        <v>144</v>
      </c>
      <c r="B156" s="19" t="s">
        <v>26</v>
      </c>
      <c r="C156" s="20" t="s">
        <v>143</v>
      </c>
      <c r="D156" s="116"/>
      <c r="E156" s="410">
        <v>0</v>
      </c>
      <c r="F156" s="47">
        <f t="shared" si="10"/>
        <v>0</v>
      </c>
      <c r="G156" s="21">
        <f t="shared" si="11"/>
        <v>0</v>
      </c>
      <c r="H156" s="150">
        <v>0</v>
      </c>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203.90088395091612</v>
      </c>
      <c r="H157" s="150">
        <v>0</v>
      </c>
      <c r="I157" s="410">
        <v>1.35</v>
      </c>
      <c r="J157" s="47">
        <f t="shared" si="12"/>
        <v>0</v>
      </c>
      <c r="K157" s="21">
        <f t="shared" si="13"/>
        <v>203.90088395091612</v>
      </c>
    </row>
    <row r="158" spans="1:11" s="22" customFormat="1" x14ac:dyDescent="0.35">
      <c r="A158" s="19">
        <v>146</v>
      </c>
      <c r="B158" s="19" t="s">
        <v>76</v>
      </c>
      <c r="C158" s="20" t="s">
        <v>146</v>
      </c>
      <c r="D158" s="116"/>
      <c r="E158" s="410">
        <v>2.56</v>
      </c>
      <c r="F158" s="47">
        <f t="shared" si="10"/>
        <v>0</v>
      </c>
      <c r="G158" s="21">
        <f t="shared" si="11"/>
        <v>386.65649104766317</v>
      </c>
      <c r="H158" s="150">
        <v>0</v>
      </c>
      <c r="I158" s="410">
        <v>2.14</v>
      </c>
      <c r="J158" s="47">
        <f t="shared" si="12"/>
        <v>0</v>
      </c>
      <c r="K158" s="21">
        <f t="shared" si="13"/>
        <v>323.22066048515592</v>
      </c>
    </row>
    <row r="159" spans="1:11" s="22" customFormat="1" x14ac:dyDescent="0.35">
      <c r="A159" s="19">
        <v>147</v>
      </c>
      <c r="B159" s="19" t="s">
        <v>77</v>
      </c>
      <c r="C159" s="20" t="s">
        <v>407</v>
      </c>
      <c r="D159" s="116"/>
      <c r="E159" s="410">
        <v>1.6</v>
      </c>
      <c r="F159" s="47">
        <f t="shared" si="10"/>
        <v>0</v>
      </c>
      <c r="G159" s="21">
        <f t="shared" si="11"/>
        <v>241.66030690478948</v>
      </c>
      <c r="H159" s="150">
        <v>0</v>
      </c>
      <c r="I159" s="410">
        <v>1.6</v>
      </c>
      <c r="J159" s="47">
        <f t="shared" si="12"/>
        <v>0</v>
      </c>
      <c r="K159" s="21">
        <f t="shared" si="13"/>
        <v>241.66030690478948</v>
      </c>
    </row>
    <row r="160" spans="1:11" s="22" customFormat="1" x14ac:dyDescent="0.35">
      <c r="A160" s="19">
        <v>148</v>
      </c>
      <c r="B160" s="19" t="s">
        <v>78</v>
      </c>
      <c r="C160" s="20" t="s">
        <v>408</v>
      </c>
      <c r="D160" s="116"/>
      <c r="E160" s="410">
        <v>2.64</v>
      </c>
      <c r="F160" s="47">
        <f t="shared" si="10"/>
        <v>0</v>
      </c>
      <c r="G160" s="21">
        <f t="shared" si="11"/>
        <v>398.73950639290263</v>
      </c>
      <c r="H160" s="150">
        <v>0</v>
      </c>
      <c r="I160" s="410">
        <v>2.64</v>
      </c>
      <c r="J160" s="47">
        <f t="shared" si="12"/>
        <v>0</v>
      </c>
      <c r="K160" s="21">
        <f t="shared" si="13"/>
        <v>398.73950639290263</v>
      </c>
    </row>
    <row r="161" spans="1:11" s="22" customFormat="1" x14ac:dyDescent="0.35">
      <c r="A161" s="19">
        <v>149</v>
      </c>
      <c r="B161" s="19" t="s">
        <v>79</v>
      </c>
      <c r="C161" s="20" t="s">
        <v>409</v>
      </c>
      <c r="D161" s="116">
        <v>4599</v>
      </c>
      <c r="E161" s="410">
        <v>1.24</v>
      </c>
      <c r="F161" s="47">
        <f t="shared" si="10"/>
        <v>5702.76</v>
      </c>
      <c r="G161" s="21">
        <f t="shared" si="11"/>
        <v>187.28673785121183</v>
      </c>
      <c r="H161" s="150">
        <v>0</v>
      </c>
      <c r="I161" s="410">
        <v>1.24</v>
      </c>
      <c r="J161" s="47">
        <f t="shared" si="12"/>
        <v>0</v>
      </c>
      <c r="K161" s="21">
        <f t="shared" si="13"/>
        <v>187.28673785121183</v>
      </c>
    </row>
    <row r="162" spans="1:11" s="22" customFormat="1" x14ac:dyDescent="0.35">
      <c r="A162" s="19">
        <v>150</v>
      </c>
      <c r="B162" s="19" t="s">
        <v>80</v>
      </c>
      <c r="C162" s="20" t="s">
        <v>410</v>
      </c>
      <c r="D162" s="116"/>
      <c r="E162" s="410">
        <v>0.83</v>
      </c>
      <c r="F162" s="47">
        <f t="shared" si="10"/>
        <v>0</v>
      </c>
      <c r="G162" s="21">
        <f t="shared" si="11"/>
        <v>125.36128420685954</v>
      </c>
      <c r="H162" s="150">
        <v>0</v>
      </c>
      <c r="I162" s="410">
        <v>0.72</v>
      </c>
      <c r="J162" s="47">
        <f t="shared" si="12"/>
        <v>0</v>
      </c>
      <c r="K162" s="21">
        <f t="shared" si="13"/>
        <v>108.74713810715525</v>
      </c>
    </row>
    <row r="163" spans="1:11" s="22" customFormat="1" x14ac:dyDescent="0.35">
      <c r="A163" s="19">
        <v>151</v>
      </c>
      <c r="B163" s="19" t="s">
        <v>81</v>
      </c>
      <c r="C163" s="20" t="s">
        <v>411</v>
      </c>
      <c r="D163" s="116"/>
      <c r="E163" s="410">
        <v>0.92</v>
      </c>
      <c r="F163" s="47">
        <f t="shared" si="10"/>
        <v>0</v>
      </c>
      <c r="G163" s="21">
        <f t="shared" si="11"/>
        <v>138.95467647025396</v>
      </c>
      <c r="H163" s="150">
        <v>827</v>
      </c>
      <c r="I163" s="410">
        <v>0.92</v>
      </c>
      <c r="J163" s="47">
        <f t="shared" si="12"/>
        <v>760.84</v>
      </c>
      <c r="K163" s="21">
        <f t="shared" si="13"/>
        <v>138.95467647025396</v>
      </c>
    </row>
    <row r="164" spans="1:11" s="22" customFormat="1" x14ac:dyDescent="0.35">
      <c r="A164" s="19">
        <v>152</v>
      </c>
      <c r="B164" s="19" t="s">
        <v>82</v>
      </c>
      <c r="C164" s="20" t="s">
        <v>412</v>
      </c>
      <c r="D164" s="116"/>
      <c r="E164" s="410">
        <v>0.14000000000000001</v>
      </c>
      <c r="F164" s="47">
        <f t="shared" si="10"/>
        <v>0</v>
      </c>
      <c r="G164" s="21">
        <f t="shared" si="11"/>
        <v>21.145276854169079</v>
      </c>
      <c r="H164" s="150">
        <v>0</v>
      </c>
      <c r="I164" s="410">
        <v>0.12</v>
      </c>
      <c r="J164" s="47">
        <f t="shared" si="12"/>
        <v>0</v>
      </c>
      <c r="K164" s="21">
        <f t="shared" si="13"/>
        <v>18.124523017859211</v>
      </c>
    </row>
    <row r="165" spans="1:11" s="22" customFormat="1" x14ac:dyDescent="0.35">
      <c r="A165" s="19">
        <v>153</v>
      </c>
      <c r="B165" s="19" t="s">
        <v>83</v>
      </c>
      <c r="C165" s="20" t="s">
        <v>417</v>
      </c>
      <c r="D165" s="116"/>
      <c r="E165" s="410">
        <v>3.3600000000000003</v>
      </c>
      <c r="F165" s="47">
        <f t="shared" si="10"/>
        <v>0</v>
      </c>
      <c r="G165" s="21">
        <f t="shared" si="11"/>
        <v>507.48664450005793</v>
      </c>
      <c r="H165" s="150">
        <v>0</v>
      </c>
      <c r="I165" s="410">
        <v>2.88</v>
      </c>
      <c r="J165" s="47">
        <f t="shared" si="12"/>
        <v>0</v>
      </c>
      <c r="K165" s="21">
        <f t="shared" si="13"/>
        <v>434.98855242862101</v>
      </c>
    </row>
    <row r="166" spans="1:11" s="22" customFormat="1" x14ac:dyDescent="0.35">
      <c r="A166" s="19">
        <v>154</v>
      </c>
      <c r="B166" s="19" t="s">
        <v>84</v>
      </c>
      <c r="C166" s="20" t="s">
        <v>415</v>
      </c>
      <c r="D166" s="116"/>
      <c r="E166" s="410">
        <v>0.44</v>
      </c>
      <c r="F166" s="47">
        <f t="shared" si="10"/>
        <v>0</v>
      </c>
      <c r="G166" s="21">
        <f t="shared" si="11"/>
        <v>66.4565843988171</v>
      </c>
      <c r="H166" s="150">
        <v>0</v>
      </c>
      <c r="I166" s="410">
        <v>0.44</v>
      </c>
      <c r="J166" s="47">
        <f t="shared" si="12"/>
        <v>0</v>
      </c>
      <c r="K166" s="21">
        <f t="shared" si="13"/>
        <v>66.4565843988171</v>
      </c>
    </row>
    <row r="167" spans="1:11" s="22" customFormat="1" x14ac:dyDescent="0.35">
      <c r="A167" s="19">
        <v>155</v>
      </c>
      <c r="B167" s="19" t="s">
        <v>85</v>
      </c>
      <c r="C167" s="20" t="s">
        <v>416</v>
      </c>
      <c r="D167" s="116"/>
      <c r="E167" s="410">
        <v>5.28</v>
      </c>
      <c r="F167" s="47">
        <f t="shared" si="10"/>
        <v>0</v>
      </c>
      <c r="G167" s="21">
        <f t="shared" si="11"/>
        <v>797.47901278580525</v>
      </c>
      <c r="H167" s="150">
        <v>0</v>
      </c>
      <c r="I167" s="410">
        <v>5.28</v>
      </c>
      <c r="J167" s="47">
        <f t="shared" si="12"/>
        <v>0</v>
      </c>
      <c r="K167" s="21">
        <f t="shared" si="13"/>
        <v>797.47901278580525</v>
      </c>
    </row>
    <row r="168" spans="1:11" s="22" customFormat="1" x14ac:dyDescent="0.35">
      <c r="A168" s="19">
        <v>156</v>
      </c>
      <c r="B168" s="19" t="s">
        <v>86</v>
      </c>
      <c r="C168" s="20" t="s">
        <v>414</v>
      </c>
      <c r="D168" s="116"/>
      <c r="E168" s="410">
        <v>0.44</v>
      </c>
      <c r="F168" s="47">
        <f t="shared" si="10"/>
        <v>0</v>
      </c>
      <c r="G168" s="21">
        <f t="shared" si="11"/>
        <v>66.4565843988171</v>
      </c>
      <c r="H168" s="150">
        <v>0</v>
      </c>
      <c r="I168" s="410">
        <v>0.44</v>
      </c>
      <c r="J168" s="47">
        <f t="shared" si="12"/>
        <v>0</v>
      </c>
      <c r="K168" s="21">
        <f t="shared" si="13"/>
        <v>66.4565843988171</v>
      </c>
    </row>
    <row r="169" spans="1:11" s="22" customFormat="1" x14ac:dyDescent="0.35">
      <c r="A169" s="19">
        <v>157</v>
      </c>
      <c r="B169" s="19" t="s">
        <v>87</v>
      </c>
      <c r="C169" s="20" t="s">
        <v>413</v>
      </c>
      <c r="D169" s="116"/>
      <c r="E169" s="410">
        <v>5.28</v>
      </c>
      <c r="F169" s="47">
        <f t="shared" si="10"/>
        <v>0</v>
      </c>
      <c r="G169" s="21">
        <f t="shared" si="11"/>
        <v>797.47901278580525</v>
      </c>
      <c r="H169" s="150">
        <v>0</v>
      </c>
      <c r="I169" s="410">
        <v>5.28</v>
      </c>
      <c r="J169" s="47">
        <f t="shared" si="12"/>
        <v>0</v>
      </c>
      <c r="K169" s="21">
        <f t="shared" si="13"/>
        <v>797.47901278580525</v>
      </c>
    </row>
    <row r="170" spans="1:11" s="22" customFormat="1" x14ac:dyDescent="0.35">
      <c r="A170" s="19">
        <v>158</v>
      </c>
      <c r="B170" s="19" t="s">
        <v>88</v>
      </c>
      <c r="C170" s="20" t="s">
        <v>418</v>
      </c>
      <c r="D170" s="116"/>
      <c r="E170" s="410">
        <v>0.14000000000000001</v>
      </c>
      <c r="F170" s="47">
        <f t="shared" si="10"/>
        <v>0</v>
      </c>
      <c r="G170" s="21">
        <f t="shared" si="11"/>
        <v>21.145276854169079</v>
      </c>
      <c r="H170" s="150">
        <v>0</v>
      </c>
      <c r="I170" s="410">
        <v>0.12</v>
      </c>
      <c r="J170" s="47">
        <f t="shared" si="12"/>
        <v>0</v>
      </c>
      <c r="K170" s="21">
        <f t="shared" si="13"/>
        <v>18.124523017859211</v>
      </c>
    </row>
    <row r="171" spans="1:11" s="22" customFormat="1" x14ac:dyDescent="0.35">
      <c r="A171" s="19">
        <v>159</v>
      </c>
      <c r="B171" s="19" t="s">
        <v>89</v>
      </c>
      <c r="C171" s="20" t="s">
        <v>419</v>
      </c>
      <c r="D171" s="116"/>
      <c r="E171" s="410">
        <v>3.3600000000000003</v>
      </c>
      <c r="F171" s="47">
        <f t="shared" si="10"/>
        <v>0</v>
      </c>
      <c r="G171" s="21">
        <f t="shared" si="11"/>
        <v>507.48664450005793</v>
      </c>
      <c r="H171" s="150">
        <v>0</v>
      </c>
      <c r="I171" s="410">
        <v>2.88</v>
      </c>
      <c r="J171" s="47">
        <f t="shared" si="12"/>
        <v>0</v>
      </c>
      <c r="K171" s="21">
        <f t="shared" si="13"/>
        <v>434.98855242862101</v>
      </c>
    </row>
    <row r="172" spans="1:11" s="22" customFormat="1" x14ac:dyDescent="0.35">
      <c r="A172" s="19">
        <v>160</v>
      </c>
      <c r="B172" s="19" t="s">
        <v>90</v>
      </c>
      <c r="C172" s="20" t="s">
        <v>420</v>
      </c>
      <c r="D172" s="116"/>
      <c r="E172" s="410">
        <v>0.14000000000000001</v>
      </c>
      <c r="F172" s="47">
        <f t="shared" si="10"/>
        <v>0</v>
      </c>
      <c r="G172" s="21">
        <f t="shared" si="11"/>
        <v>21.145276854169079</v>
      </c>
      <c r="H172" s="150">
        <v>0</v>
      </c>
      <c r="I172" s="410">
        <v>0.12</v>
      </c>
      <c r="J172" s="47">
        <f t="shared" si="12"/>
        <v>0</v>
      </c>
      <c r="K172" s="21">
        <f t="shared" si="13"/>
        <v>18.124523017859211</v>
      </c>
    </row>
    <row r="173" spans="1:11" s="22" customFormat="1" x14ac:dyDescent="0.35">
      <c r="A173" s="19">
        <v>161</v>
      </c>
      <c r="B173" s="19" t="s">
        <v>91</v>
      </c>
      <c r="C173" s="20" t="s">
        <v>421</v>
      </c>
      <c r="D173" s="116"/>
      <c r="E173" s="410">
        <v>3.3600000000000003</v>
      </c>
      <c r="F173" s="47">
        <f t="shared" si="10"/>
        <v>0</v>
      </c>
      <c r="G173" s="21">
        <f t="shared" si="11"/>
        <v>507.48664450005793</v>
      </c>
      <c r="H173" s="150">
        <v>0</v>
      </c>
      <c r="I173" s="410">
        <v>2.88</v>
      </c>
      <c r="J173" s="47">
        <f t="shared" si="12"/>
        <v>0</v>
      </c>
      <c r="K173" s="21">
        <f t="shared" si="13"/>
        <v>434.98855242862101</v>
      </c>
    </row>
    <row r="174" spans="1:11" s="22" customFormat="1" x14ac:dyDescent="0.35">
      <c r="A174" s="19">
        <v>162</v>
      </c>
      <c r="B174" s="19" t="s">
        <v>92</v>
      </c>
      <c r="C174" s="20" t="s">
        <v>422</v>
      </c>
      <c r="D174" s="116"/>
      <c r="E174" s="410">
        <v>0.14000000000000001</v>
      </c>
      <c r="F174" s="47">
        <f t="shared" si="10"/>
        <v>0</v>
      </c>
      <c r="G174" s="21">
        <f t="shared" si="11"/>
        <v>21.145276854169079</v>
      </c>
      <c r="H174" s="150">
        <v>0</v>
      </c>
      <c r="I174" s="410">
        <v>0.12</v>
      </c>
      <c r="J174" s="47">
        <f t="shared" si="12"/>
        <v>0</v>
      </c>
      <c r="K174" s="21">
        <f t="shared" si="13"/>
        <v>18.124523017859211</v>
      </c>
    </row>
    <row r="175" spans="1:11" s="22" customFormat="1" x14ac:dyDescent="0.35">
      <c r="A175" s="19">
        <v>163</v>
      </c>
      <c r="B175" s="19" t="s">
        <v>93</v>
      </c>
      <c r="C175" s="20" t="s">
        <v>423</v>
      </c>
      <c r="D175" s="116"/>
      <c r="E175" s="410">
        <v>0.14000000000000001</v>
      </c>
      <c r="F175" s="47">
        <f t="shared" si="10"/>
        <v>0</v>
      </c>
      <c r="G175" s="21">
        <f t="shared" si="11"/>
        <v>21.145276854169079</v>
      </c>
      <c r="H175" s="150">
        <v>0</v>
      </c>
      <c r="I175" s="410">
        <v>0.12</v>
      </c>
      <c r="J175" s="47">
        <f t="shared" si="12"/>
        <v>0</v>
      </c>
      <c r="K175" s="21">
        <f t="shared" si="13"/>
        <v>18.124523017859211</v>
      </c>
    </row>
    <row r="176" spans="1:11" s="22" customFormat="1" x14ac:dyDescent="0.35">
      <c r="A176" s="19">
        <v>164</v>
      </c>
      <c r="B176" s="19" t="s">
        <v>94</v>
      </c>
      <c r="C176" s="20" t="s">
        <v>424</v>
      </c>
      <c r="D176" s="116"/>
      <c r="E176" s="410">
        <v>3.3600000000000003</v>
      </c>
      <c r="F176" s="47">
        <f t="shared" si="10"/>
        <v>0</v>
      </c>
      <c r="G176" s="21">
        <f t="shared" si="11"/>
        <v>507.48664450005793</v>
      </c>
      <c r="H176" s="150">
        <v>0</v>
      </c>
      <c r="I176" s="410">
        <v>2.88</v>
      </c>
      <c r="J176" s="47">
        <f t="shared" si="12"/>
        <v>0</v>
      </c>
      <c r="K176" s="21">
        <f t="shared" si="13"/>
        <v>434.98855242862101</v>
      </c>
    </row>
    <row r="177" spans="1:11" s="22" customFormat="1" x14ac:dyDescent="0.35">
      <c r="A177" s="19">
        <v>165</v>
      </c>
      <c r="B177" s="19" t="s">
        <v>95</v>
      </c>
      <c r="C177" s="20" t="s">
        <v>425</v>
      </c>
      <c r="D177" s="116"/>
      <c r="E177" s="410">
        <v>0.14000000000000001</v>
      </c>
      <c r="F177" s="47">
        <f t="shared" si="10"/>
        <v>0</v>
      </c>
      <c r="G177" s="21">
        <f t="shared" si="11"/>
        <v>21.145276854169079</v>
      </c>
      <c r="H177" s="150">
        <v>0</v>
      </c>
      <c r="I177" s="410">
        <v>0.12</v>
      </c>
      <c r="J177" s="47">
        <f t="shared" si="12"/>
        <v>0</v>
      </c>
      <c r="K177" s="21">
        <f t="shared" si="13"/>
        <v>18.124523017859211</v>
      </c>
    </row>
    <row r="178" spans="1:11" s="22" customFormat="1" x14ac:dyDescent="0.35">
      <c r="A178" s="19">
        <v>166</v>
      </c>
      <c r="B178" s="19" t="s">
        <v>96</v>
      </c>
      <c r="C178" s="20" t="s">
        <v>426</v>
      </c>
      <c r="D178" s="116"/>
      <c r="E178" s="410">
        <v>1.29</v>
      </c>
      <c r="F178" s="47">
        <f t="shared" si="10"/>
        <v>0</v>
      </c>
      <c r="G178" s="21">
        <f t="shared" si="11"/>
        <v>194.8386224419865</v>
      </c>
      <c r="H178" s="150">
        <v>0</v>
      </c>
      <c r="I178" s="410">
        <v>1.1299999999999999</v>
      </c>
      <c r="J178" s="47">
        <f t="shared" si="12"/>
        <v>0</v>
      </c>
      <c r="K178" s="21">
        <f t="shared" si="13"/>
        <v>170.67259175150755</v>
      </c>
    </row>
    <row r="179" spans="1:11" s="22" customFormat="1" x14ac:dyDescent="0.35">
      <c r="A179" s="19">
        <v>167</v>
      </c>
      <c r="B179" s="19" t="s">
        <v>35</v>
      </c>
      <c r="C179" s="20" t="s">
        <v>37</v>
      </c>
      <c r="D179" s="116"/>
      <c r="E179" s="410">
        <v>0</v>
      </c>
      <c r="F179" s="47">
        <f t="shared" si="10"/>
        <v>0</v>
      </c>
      <c r="G179" s="21">
        <f t="shared" si="11"/>
        <v>0</v>
      </c>
      <c r="H179" s="150">
        <v>0</v>
      </c>
      <c r="I179" s="410">
        <v>0</v>
      </c>
      <c r="J179" s="47">
        <f t="shared" si="12"/>
        <v>0</v>
      </c>
      <c r="K179" s="21">
        <f t="shared" si="13"/>
        <v>0</v>
      </c>
    </row>
    <row r="180" spans="1:11" s="22" customFormat="1" x14ac:dyDescent="0.35">
      <c r="A180" s="19">
        <v>168</v>
      </c>
      <c r="B180" s="19" t="s">
        <v>97</v>
      </c>
      <c r="C180" s="20" t="s">
        <v>427</v>
      </c>
      <c r="D180" s="116"/>
      <c r="E180" s="410">
        <v>0</v>
      </c>
      <c r="F180" s="47">
        <f t="shared" si="10"/>
        <v>0</v>
      </c>
      <c r="G180" s="21">
        <f t="shared" si="11"/>
        <v>0</v>
      </c>
      <c r="H180" s="150">
        <v>0</v>
      </c>
      <c r="I180" s="410">
        <v>0</v>
      </c>
      <c r="J180" s="47">
        <f t="shared" si="12"/>
        <v>0</v>
      </c>
      <c r="K180" s="21">
        <f t="shared" si="13"/>
        <v>0</v>
      </c>
    </row>
    <row r="181" spans="1:11" s="22" customFormat="1" x14ac:dyDescent="0.35">
      <c r="A181" s="19">
        <v>169</v>
      </c>
      <c r="B181" s="19" t="s">
        <v>98</v>
      </c>
      <c r="C181" s="20" t="s">
        <v>428</v>
      </c>
      <c r="D181" s="116"/>
      <c r="E181" s="410">
        <v>0.22</v>
      </c>
      <c r="F181" s="47">
        <f t="shared" si="10"/>
        <v>0</v>
      </c>
      <c r="G181" s="21">
        <f t="shared" si="11"/>
        <v>33.22829219940855</v>
      </c>
      <c r="H181" s="150">
        <v>0</v>
      </c>
      <c r="I181" s="410">
        <v>0.22</v>
      </c>
      <c r="J181" s="47">
        <f t="shared" si="12"/>
        <v>0</v>
      </c>
      <c r="K181" s="21">
        <f t="shared" si="13"/>
        <v>33.22829219940855</v>
      </c>
    </row>
    <row r="182" spans="1:11" s="22" customFormat="1" x14ac:dyDescent="0.35">
      <c r="A182" s="19">
        <v>170</v>
      </c>
      <c r="B182" s="19" t="s">
        <v>99</v>
      </c>
      <c r="C182" s="20" t="s">
        <v>429</v>
      </c>
      <c r="D182" s="116"/>
      <c r="E182" s="410">
        <v>4.4000000000000004</v>
      </c>
      <c r="F182" s="47">
        <f t="shared" si="10"/>
        <v>0</v>
      </c>
      <c r="G182" s="21">
        <f t="shared" si="11"/>
        <v>664.56584398817108</v>
      </c>
      <c r="H182" s="150">
        <v>0</v>
      </c>
      <c r="I182" s="410">
        <v>4.4000000000000004</v>
      </c>
      <c r="J182" s="47">
        <f t="shared" si="12"/>
        <v>0</v>
      </c>
      <c r="K182" s="21">
        <f t="shared" si="13"/>
        <v>664.56584398817108</v>
      </c>
    </row>
    <row r="183" spans="1:11" s="22" customFormat="1" x14ac:dyDescent="0.35">
      <c r="A183" s="19">
        <v>171</v>
      </c>
      <c r="B183" s="19" t="s">
        <v>100</v>
      </c>
      <c r="C183" s="20" t="s">
        <v>147</v>
      </c>
      <c r="D183" s="116"/>
      <c r="E183" s="410">
        <v>1.02</v>
      </c>
      <c r="F183" s="47">
        <f t="shared" si="10"/>
        <v>0</v>
      </c>
      <c r="G183" s="21">
        <f t="shared" si="11"/>
        <v>154.05844565180328</v>
      </c>
      <c r="H183" s="150">
        <v>0</v>
      </c>
      <c r="I183" s="410">
        <v>0.94</v>
      </c>
      <c r="J183" s="47">
        <f t="shared" si="12"/>
        <v>0</v>
      </c>
      <c r="K183" s="21">
        <f t="shared" si="13"/>
        <v>141.97543030656379</v>
      </c>
    </row>
    <row r="184" spans="1:11" s="22" customFormat="1" x14ac:dyDescent="0.35">
      <c r="A184" s="19">
        <v>172</v>
      </c>
      <c r="B184" s="19" t="s">
        <v>101</v>
      </c>
      <c r="C184" s="20" t="s">
        <v>148</v>
      </c>
      <c r="D184" s="116"/>
      <c r="E184" s="410">
        <v>0.75</v>
      </c>
      <c r="F184" s="47">
        <f t="shared" si="10"/>
        <v>0</v>
      </c>
      <c r="G184" s="21">
        <f t="shared" si="11"/>
        <v>113.27826886162006</v>
      </c>
      <c r="H184" s="150">
        <v>0</v>
      </c>
      <c r="I184" s="410">
        <v>0.37</v>
      </c>
      <c r="J184" s="47">
        <f t="shared" si="12"/>
        <v>0</v>
      </c>
      <c r="K184" s="21">
        <f t="shared" si="13"/>
        <v>55.883945971732565</v>
      </c>
    </row>
    <row r="185" spans="1:11" s="22" customFormat="1" x14ac:dyDescent="0.35">
      <c r="A185" s="19">
        <v>173</v>
      </c>
      <c r="B185" s="19" t="s">
        <v>102</v>
      </c>
      <c r="C185" s="20" t="s">
        <v>430</v>
      </c>
      <c r="D185" s="116"/>
      <c r="E185" s="410">
        <v>0.75</v>
      </c>
      <c r="F185" s="47">
        <f t="shared" si="10"/>
        <v>0</v>
      </c>
      <c r="G185" s="21">
        <f t="shared" si="11"/>
        <v>113.27826886162006</v>
      </c>
      <c r="H185" s="150">
        <v>0</v>
      </c>
      <c r="I185" s="410">
        <v>0.37</v>
      </c>
      <c r="J185" s="47">
        <f t="shared" si="12"/>
        <v>0</v>
      </c>
      <c r="K185" s="21">
        <f t="shared" si="13"/>
        <v>55.883945971732565</v>
      </c>
    </row>
    <row r="186" spans="1:11" s="22" customFormat="1" x14ac:dyDescent="0.35">
      <c r="A186" s="19">
        <v>174</v>
      </c>
      <c r="B186" s="19" t="s">
        <v>103</v>
      </c>
      <c r="C186" s="20" t="s">
        <v>431</v>
      </c>
      <c r="D186" s="116"/>
      <c r="E186" s="410">
        <v>3.96</v>
      </c>
      <c r="F186" s="47">
        <f t="shared" si="10"/>
        <v>0</v>
      </c>
      <c r="G186" s="21">
        <f t="shared" si="11"/>
        <v>598.10925958935388</v>
      </c>
      <c r="H186" s="150">
        <v>0</v>
      </c>
      <c r="I186" s="410">
        <v>3.96</v>
      </c>
      <c r="J186" s="47">
        <f t="shared" si="12"/>
        <v>0</v>
      </c>
      <c r="K186" s="21">
        <f t="shared" si="13"/>
        <v>598.10925958935388</v>
      </c>
    </row>
    <row r="187" spans="1:11" s="22" customFormat="1" x14ac:dyDescent="0.35">
      <c r="A187" s="19">
        <v>175</v>
      </c>
      <c r="B187" s="19" t="s">
        <v>104</v>
      </c>
      <c r="C187" s="20" t="s">
        <v>432</v>
      </c>
      <c r="D187" s="116"/>
      <c r="E187" s="410">
        <v>3.59</v>
      </c>
      <c r="F187" s="47">
        <f t="shared" si="10"/>
        <v>0</v>
      </c>
      <c r="G187" s="21">
        <f t="shared" ref="G187:G196" si="18">E187*$F$12</f>
        <v>542.2253136176214</v>
      </c>
      <c r="H187" s="150">
        <v>0</v>
      </c>
      <c r="I187" s="410">
        <v>3.59</v>
      </c>
      <c r="J187" s="47">
        <f t="shared" si="12"/>
        <v>0</v>
      </c>
      <c r="K187" s="21">
        <f t="shared" ref="K187:K196" si="19">I187*$F$12</f>
        <v>542.2253136176214</v>
      </c>
    </row>
    <row r="188" spans="1:11" s="22" customFormat="1" x14ac:dyDescent="0.35">
      <c r="A188" s="19">
        <v>176</v>
      </c>
      <c r="B188" s="19" t="s">
        <v>36</v>
      </c>
      <c r="C188" s="20" t="s">
        <v>38</v>
      </c>
      <c r="D188" s="116"/>
      <c r="E188" s="410">
        <v>0</v>
      </c>
      <c r="F188" s="47">
        <f t="shared" ref="F188:F196" si="20">D188*E188</f>
        <v>0</v>
      </c>
      <c r="G188" s="21">
        <f t="shared" si="18"/>
        <v>0</v>
      </c>
      <c r="H188" s="150">
        <v>0</v>
      </c>
      <c r="I188" s="410">
        <v>0</v>
      </c>
      <c r="J188" s="47">
        <f t="shared" ref="J188:J196" si="21">H188*I188</f>
        <v>0</v>
      </c>
      <c r="K188" s="21">
        <f t="shared" si="19"/>
        <v>0</v>
      </c>
    </row>
    <row r="189" spans="1:11" s="22" customFormat="1" x14ac:dyDescent="0.35">
      <c r="A189" s="19">
        <v>177</v>
      </c>
      <c r="B189" s="19" t="s">
        <v>105</v>
      </c>
      <c r="C189" s="20" t="s">
        <v>433</v>
      </c>
      <c r="D189" s="116"/>
      <c r="E189" s="410">
        <v>0.28999999999999998</v>
      </c>
      <c r="F189" s="47">
        <f t="shared" si="20"/>
        <v>0</v>
      </c>
      <c r="G189" s="21">
        <f t="shared" si="18"/>
        <v>43.800930626493091</v>
      </c>
      <c r="H189" s="150">
        <v>0</v>
      </c>
      <c r="I189" s="410">
        <v>0.28999999999999998</v>
      </c>
      <c r="J189" s="47">
        <f t="shared" si="21"/>
        <v>0</v>
      </c>
      <c r="K189" s="21">
        <f t="shared" si="19"/>
        <v>43.800930626493091</v>
      </c>
    </row>
    <row r="190" spans="1:11" s="22" customFormat="1" x14ac:dyDescent="0.35">
      <c r="A190" s="19">
        <v>178</v>
      </c>
      <c r="B190" s="19" t="s">
        <v>106</v>
      </c>
      <c r="C190" s="20" t="s">
        <v>149</v>
      </c>
      <c r="D190" s="116"/>
      <c r="E190" s="410">
        <v>3.07</v>
      </c>
      <c r="F190" s="47">
        <f t="shared" si="20"/>
        <v>0</v>
      </c>
      <c r="G190" s="21">
        <f t="shared" si="18"/>
        <v>463.68571387356479</v>
      </c>
      <c r="H190" s="150">
        <v>0</v>
      </c>
      <c r="I190" s="410">
        <v>3.05</v>
      </c>
      <c r="J190" s="47">
        <f t="shared" si="21"/>
        <v>0</v>
      </c>
      <c r="K190" s="21">
        <f t="shared" si="19"/>
        <v>460.6649600372549</v>
      </c>
    </row>
    <row r="191" spans="1:11" s="22" customFormat="1" ht="29" x14ac:dyDescent="0.35">
      <c r="A191" s="19">
        <v>179</v>
      </c>
      <c r="B191" s="19" t="s">
        <v>27</v>
      </c>
      <c r="C191" s="20" t="s">
        <v>30</v>
      </c>
      <c r="D191" s="116"/>
      <c r="E191" s="410">
        <v>0</v>
      </c>
      <c r="F191" s="47">
        <f t="shared" si="20"/>
        <v>0</v>
      </c>
      <c r="G191" s="21">
        <f t="shared" si="18"/>
        <v>0</v>
      </c>
      <c r="H191" s="150">
        <v>0</v>
      </c>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89.112238171141115</v>
      </c>
      <c r="H192" s="150">
        <v>0</v>
      </c>
      <c r="I192" s="410">
        <v>0.55000000000000004</v>
      </c>
      <c r="J192" s="47">
        <f t="shared" si="21"/>
        <v>0</v>
      </c>
      <c r="K192" s="21">
        <f t="shared" si="19"/>
        <v>83.070730498521385</v>
      </c>
    </row>
    <row r="193" spans="1:11" s="22" customFormat="1" x14ac:dyDescent="0.35">
      <c r="A193" s="19">
        <v>181</v>
      </c>
      <c r="B193" s="19" t="s">
        <v>28</v>
      </c>
      <c r="C193" s="20" t="s">
        <v>31</v>
      </c>
      <c r="D193" s="116"/>
      <c r="E193" s="410">
        <v>0</v>
      </c>
      <c r="F193" s="47">
        <f t="shared" si="20"/>
        <v>0</v>
      </c>
      <c r="G193" s="21">
        <f t="shared" si="18"/>
        <v>0</v>
      </c>
      <c r="H193" s="150">
        <v>0</v>
      </c>
      <c r="I193" s="410">
        <v>0</v>
      </c>
      <c r="J193" s="47">
        <f t="shared" si="21"/>
        <v>0</v>
      </c>
      <c r="K193" s="21">
        <f t="shared" si="19"/>
        <v>0</v>
      </c>
    </row>
    <row r="194" spans="1:11" s="22" customFormat="1" x14ac:dyDescent="0.35">
      <c r="A194" s="19">
        <v>182</v>
      </c>
      <c r="B194" s="19" t="s">
        <v>108</v>
      </c>
      <c r="C194" s="20" t="s">
        <v>434</v>
      </c>
      <c r="D194" s="116"/>
      <c r="E194" s="410">
        <v>0.64</v>
      </c>
      <c r="F194" s="47">
        <f t="shared" si="20"/>
        <v>0</v>
      </c>
      <c r="G194" s="21">
        <f t="shared" si="18"/>
        <v>96.664122761915792</v>
      </c>
      <c r="H194" s="150">
        <v>6</v>
      </c>
      <c r="I194" s="410">
        <v>0.6</v>
      </c>
      <c r="J194" s="47">
        <f t="shared" si="21"/>
        <v>3.5999999999999996</v>
      </c>
      <c r="K194" s="21">
        <f t="shared" si="19"/>
        <v>90.622615089296048</v>
      </c>
    </row>
    <row r="195" spans="1:11" s="22" customFormat="1" x14ac:dyDescent="0.35">
      <c r="A195" s="19">
        <v>183</v>
      </c>
      <c r="B195" s="19" t="s">
        <v>109</v>
      </c>
      <c r="C195" s="20" t="s">
        <v>151</v>
      </c>
      <c r="D195" s="116">
        <v>12574</v>
      </c>
      <c r="E195" s="410">
        <v>0.65000000000000013</v>
      </c>
      <c r="F195" s="47">
        <f t="shared" si="20"/>
        <v>8173.1000000000013</v>
      </c>
      <c r="G195" s="21">
        <f t="shared" si="18"/>
        <v>98.174499680070738</v>
      </c>
      <c r="H195" s="150">
        <v>4951</v>
      </c>
      <c r="I195" s="410">
        <v>0.59999999999999987</v>
      </c>
      <c r="J195" s="47">
        <f t="shared" si="21"/>
        <v>2970.5999999999995</v>
      </c>
      <c r="K195" s="21">
        <f t="shared" si="19"/>
        <v>90.622615089296033</v>
      </c>
    </row>
    <row r="196" spans="1:11" s="22" customFormat="1" x14ac:dyDescent="0.35">
      <c r="A196" s="19">
        <v>184</v>
      </c>
      <c r="B196" s="19" t="s">
        <v>29</v>
      </c>
      <c r="C196" s="20" t="s">
        <v>32</v>
      </c>
      <c r="D196" s="116"/>
      <c r="E196" s="410">
        <v>0</v>
      </c>
      <c r="F196" s="47">
        <f t="shared" si="20"/>
        <v>0</v>
      </c>
      <c r="G196" s="21">
        <f t="shared" si="18"/>
        <v>0</v>
      </c>
      <c r="H196" s="150">
        <v>0</v>
      </c>
      <c r="I196" s="410">
        <v>0</v>
      </c>
      <c r="J196" s="47">
        <f t="shared" si="21"/>
        <v>0</v>
      </c>
      <c r="K196" s="21">
        <f t="shared" si="19"/>
        <v>0</v>
      </c>
    </row>
    <row r="197" spans="1:11" x14ac:dyDescent="0.35">
      <c r="A197" s="19">
        <v>185</v>
      </c>
      <c r="D197" s="9">
        <f>SUM(D18:D196)</f>
        <v>29414</v>
      </c>
      <c r="E197" s="13"/>
      <c r="F197" s="9">
        <f>SUM(F18:F196)</f>
        <v>45778.080000000002</v>
      </c>
      <c r="H197" s="9">
        <f>SUM(H18:H196)</f>
        <v>25944</v>
      </c>
      <c r="J197" s="9">
        <f>SUM(J18:J196)</f>
        <v>82929.980000000025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t="str">
        <f>'As-Filed Schedule 1'!C5</f>
        <v>Eagle Valley Behavioral Health</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10" t="s">
        <v>868</v>
      </c>
      <c r="C9" s="510"/>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11" t="s">
        <v>870</v>
      </c>
      <c r="B11" s="512"/>
      <c r="C11" s="512"/>
      <c r="D11" s="513"/>
      <c r="G11" s="128"/>
      <c r="H11" s="128"/>
      <c r="I11" s="128"/>
      <c r="J11" s="128"/>
      <c r="K11" s="128"/>
      <c r="L11" s="128"/>
      <c r="M11" s="128"/>
    </row>
    <row r="12" spans="1:13" s="22" customFormat="1" x14ac:dyDescent="0.35">
      <c r="A12" s="155">
        <v>1</v>
      </c>
      <c r="B12" s="514" t="s">
        <v>871</v>
      </c>
      <c r="C12" s="515"/>
      <c r="D12" s="157">
        <v>3683482.42</v>
      </c>
      <c r="G12" s="140"/>
    </row>
    <row r="13" spans="1:13" s="22" customFormat="1" x14ac:dyDescent="0.35">
      <c r="A13" s="155">
        <v>2</v>
      </c>
      <c r="B13" s="514" t="s">
        <v>872</v>
      </c>
      <c r="C13" s="515"/>
      <c r="D13" s="157">
        <v>0</v>
      </c>
      <c r="G13" s="140"/>
    </row>
    <row r="14" spans="1:13" s="22" customFormat="1" x14ac:dyDescent="0.35">
      <c r="A14" s="155">
        <v>3</v>
      </c>
      <c r="B14" s="173" t="s">
        <v>873</v>
      </c>
      <c r="C14" s="168"/>
      <c r="D14" s="157">
        <v>407657.10000000009</v>
      </c>
      <c r="G14" s="140"/>
    </row>
    <row r="15" spans="1:13" s="22" customFormat="1" x14ac:dyDescent="0.35">
      <c r="A15" s="155">
        <v>4</v>
      </c>
      <c r="B15" s="173" t="s">
        <v>874</v>
      </c>
      <c r="C15" s="168"/>
      <c r="D15" s="157">
        <v>2293459.7000000007</v>
      </c>
      <c r="G15" s="140"/>
    </row>
    <row r="16" spans="1:13" s="22" customFormat="1" x14ac:dyDescent="0.35">
      <c r="A16" s="155">
        <v>5</v>
      </c>
      <c r="B16" s="173" t="s">
        <v>875</v>
      </c>
      <c r="C16" s="168"/>
      <c r="D16" s="157">
        <v>0</v>
      </c>
      <c r="G16" s="140"/>
    </row>
    <row r="17" spans="1:7" s="22" customFormat="1" x14ac:dyDescent="0.35">
      <c r="A17" s="155">
        <v>6</v>
      </c>
      <c r="B17" s="173" t="s">
        <v>876</v>
      </c>
      <c r="C17" s="168"/>
      <c r="D17" s="157">
        <v>111298.05000000002</v>
      </c>
      <c r="G17" s="140"/>
    </row>
    <row r="18" spans="1:7" s="22" customFormat="1" x14ac:dyDescent="0.35">
      <c r="A18" s="155">
        <v>7</v>
      </c>
      <c r="B18" s="514" t="s">
        <v>877</v>
      </c>
      <c r="C18" s="515"/>
      <c r="D18" s="157">
        <v>630042.57000000007</v>
      </c>
      <c r="G18" s="140"/>
    </row>
    <row r="19" spans="1:7" s="22" customFormat="1" x14ac:dyDescent="0.35">
      <c r="A19" s="155">
        <v>8</v>
      </c>
      <c r="B19" s="508" t="s">
        <v>878</v>
      </c>
      <c r="C19" s="509"/>
      <c r="D19" s="160">
        <f>SUM(D12:D18)</f>
        <v>7125939.8400000008</v>
      </c>
      <c r="G19" s="140"/>
    </row>
    <row r="20" spans="1:7" s="22" customFormat="1" x14ac:dyDescent="0.35">
      <c r="A20" s="161"/>
      <c r="B20" s="162"/>
      <c r="C20" s="162"/>
      <c r="D20" s="164"/>
      <c r="G20" s="140"/>
    </row>
    <row r="21" spans="1:7" s="22" customFormat="1" x14ac:dyDescent="0.35">
      <c r="A21" s="511" t="s">
        <v>879</v>
      </c>
      <c r="B21" s="512"/>
      <c r="C21" s="512"/>
      <c r="D21" s="513"/>
      <c r="E21" s="140"/>
      <c r="F21" s="140"/>
      <c r="G21" s="140"/>
    </row>
    <row r="22" spans="1:7" s="22" customFormat="1" x14ac:dyDescent="0.35">
      <c r="A22" s="155">
        <v>9</v>
      </c>
      <c r="B22" s="514" t="s">
        <v>880</v>
      </c>
      <c r="C22" s="515"/>
      <c r="D22" s="157">
        <v>4298487.93</v>
      </c>
      <c r="E22" s="140"/>
      <c r="F22" s="140"/>
      <c r="G22" s="140"/>
    </row>
    <row r="23" spans="1:7" s="22" customFormat="1" x14ac:dyDescent="0.35">
      <c r="A23" s="155">
        <v>10</v>
      </c>
      <c r="B23" s="173" t="s">
        <v>881</v>
      </c>
      <c r="C23" s="168"/>
      <c r="D23" s="157">
        <v>233978</v>
      </c>
      <c r="E23" s="140"/>
      <c r="F23" s="140"/>
      <c r="G23" s="140"/>
    </row>
    <row r="24" spans="1:7" s="22" customFormat="1" x14ac:dyDescent="0.35">
      <c r="A24" s="155">
        <v>11</v>
      </c>
      <c r="B24" s="173" t="s">
        <v>882</v>
      </c>
      <c r="C24" s="168"/>
      <c r="D24" s="157">
        <v>1672621.25</v>
      </c>
      <c r="E24" s="140"/>
      <c r="F24" s="140"/>
      <c r="G24" s="140"/>
    </row>
    <row r="25" spans="1:7" s="22" customFormat="1" x14ac:dyDescent="0.35">
      <c r="A25" s="155">
        <v>12</v>
      </c>
      <c r="B25" s="173" t="s">
        <v>883</v>
      </c>
      <c r="C25" s="168"/>
      <c r="D25" s="157">
        <v>1181899</v>
      </c>
      <c r="E25" s="140"/>
      <c r="F25" s="140"/>
      <c r="G25" s="140"/>
    </row>
    <row r="26" spans="1:7" s="22" customFormat="1" x14ac:dyDescent="0.35">
      <c r="A26" s="155">
        <v>13</v>
      </c>
      <c r="B26" s="173" t="s">
        <v>884</v>
      </c>
      <c r="C26" s="168"/>
      <c r="D26" s="157">
        <v>1181310.8999999999</v>
      </c>
      <c r="E26" s="140"/>
      <c r="F26" s="140"/>
      <c r="G26" s="140"/>
    </row>
    <row r="27" spans="1:7" s="22" customFormat="1" x14ac:dyDescent="0.35">
      <c r="A27" s="155">
        <v>14</v>
      </c>
      <c r="B27" s="508" t="s">
        <v>885</v>
      </c>
      <c r="C27" s="509"/>
      <c r="D27" s="160">
        <f>SUM(D22:D26)</f>
        <v>8568297.0800000001</v>
      </c>
      <c r="E27" s="140"/>
      <c r="F27" s="140"/>
      <c r="G27" s="140"/>
    </row>
    <row r="28" spans="1:7" s="22" customFormat="1" x14ac:dyDescent="0.35">
      <c r="A28" s="161"/>
      <c r="B28" s="162"/>
      <c r="C28" s="162"/>
      <c r="D28" s="164"/>
      <c r="F28" s="140"/>
      <c r="G28" s="140"/>
    </row>
    <row r="29" spans="1:7" s="22" customFormat="1" x14ac:dyDescent="0.35">
      <c r="A29" s="511" t="s">
        <v>886</v>
      </c>
      <c r="B29" s="512"/>
      <c r="C29" s="512"/>
      <c r="D29" s="513"/>
      <c r="F29" s="140"/>
      <c r="G29" s="140"/>
    </row>
    <row r="30" spans="1:7" s="22" customFormat="1" x14ac:dyDescent="0.35">
      <c r="A30" s="155">
        <v>15</v>
      </c>
      <c r="B30" s="514" t="s">
        <v>887</v>
      </c>
      <c r="C30" s="515"/>
      <c r="D30" s="157">
        <v>0</v>
      </c>
      <c r="G30" s="140"/>
    </row>
    <row r="31" spans="1:7" s="22" customFormat="1" x14ac:dyDescent="0.35">
      <c r="A31" s="155">
        <v>16</v>
      </c>
      <c r="B31" s="173" t="s">
        <v>888</v>
      </c>
      <c r="C31" s="168"/>
      <c r="D31" s="157">
        <v>0</v>
      </c>
      <c r="G31" s="140"/>
    </row>
    <row r="32" spans="1:7" s="22" customFormat="1" x14ac:dyDescent="0.35">
      <c r="A32" s="155">
        <v>17</v>
      </c>
      <c r="B32" s="173" t="s">
        <v>889</v>
      </c>
      <c r="C32" s="168"/>
      <c r="D32" s="157">
        <v>0</v>
      </c>
      <c r="G32" s="140"/>
    </row>
    <row r="33" spans="1:7" s="22" customFormat="1" x14ac:dyDescent="0.35">
      <c r="A33" s="155">
        <v>18</v>
      </c>
      <c r="B33" s="173" t="s">
        <v>890</v>
      </c>
      <c r="C33" s="168"/>
      <c r="D33" s="157">
        <v>0</v>
      </c>
      <c r="G33" s="140"/>
    </row>
    <row r="34" spans="1:7" s="22" customFormat="1" x14ac:dyDescent="0.35">
      <c r="A34" s="155">
        <v>19</v>
      </c>
      <c r="B34" s="173" t="s">
        <v>891</v>
      </c>
      <c r="C34" s="168"/>
      <c r="D34" s="157">
        <v>3962381</v>
      </c>
      <c r="G34" s="140"/>
    </row>
    <row r="35" spans="1:7" s="22" customFormat="1" x14ac:dyDescent="0.35">
      <c r="A35" s="155">
        <v>20</v>
      </c>
      <c r="B35" s="508" t="s">
        <v>892</v>
      </c>
      <c r="C35" s="509"/>
      <c r="D35" s="160">
        <f>SUM(D30:D34)</f>
        <v>3962381</v>
      </c>
      <c r="G35" s="140"/>
    </row>
    <row r="36" spans="1:7" s="22" customFormat="1" x14ac:dyDescent="0.35">
      <c r="A36" s="161"/>
      <c r="B36" s="162"/>
      <c r="C36" s="162"/>
      <c r="D36" s="164"/>
      <c r="G36" s="140"/>
    </row>
    <row r="37" spans="1:7" s="22" customFormat="1" x14ac:dyDescent="0.35">
      <c r="A37" s="511" t="s">
        <v>893</v>
      </c>
      <c r="B37" s="512"/>
      <c r="C37" s="512"/>
      <c r="D37" s="513"/>
      <c r="G37" s="140"/>
    </row>
    <row r="38" spans="1:7" s="22" customFormat="1" x14ac:dyDescent="0.35">
      <c r="A38" s="155">
        <v>21</v>
      </c>
      <c r="B38" s="514" t="s">
        <v>304</v>
      </c>
      <c r="C38" s="517"/>
      <c r="D38" s="157">
        <v>126086.78</v>
      </c>
      <c r="G38" s="140"/>
    </row>
    <row r="39" spans="1:7" s="22" customFormat="1" x14ac:dyDescent="0.35">
      <c r="A39" s="155">
        <v>22</v>
      </c>
      <c r="B39" s="514" t="s">
        <v>894</v>
      </c>
      <c r="C39" s="517"/>
      <c r="D39" s="157">
        <v>1271629.6000000001</v>
      </c>
      <c r="G39" s="140"/>
    </row>
    <row r="40" spans="1:7" s="22" customFormat="1" x14ac:dyDescent="0.35">
      <c r="A40" s="155">
        <v>23</v>
      </c>
      <c r="B40" s="514" t="s">
        <v>895</v>
      </c>
      <c r="C40" s="517"/>
      <c r="D40" s="157">
        <v>356684.49</v>
      </c>
      <c r="G40" s="140"/>
    </row>
    <row r="41" spans="1:7" s="22" customFormat="1" x14ac:dyDescent="0.35">
      <c r="A41" s="155">
        <v>24</v>
      </c>
      <c r="B41" s="508" t="s">
        <v>896</v>
      </c>
      <c r="C41" s="516"/>
      <c r="D41" s="160">
        <f>SUM(D38:D40)</f>
        <v>1754400.87</v>
      </c>
      <c r="G41" s="140"/>
    </row>
    <row r="42" spans="1:7" s="22" customFormat="1" x14ac:dyDescent="0.35">
      <c r="A42" s="161"/>
      <c r="B42" s="162"/>
      <c r="C42" s="162"/>
      <c r="D42" s="164"/>
      <c r="G42" s="140"/>
    </row>
    <row r="43" spans="1:7" s="63" customFormat="1" ht="15.5" x14ac:dyDescent="0.35">
      <c r="A43" s="155">
        <v>25</v>
      </c>
      <c r="B43" s="520" t="s">
        <v>897</v>
      </c>
      <c r="C43" s="522"/>
      <c r="D43" s="169">
        <f>SUM(D19,D27,D35,D41)</f>
        <v>21411018.790000003</v>
      </c>
      <c r="G43" s="141"/>
    </row>
    <row r="44" spans="1:7" s="22" customFormat="1" x14ac:dyDescent="0.35">
      <c r="A44" s="170"/>
      <c r="B44" s="170"/>
      <c r="C44" s="170"/>
      <c r="D44" s="170"/>
      <c r="G44" s="140"/>
    </row>
    <row r="45" spans="1:7" s="22" customFormat="1" x14ac:dyDescent="0.35">
      <c r="A45" s="155">
        <v>26</v>
      </c>
      <c r="B45" s="519" t="s">
        <v>898</v>
      </c>
      <c r="C45" s="519"/>
      <c r="D45" s="157"/>
      <c r="G45" s="140"/>
    </row>
    <row r="46" spans="1:7" s="22" customFormat="1" ht="15.5" x14ac:dyDescent="0.35">
      <c r="A46" s="155">
        <v>27</v>
      </c>
      <c r="B46" s="519" t="s">
        <v>10</v>
      </c>
      <c r="C46" s="519"/>
      <c r="D46" s="169">
        <f>D43-D45</f>
        <v>21411018.790000003</v>
      </c>
      <c r="E46" s="33" t="str">
        <f>IF(ABS(D46)&gt;1,"Error - This variance should be 0.","")</f>
        <v>Error - This variance should be 0.</v>
      </c>
      <c r="G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58" t="s">
        <v>774</v>
      </c>
      <c r="F1" s="53"/>
    </row>
    <row r="2" spans="1:31" ht="21" x14ac:dyDescent="0.5">
      <c r="A2" s="2" t="s">
        <v>772</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Eagle Valley Behavioral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510" t="s">
        <v>1</v>
      </c>
      <c r="C10" s="510"/>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11" t="s">
        <v>280</v>
      </c>
      <c r="B12" s="512"/>
      <c r="C12" s="512"/>
      <c r="D12" s="512"/>
      <c r="E12" s="512"/>
      <c r="F12" s="512"/>
      <c r="G12" s="512"/>
      <c r="H12" s="512"/>
      <c r="I12" s="512"/>
      <c r="J12" s="512"/>
      <c r="K12" s="512"/>
      <c r="L12" s="512"/>
      <c r="M12" s="512"/>
      <c r="N12" s="512"/>
      <c r="O12" s="512"/>
      <c r="P12" s="512"/>
      <c r="Q12" s="512"/>
      <c r="R12" s="512"/>
      <c r="S12" s="512"/>
      <c r="T12" s="512"/>
      <c r="U12" s="512"/>
      <c r="V12" s="512"/>
      <c r="W12" s="512"/>
      <c r="X12" s="513"/>
      <c r="Y12" s="128"/>
      <c r="Z12" s="128"/>
      <c r="AA12" s="128"/>
      <c r="AB12" s="128"/>
      <c r="AC12" s="128"/>
      <c r="AD12" s="128"/>
      <c r="AE12" s="128"/>
    </row>
    <row r="13" spans="1:31" s="22" customFormat="1" x14ac:dyDescent="0.35">
      <c r="A13" s="155">
        <v>1</v>
      </c>
      <c r="B13" s="514" t="s">
        <v>458</v>
      </c>
      <c r="C13" s="515"/>
      <c r="D13" s="156">
        <f>'As-Filed Schedule 1'!D12</f>
        <v>4.9928160919540217</v>
      </c>
      <c r="E13" s="263">
        <f>SUMIFS(Adjustments!$G:$G,Adjustments!$H:$H,"1",Adjustments!$I:$I,$D$9,Adjustments!$J:$J,$A13)</f>
        <v>0</v>
      </c>
      <c r="F13" s="272">
        <f>SUM(D13:E13)</f>
        <v>4.9928160919540217</v>
      </c>
      <c r="G13" s="157">
        <f>'As-Filed Schedule 1'!E12</f>
        <v>202221.09769581264</v>
      </c>
      <c r="H13" s="263">
        <f>SUMIFS(Adjustments!$G:$G,Adjustments!$H:$H,"1",Adjustments!$I:$I,$G$9,Adjustments!$J:$J,$A13)</f>
        <v>0</v>
      </c>
      <c r="I13" s="274">
        <f>SUM(G13:H13)</f>
        <v>202221.09769581264</v>
      </c>
      <c r="J13" s="157">
        <f>'As-Filed Schedule 1'!F12</f>
        <v>1922457.9191570361</v>
      </c>
      <c r="K13" s="263">
        <f>SUMIFS(Adjustments!$G:$G,Adjustments!$H:$H,"1",Adjustments!$I:$I,$J$9,Adjustments!$J:$J,$A13)</f>
        <v>0</v>
      </c>
      <c r="L13" s="274">
        <f>SUM(J13:K13)</f>
        <v>1922457.9191570361</v>
      </c>
      <c r="M13" s="157">
        <f>'As-Filed Schedule 1'!G12</f>
        <v>29522.076428571425</v>
      </c>
      <c r="N13" s="263">
        <f>SUMIFS(Adjustments!$G:$G,Adjustments!$H:$H,"1",Adjustments!$I:$I,$M$9,Adjustments!$J:$J,$A13)</f>
        <v>0</v>
      </c>
      <c r="O13" s="274">
        <f t="shared" ref="O13:O15" si="0">SUM(M13:N13)</f>
        <v>29522.076428571425</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2154206.0860975119</v>
      </c>
      <c r="W13" s="266">
        <f>SUM(E13,H13,K13,N13,Q13,T13)</f>
        <v>0</v>
      </c>
      <c r="X13" s="275">
        <f>SUM(F13,I13,L13,O13,R13,U13)</f>
        <v>2154206.0860975119</v>
      </c>
      <c r="Y13" s="140"/>
    </row>
    <row r="14" spans="1:31" s="22" customFormat="1" x14ac:dyDescent="0.35">
      <c r="A14" s="155">
        <v>2</v>
      </c>
      <c r="B14" s="514" t="s">
        <v>291</v>
      </c>
      <c r="C14" s="515"/>
      <c r="D14" s="156">
        <f>'As-Filed Schedule 1'!D13</f>
        <v>45.907499904214561</v>
      </c>
      <c r="E14" s="263">
        <f>SUMIFS(Adjustments!$G:$G,Adjustments!$H:$H,"1",Adjustments!$I:$I,$D$9,Adjustments!$J:$J,$A14)</f>
        <v>0</v>
      </c>
      <c r="F14" s="272">
        <f>SUM(D14:E14)</f>
        <v>45.907499904214561</v>
      </c>
      <c r="G14" s="157">
        <f>'As-Filed Schedule 1'!E13</f>
        <v>311124.43381652946</v>
      </c>
      <c r="H14" s="263">
        <f>SUMIFS(Adjustments!$G:$G,Adjustments!$H:$H,"1",Adjustments!$I:$I,$G$9,Adjustments!$J:$J,$A14)</f>
        <v>0</v>
      </c>
      <c r="I14" s="274">
        <f t="shared" ref="I14:I15" si="2">SUM(G14:H14)</f>
        <v>311124.43381652946</v>
      </c>
      <c r="J14" s="157">
        <f>'As-Filed Schedule 1'!F13</f>
        <v>5016387.8072286826</v>
      </c>
      <c r="K14" s="263">
        <f>SUMIFS(Adjustments!$G:$G,Adjustments!$H:$H,"1",Adjustments!$I:$I,$J$9,Adjustments!$J:$J,$A14)</f>
        <v>0</v>
      </c>
      <c r="L14" s="274">
        <f t="shared" ref="L14:L15" si="3">SUM(J14:K14)</f>
        <v>5016387.8072286826</v>
      </c>
      <c r="M14" s="157">
        <f>'As-Filed Schedule 1'!G13</f>
        <v>130821.87544728453</v>
      </c>
      <c r="N14" s="263">
        <f>SUMIFS(Adjustments!$G:$G,Adjustments!$H:$H,"1",Adjustments!$I:$I,$M$9,Adjustments!$J:$J,$A14)</f>
        <v>0</v>
      </c>
      <c r="O14" s="274">
        <f t="shared" si="0"/>
        <v>130821.87544728453</v>
      </c>
      <c r="P14" s="157">
        <f>'As-Filed Schedule 1'!H13</f>
        <v>1517</v>
      </c>
      <c r="Q14" s="263">
        <f>SUMIFS(Adjustments!$G:$G,Adjustments!$H:$H,"1",Adjustments!$I:$I,$P$9,Adjustments!$J:$J,$A14)</f>
        <v>0</v>
      </c>
      <c r="R14" s="274">
        <f t="shared" ref="R14:R15" si="4">SUM(P14:Q14)</f>
        <v>1517</v>
      </c>
      <c r="S14" s="157">
        <f>'As-Filed Schedule 1'!I13</f>
        <v>17601.04226798514</v>
      </c>
      <c r="T14" s="263">
        <f>SUMIFS(Adjustments!$G:$G,Adjustments!$H:$H,"1",Adjustments!$I:$I,$S$9,Adjustments!$J:$J,$A14)</f>
        <v>0</v>
      </c>
      <c r="U14" s="274">
        <f t="shared" si="1"/>
        <v>17601.04226798514</v>
      </c>
      <c r="V14" s="160">
        <f t="shared" ref="V14:V15" si="5">SUM(D14,G14,J14,M14,P14,S14)</f>
        <v>5477498.0662603853</v>
      </c>
      <c r="W14" s="266">
        <f t="shared" ref="W14:W15" si="6">SUM(E14,H14,K14,N14,Q14,T14)</f>
        <v>0</v>
      </c>
      <c r="X14" s="275">
        <f t="shared" ref="X14:X15" si="7">SUM(F14,I14,L14,O14,R14,U14)</f>
        <v>5477498.0662603853</v>
      </c>
      <c r="Y14" s="140"/>
    </row>
    <row r="15" spans="1:31" s="22" customFormat="1" x14ac:dyDescent="0.35">
      <c r="A15" s="155">
        <v>3</v>
      </c>
      <c r="B15" s="514" t="s">
        <v>301</v>
      </c>
      <c r="C15" s="515"/>
      <c r="D15" s="156">
        <f>'As-Filed Schedule 1'!D14</f>
        <v>11.911584051724139</v>
      </c>
      <c r="E15" s="263">
        <f>SUMIFS(Adjustments!$G:$G,Adjustments!$H:$H,"1",Adjustments!$I:$I,$D$9,Adjustments!$J:$J,$A15)</f>
        <v>0</v>
      </c>
      <c r="F15" s="272">
        <f>SUM(D15:E15)</f>
        <v>11.911584051724139</v>
      </c>
      <c r="G15" s="157">
        <f>'As-Filed Schedule 1'!E14</f>
        <v>219754.98599445878</v>
      </c>
      <c r="H15" s="263">
        <f>SUMIFS(Adjustments!$G:$G,Adjustments!$H:$H,"1",Adjustments!$I:$I,$G$9,Adjustments!$J:$J,$A15)</f>
        <v>0</v>
      </c>
      <c r="I15" s="274">
        <f t="shared" si="2"/>
        <v>219754.98599445878</v>
      </c>
      <c r="J15" s="157">
        <f>'As-Filed Schedule 1'!F14</f>
        <v>792228.05797573295</v>
      </c>
      <c r="K15" s="263">
        <f>SUMIFS(Adjustments!$G:$G,Adjustments!$H:$H,"1",Adjustments!$I:$I,$J$9,Adjustments!$J:$J,$A15)</f>
        <v>0</v>
      </c>
      <c r="L15" s="274">
        <f t="shared" si="3"/>
        <v>792228.05797573295</v>
      </c>
      <c r="M15" s="157">
        <f>'As-Filed Schedule 1'!G14</f>
        <v>0</v>
      </c>
      <c r="N15" s="263">
        <f>SUMIFS(Adjustments!$G:$G,Adjustments!$H:$H,"1",Adjustments!$I:$I,$M$9,Adjustments!$J:$J,$A15)</f>
        <v>0</v>
      </c>
      <c r="O15" s="274">
        <f t="shared" si="0"/>
        <v>0</v>
      </c>
      <c r="P15" s="157">
        <f>'As-Filed Schedule 1'!H14</f>
        <v>111102.30402940506</v>
      </c>
      <c r="Q15" s="263">
        <f>SUMIFS(Adjustments!$G:$G,Adjustments!$H:$H,"1",Adjustments!$I:$I,$P$9,Adjustments!$J:$J,$A15)</f>
        <v>0</v>
      </c>
      <c r="R15" s="274">
        <f t="shared" si="4"/>
        <v>111102.30402940506</v>
      </c>
      <c r="S15" s="157">
        <f>'As-Filed Schedule 1'!I14</f>
        <v>11733.097024820849</v>
      </c>
      <c r="T15" s="263">
        <f>SUMIFS(Adjustments!$G:$G,Adjustments!$H:$H,"1",Adjustments!$I:$I,$S$9,Adjustments!$J:$J,$A15)</f>
        <v>0</v>
      </c>
      <c r="U15" s="274">
        <f t="shared" si="1"/>
        <v>11733.097024820849</v>
      </c>
      <c r="V15" s="160">
        <f t="shared" si="5"/>
        <v>1134830.3566084693</v>
      </c>
      <c r="W15" s="266">
        <f t="shared" si="6"/>
        <v>0</v>
      </c>
      <c r="X15" s="275">
        <f t="shared" si="7"/>
        <v>1134830.3566084693</v>
      </c>
      <c r="Y15" s="140"/>
    </row>
    <row r="16" spans="1:31" s="22" customFormat="1" x14ac:dyDescent="0.35">
      <c r="A16" s="155">
        <v>4</v>
      </c>
      <c r="B16" s="508" t="s">
        <v>290</v>
      </c>
      <c r="C16" s="509"/>
      <c r="D16" s="159">
        <f>SUM(D13:D15)</f>
        <v>62.811900047892721</v>
      </c>
      <c r="E16" s="159">
        <f t="shared" ref="E16:F16" si="8">SUM(E13:E15)</f>
        <v>0</v>
      </c>
      <c r="F16" s="159">
        <f t="shared" si="8"/>
        <v>62.811900047892721</v>
      </c>
      <c r="G16" s="160">
        <f>SUM(G13:G15)</f>
        <v>733100.51750680082</v>
      </c>
      <c r="H16" s="160">
        <f t="shared" ref="H16:U16" si="9">SUM(H13:H15)</f>
        <v>0</v>
      </c>
      <c r="I16" s="160">
        <f t="shared" si="9"/>
        <v>733100.51750680082</v>
      </c>
      <c r="J16" s="160">
        <f t="shared" si="9"/>
        <v>7731073.7843614509</v>
      </c>
      <c r="K16" s="160">
        <f t="shared" si="9"/>
        <v>0</v>
      </c>
      <c r="L16" s="160">
        <f t="shared" si="9"/>
        <v>7731073.7843614509</v>
      </c>
      <c r="M16" s="160">
        <f t="shared" si="9"/>
        <v>160343.95187585597</v>
      </c>
      <c r="N16" s="160">
        <f t="shared" si="9"/>
        <v>0</v>
      </c>
      <c r="O16" s="160">
        <f t="shared" si="9"/>
        <v>160343.95187585597</v>
      </c>
      <c r="P16" s="160">
        <f t="shared" si="9"/>
        <v>112619.30402940506</v>
      </c>
      <c r="Q16" s="160">
        <f t="shared" si="9"/>
        <v>0</v>
      </c>
      <c r="R16" s="160">
        <f t="shared" si="9"/>
        <v>112619.30402940506</v>
      </c>
      <c r="S16" s="160">
        <f t="shared" si="9"/>
        <v>29334.139292805987</v>
      </c>
      <c r="T16" s="160">
        <f t="shared" si="9"/>
        <v>0</v>
      </c>
      <c r="U16" s="160">
        <f t="shared" si="9"/>
        <v>29334.139292805987</v>
      </c>
      <c r="V16" s="160">
        <f>SUM(D16,G16,J16,M16,P16,S16)</f>
        <v>8766534.5089663677</v>
      </c>
      <c r="W16" s="266">
        <f>SUM(E16,H16,K16,N16,Q16,T16)</f>
        <v>0</v>
      </c>
      <c r="X16" s="275">
        <f>SUM(F16,I16,L16,O16,R16,U16)</f>
        <v>8766534.5089663677</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11" t="s">
        <v>281</v>
      </c>
      <c r="B18" s="512"/>
      <c r="C18" s="512"/>
      <c r="D18" s="512"/>
      <c r="E18" s="512"/>
      <c r="F18" s="512"/>
      <c r="G18" s="512"/>
      <c r="H18" s="512"/>
      <c r="I18" s="512"/>
      <c r="J18" s="512"/>
      <c r="K18" s="512"/>
      <c r="L18" s="512"/>
      <c r="M18" s="512"/>
      <c r="N18" s="512"/>
      <c r="O18" s="512"/>
      <c r="P18" s="512"/>
      <c r="Q18" s="512"/>
      <c r="R18" s="512"/>
      <c r="S18" s="512"/>
      <c r="T18" s="512"/>
      <c r="U18" s="512"/>
      <c r="V18" s="512"/>
      <c r="W18" s="512"/>
      <c r="X18" s="513"/>
      <c r="Y18" s="140"/>
    </row>
    <row r="19" spans="1:25" s="22" customFormat="1" x14ac:dyDescent="0.35">
      <c r="A19" s="155">
        <v>5</v>
      </c>
      <c r="B19" s="514" t="s">
        <v>221</v>
      </c>
      <c r="C19" s="515"/>
      <c r="D19" s="156">
        <f>'As-Filed Schedule 1'!D18</f>
        <v>0</v>
      </c>
      <c r="E19" s="263">
        <f>SUMIFS(Adjustments!$G:$G,Adjustments!$H:$H,"1",Adjustments!$I:$I,$D$9,Adjustments!$J:$J,$A19)</f>
        <v>0</v>
      </c>
      <c r="F19" s="272">
        <f>SUM(D19:E19)</f>
        <v>0</v>
      </c>
      <c r="G19" s="157">
        <f>'As-Filed Schedule 1'!E18</f>
        <v>393423.18702070741</v>
      </c>
      <c r="H19" s="263">
        <f>SUMIFS(Adjustments!$G:$G,Adjustments!$H:$H,"1",Adjustments!$I:$I,$G$9,Adjustments!$J:$J,$A19)</f>
        <v>0</v>
      </c>
      <c r="I19" s="274">
        <f t="shared" ref="I19:I20" si="10">SUM(G19:H19)</f>
        <v>393423.18702070741</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17703.94323188853</v>
      </c>
      <c r="T19" s="263">
        <f>SUMIFS(Adjustments!$G:$G,Adjustments!$H:$H,"1",Adjustments!$I:$I,$S$9,Adjustments!$J:$J,$A19)</f>
        <v>0</v>
      </c>
      <c r="U19" s="274">
        <f t="shared" ref="U19:U20" si="14">SUM(S19:T19)</f>
        <v>17703.94323188853</v>
      </c>
      <c r="V19" s="160">
        <f t="shared" ref="V19:V20" si="15">SUM(D19,G19,J19,M19,P19,S19)</f>
        <v>411127.13025259593</v>
      </c>
      <c r="W19" s="266">
        <f t="shared" ref="W19:W20" si="16">SUM(E19,H19,K19,N19,Q19,T19)</f>
        <v>0</v>
      </c>
      <c r="X19" s="275">
        <f t="shared" ref="X19:X20" si="17">SUM(F19,I19,L19,O19,R19,U19)</f>
        <v>411127.13025259593</v>
      </c>
      <c r="Y19" s="140"/>
    </row>
    <row r="20" spans="1:25" s="22" customFormat="1" x14ac:dyDescent="0.35">
      <c r="A20" s="155">
        <v>6</v>
      </c>
      <c r="B20" s="514" t="s">
        <v>293</v>
      </c>
      <c r="C20" s="515"/>
      <c r="D20" s="156">
        <f>'As-Filed Schedule 1'!D19</f>
        <v>19.984729932950192</v>
      </c>
      <c r="E20" s="263">
        <f>SUMIFS(Adjustments!$G:$G,Adjustments!$H:$H,"1",Adjustments!$I:$I,$D$9,Adjustments!$J:$J,$A20)</f>
        <v>0</v>
      </c>
      <c r="F20" s="272">
        <f>SUM(D20:E20)</f>
        <v>19.984729932950192</v>
      </c>
      <c r="G20" s="157">
        <f>'As-Filed Schedule 1'!E19</f>
        <v>1783950.5372343571</v>
      </c>
      <c r="H20" s="263">
        <f>SUMIFS(Adjustments!$G:$G,Adjustments!$H:$H,"1",Adjustments!$I:$I,$G$9,Adjustments!$J:$J,$A20)</f>
        <v>0</v>
      </c>
      <c r="I20" s="274">
        <f t="shared" si="10"/>
        <v>1783950.5372343571</v>
      </c>
      <c r="J20" s="157">
        <f>'As-Filed Schedule 1'!F19</f>
        <v>0</v>
      </c>
      <c r="K20" s="263">
        <f>SUMIFS(Adjustments!$G:$G,Adjustments!$H:$H,"1",Adjustments!$I:$I,$J$9,Adjustments!$J:$J,$A20)</f>
        <v>0</v>
      </c>
      <c r="L20" s="274">
        <f t="shared" si="11"/>
        <v>0</v>
      </c>
      <c r="M20" s="157">
        <f>'As-Filed Schedule 1'!G19</f>
        <v>8649.9457142857154</v>
      </c>
      <c r="N20" s="263">
        <f>SUMIFS(Adjustments!$G:$G,Adjustments!$H:$H,"1",Adjustments!$I:$I,$M$9,Adjustments!$J:$J,$A20)</f>
        <v>0</v>
      </c>
      <c r="O20" s="274">
        <f t="shared" si="12"/>
        <v>8649.9457142857154</v>
      </c>
      <c r="P20" s="157">
        <f>'As-Filed Schedule 1'!H19</f>
        <v>0</v>
      </c>
      <c r="Q20" s="263">
        <f>SUMIFS(Adjustments!$G:$G,Adjustments!$H:$H,"1",Adjustments!$I:$I,$P$9,Adjustments!$J:$J,$A20)</f>
        <v>0</v>
      </c>
      <c r="R20" s="274">
        <f t="shared" si="13"/>
        <v>0</v>
      </c>
      <c r="S20" s="157">
        <f>'As-Filed Schedule 1'!I19</f>
        <v>166599.45604673403</v>
      </c>
      <c r="T20" s="263">
        <f>SUMIFS(Adjustments!$G:$G,Adjustments!$H:$H,"1",Adjustments!$I:$I,$S$9,Adjustments!$J:$J,$A20)</f>
        <v>5023</v>
      </c>
      <c r="U20" s="274">
        <f t="shared" si="14"/>
        <v>171622.45604673403</v>
      </c>
      <c r="V20" s="160">
        <f t="shared" si="15"/>
        <v>1959219.9237253098</v>
      </c>
      <c r="W20" s="266">
        <f t="shared" si="16"/>
        <v>5023</v>
      </c>
      <c r="X20" s="275">
        <f t="shared" si="17"/>
        <v>1964242.9237253098</v>
      </c>
      <c r="Y20" s="140"/>
    </row>
    <row r="21" spans="1:25" s="22" customFormat="1" x14ac:dyDescent="0.35">
      <c r="A21" s="155">
        <v>7</v>
      </c>
      <c r="B21" s="508" t="s">
        <v>220</v>
      </c>
      <c r="C21" s="509"/>
      <c r="D21" s="159">
        <f>SUM(D19:D20)</f>
        <v>19.984729932950192</v>
      </c>
      <c r="E21" s="159">
        <f t="shared" ref="E21:F21" si="18">SUM(E19:E20)</f>
        <v>0</v>
      </c>
      <c r="F21" s="159">
        <f t="shared" si="18"/>
        <v>19.984729932950192</v>
      </c>
      <c r="G21" s="160">
        <f>SUM(G19:G20)</f>
        <v>2177373.7242550645</v>
      </c>
      <c r="H21" s="160">
        <f t="shared" ref="H21:U21" si="19">SUM(H19:H20)</f>
        <v>0</v>
      </c>
      <c r="I21" s="160">
        <f t="shared" si="19"/>
        <v>2177373.7242550645</v>
      </c>
      <c r="J21" s="160">
        <f t="shared" si="19"/>
        <v>0</v>
      </c>
      <c r="K21" s="160">
        <f t="shared" si="19"/>
        <v>0</v>
      </c>
      <c r="L21" s="160">
        <f t="shared" si="19"/>
        <v>0</v>
      </c>
      <c r="M21" s="160">
        <f t="shared" si="19"/>
        <v>8649.9457142857154</v>
      </c>
      <c r="N21" s="160">
        <f t="shared" si="19"/>
        <v>0</v>
      </c>
      <c r="O21" s="160">
        <f t="shared" si="19"/>
        <v>8649.9457142857154</v>
      </c>
      <c r="P21" s="160">
        <f t="shared" si="19"/>
        <v>0</v>
      </c>
      <c r="Q21" s="160">
        <f t="shared" si="19"/>
        <v>0</v>
      </c>
      <c r="R21" s="160">
        <f t="shared" si="19"/>
        <v>0</v>
      </c>
      <c r="S21" s="160">
        <f t="shared" si="19"/>
        <v>184303.39927862256</v>
      </c>
      <c r="T21" s="160">
        <f t="shared" si="19"/>
        <v>5023</v>
      </c>
      <c r="U21" s="160">
        <f t="shared" si="19"/>
        <v>189326.39927862256</v>
      </c>
      <c r="V21" s="160">
        <f>SUM(D21,G21,J21,M21,P21,S21)</f>
        <v>2370347.0539779058</v>
      </c>
      <c r="W21" s="266">
        <f>SUM(E21,H21,K21,N21,Q21,T21)</f>
        <v>5023</v>
      </c>
      <c r="X21" s="275">
        <f>SUM(F21,I21,L21,O21,R21,U21)</f>
        <v>2375370.0539779058</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11" t="s">
        <v>275</v>
      </c>
      <c r="B23" s="512"/>
      <c r="C23" s="512"/>
      <c r="D23" s="512"/>
      <c r="E23" s="512"/>
      <c r="F23" s="512"/>
      <c r="G23" s="512"/>
      <c r="H23" s="512"/>
      <c r="I23" s="512"/>
      <c r="J23" s="512"/>
      <c r="K23" s="512"/>
      <c r="L23" s="512"/>
      <c r="M23" s="512"/>
      <c r="N23" s="512"/>
      <c r="O23" s="512"/>
      <c r="P23" s="512"/>
      <c r="Q23" s="512"/>
      <c r="R23" s="512"/>
      <c r="S23" s="512"/>
      <c r="T23" s="512"/>
      <c r="U23" s="512"/>
      <c r="V23" s="512"/>
      <c r="W23" s="512"/>
      <c r="X23" s="513"/>
      <c r="Y23" s="140"/>
    </row>
    <row r="24" spans="1:25" s="22" customFormat="1" x14ac:dyDescent="0.35">
      <c r="A24" s="155">
        <v>8</v>
      </c>
      <c r="B24" s="514" t="s">
        <v>276</v>
      </c>
      <c r="C24" s="517"/>
      <c r="D24" s="517"/>
      <c r="E24" s="517"/>
      <c r="F24" s="515"/>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508" t="s">
        <v>222</v>
      </c>
      <c r="C25" s="516"/>
      <c r="D25" s="516"/>
      <c r="E25" s="516"/>
      <c r="F25" s="509"/>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11" t="s">
        <v>235</v>
      </c>
      <c r="B27" s="512"/>
      <c r="C27" s="512"/>
      <c r="D27" s="512"/>
      <c r="E27" s="512"/>
      <c r="F27" s="512"/>
      <c r="G27" s="512"/>
      <c r="H27" s="512"/>
      <c r="I27" s="512"/>
      <c r="J27" s="512"/>
      <c r="K27" s="512"/>
      <c r="L27" s="512"/>
      <c r="M27" s="512"/>
      <c r="N27" s="512"/>
      <c r="O27" s="512"/>
      <c r="P27" s="512"/>
      <c r="Q27" s="512"/>
      <c r="R27" s="512"/>
      <c r="S27" s="512"/>
      <c r="T27" s="512"/>
      <c r="U27" s="512"/>
      <c r="V27" s="512"/>
      <c r="W27" s="512"/>
      <c r="X27" s="513"/>
      <c r="Y27" s="140"/>
    </row>
    <row r="28" spans="1:25" s="22" customFormat="1" x14ac:dyDescent="0.35">
      <c r="A28" s="155">
        <v>10</v>
      </c>
      <c r="B28" s="514" t="s">
        <v>224</v>
      </c>
      <c r="C28" s="517"/>
      <c r="D28" s="517"/>
      <c r="E28" s="517"/>
      <c r="F28" s="515"/>
      <c r="G28" s="157">
        <f>'As-Filed Schedule 1'!E27</f>
        <v>430703.33096154855</v>
      </c>
      <c r="H28" s="263">
        <f>SUMIFS(Adjustments!$G:$G,Adjustments!$H:$H,"1",Adjustments!$I:$I,$G$9,Adjustments!$J:$J,$A28)</f>
        <v>0</v>
      </c>
      <c r="I28" s="274">
        <f t="shared" ref="I28:I30" si="25">SUM(G28:H28)</f>
        <v>430703.33096154855</v>
      </c>
      <c r="J28" s="157">
        <f>'As-Filed Schedule 1'!F27</f>
        <v>0</v>
      </c>
      <c r="K28" s="263">
        <f>SUMIFS(Adjustments!$G:$G,Adjustments!$H:$H,"1",Adjustments!$I:$I,$J$9,Adjustments!$J:$J,$A28)</f>
        <v>0</v>
      </c>
      <c r="L28" s="274">
        <f t="shared" ref="L28:L30" si="26">SUM(J28:K28)</f>
        <v>0</v>
      </c>
      <c r="M28" s="157">
        <f>'As-Filed Schedule 1'!G27</f>
        <v>0</v>
      </c>
      <c r="N28" s="263">
        <f>SUMIFS(Adjustments!$G:$G,Adjustments!$H:$H,"1",Adjustments!$I:$I,$M$9,Adjustments!$J:$J,$A28)</f>
        <v>0</v>
      </c>
      <c r="O28" s="274">
        <f t="shared" ref="O28:O30" si="27">SUM(M28:N28)</f>
        <v>0</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430703.33096154855</v>
      </c>
      <c r="W28" s="266">
        <f t="shared" ref="W28:W30" si="31">SUM(,H28,K28,N28,Q28,T28)</f>
        <v>0</v>
      </c>
      <c r="X28" s="275">
        <f t="shared" ref="X28:X30" si="32">SUM(I28,L28,O28,R28,U28)</f>
        <v>430703.33096154855</v>
      </c>
      <c r="Y28" s="140"/>
    </row>
    <row r="29" spans="1:25" s="22" customFormat="1" x14ac:dyDescent="0.35">
      <c r="A29" s="166">
        <v>11</v>
      </c>
      <c r="B29" s="514" t="s">
        <v>223</v>
      </c>
      <c r="C29" s="517"/>
      <c r="D29" s="517"/>
      <c r="E29" s="517"/>
      <c r="F29" s="515"/>
      <c r="G29" s="157">
        <f>'As-Filed Schedule 1'!E28</f>
        <v>740360.79917452182</v>
      </c>
      <c r="H29" s="263">
        <f>SUMIFS(Adjustments!$G:$G,Adjustments!$H:$H,"1",Adjustments!$I:$I,$G$9,Adjustments!$J:$J,$A29)</f>
        <v>0</v>
      </c>
      <c r="I29" s="274">
        <f t="shared" si="25"/>
        <v>740360.79917452182</v>
      </c>
      <c r="J29" s="157">
        <f>'As-Filed Schedule 1'!F28</f>
        <v>1619129.4499606399</v>
      </c>
      <c r="K29" s="263">
        <f>SUMIFS(Adjustments!$G:$G,Adjustments!$H:$H,"1",Adjustments!$I:$I,$J$9,Adjustments!$J:$J,$A29)</f>
        <v>0</v>
      </c>
      <c r="L29" s="274">
        <f t="shared" si="26"/>
        <v>1619129.4499606399</v>
      </c>
      <c r="M29" s="157">
        <f>'As-Filed Schedule 1'!G28</f>
        <v>45363.036433531328</v>
      </c>
      <c r="N29" s="263">
        <f>SUMIFS(Adjustments!$G:$G,Adjustments!$H:$H,"1",Adjustments!$I:$I,$M$9,Adjustments!$J:$J,$A29)</f>
        <v>0</v>
      </c>
      <c r="O29" s="274">
        <f t="shared" si="27"/>
        <v>45363.036433531328</v>
      </c>
      <c r="P29" s="157">
        <f>'As-Filed Schedule 1'!H28</f>
        <v>29993.194431306983</v>
      </c>
      <c r="Q29" s="263">
        <f>SUMIFS(Adjustments!$G:$G,Adjustments!$H:$H,"1",Adjustments!$I:$I,$P$9,Adjustments!$J:$J,$A29)</f>
        <v>0</v>
      </c>
      <c r="R29" s="274">
        <f t="shared" si="28"/>
        <v>29993.194431306983</v>
      </c>
      <c r="S29" s="157">
        <f>'As-Filed Schedule 1'!I28</f>
        <v>57231.519999999997</v>
      </c>
      <c r="T29" s="263">
        <f>SUMIFS(Adjustments!$G:$G,Adjustments!$H:$H,"1",Adjustments!$I:$I,$S$9,Adjustments!$J:$J,$A29)</f>
        <v>0</v>
      </c>
      <c r="U29" s="274">
        <f t="shared" si="29"/>
        <v>57231.519999999997</v>
      </c>
      <c r="V29" s="160">
        <f t="shared" si="30"/>
        <v>2492078</v>
      </c>
      <c r="W29" s="266">
        <f t="shared" si="31"/>
        <v>0</v>
      </c>
      <c r="X29" s="275">
        <f t="shared" si="32"/>
        <v>2492078</v>
      </c>
      <c r="Y29" s="140"/>
    </row>
    <row r="30" spans="1:25" s="22" customFormat="1" x14ac:dyDescent="0.35">
      <c r="A30" s="155">
        <v>12</v>
      </c>
      <c r="B30" s="514" t="s">
        <v>300</v>
      </c>
      <c r="C30" s="517"/>
      <c r="D30" s="517"/>
      <c r="E30" s="517"/>
      <c r="F30" s="515"/>
      <c r="G30" s="157">
        <f>'As-Filed Schedule 1'!E29</f>
        <v>244530.90215799955</v>
      </c>
      <c r="H30" s="263">
        <f>SUMIFS(Adjustments!$G:$G,Adjustments!$H:$H,"1",Adjustments!$I:$I,$G$9,Adjustments!$J:$J,$A30)</f>
        <v>0</v>
      </c>
      <c r="I30" s="274">
        <f t="shared" si="25"/>
        <v>244530.90215799955</v>
      </c>
      <c r="J30" s="157">
        <f>'As-Filed Schedule 1'!F29</f>
        <v>191349.7</v>
      </c>
      <c r="K30" s="263">
        <f>SUMIFS(Adjustments!$G:$G,Adjustments!$H:$H,"1",Adjustments!$I:$I,$J$9,Adjustments!$J:$J,$A30)</f>
        <v>0</v>
      </c>
      <c r="L30" s="274">
        <f t="shared" si="26"/>
        <v>191349.7</v>
      </c>
      <c r="M30" s="157">
        <f>'As-Filed Schedule 1'!G29</f>
        <v>0</v>
      </c>
      <c r="N30" s="263">
        <f>SUMIFS(Adjustments!$G:$G,Adjustments!$H:$H,"1",Adjustments!$I:$I,$M$9,Adjustments!$J:$J,$A30)</f>
        <v>0</v>
      </c>
      <c r="O30" s="274">
        <f t="shared" si="27"/>
        <v>0</v>
      </c>
      <c r="P30" s="157">
        <f>'As-Filed Schedule 1'!H29</f>
        <v>0</v>
      </c>
      <c r="Q30" s="263">
        <f>SUMIFS(Adjustments!$G:$G,Adjustments!$H:$H,"1",Adjustments!$I:$I,$P$9,Adjustments!$J:$J,$A30)</f>
        <v>0</v>
      </c>
      <c r="R30" s="274">
        <f t="shared" si="28"/>
        <v>0</v>
      </c>
      <c r="S30" s="157">
        <f>'As-Filed Schedule 1'!I29</f>
        <v>7632.3700000000008</v>
      </c>
      <c r="T30" s="263">
        <f>SUMIFS(Adjustments!$G:$G,Adjustments!$H:$H,"1",Adjustments!$I:$I,$S$9,Adjustments!$J:$J,$A30)</f>
        <v>0</v>
      </c>
      <c r="U30" s="274">
        <f t="shared" si="29"/>
        <v>7632.3700000000008</v>
      </c>
      <c r="V30" s="160">
        <f t="shared" si="30"/>
        <v>443512.97215799952</v>
      </c>
      <c r="W30" s="266">
        <f t="shared" si="31"/>
        <v>0</v>
      </c>
      <c r="X30" s="275">
        <f t="shared" si="32"/>
        <v>443512.97215799952</v>
      </c>
      <c r="Y30" s="140"/>
    </row>
    <row r="31" spans="1:25" s="22" customFormat="1" x14ac:dyDescent="0.35">
      <c r="A31" s="155">
        <v>13</v>
      </c>
      <c r="B31" s="508" t="s">
        <v>225</v>
      </c>
      <c r="C31" s="516"/>
      <c r="D31" s="516"/>
      <c r="E31" s="516"/>
      <c r="F31" s="509"/>
      <c r="G31" s="160">
        <f>SUM(G28:G30)</f>
        <v>1415595.0322940699</v>
      </c>
      <c r="H31" s="160">
        <f t="shared" ref="H31:I31" si="33">SUM(H28:H30)</f>
        <v>0</v>
      </c>
      <c r="I31" s="160">
        <f t="shared" si="33"/>
        <v>1415595.0322940699</v>
      </c>
      <c r="J31" s="160">
        <f>SUM(J28:J30)</f>
        <v>1810479.1499606399</v>
      </c>
      <c r="K31" s="160">
        <f t="shared" ref="K31:L31" si="34">SUM(K28:K30)</f>
        <v>0</v>
      </c>
      <c r="L31" s="160">
        <f t="shared" si="34"/>
        <v>1810479.1499606399</v>
      </c>
      <c r="M31" s="160">
        <f>SUM(M28:M30)</f>
        <v>45363.036433531328</v>
      </c>
      <c r="N31" s="160">
        <f t="shared" ref="N31:T31" si="35">SUM(N28:N30)</f>
        <v>0</v>
      </c>
      <c r="O31" s="160">
        <f t="shared" si="35"/>
        <v>45363.036433531328</v>
      </c>
      <c r="P31" s="160">
        <f t="shared" si="35"/>
        <v>29993.194431306983</v>
      </c>
      <c r="Q31" s="160">
        <f t="shared" si="35"/>
        <v>0</v>
      </c>
      <c r="R31" s="160">
        <f t="shared" si="35"/>
        <v>29993.194431306983</v>
      </c>
      <c r="S31" s="160">
        <f t="shared" si="35"/>
        <v>64863.89</v>
      </c>
      <c r="T31" s="160">
        <f t="shared" si="35"/>
        <v>0</v>
      </c>
      <c r="U31" s="160">
        <f>SUM(U28:U30)</f>
        <v>64863.89</v>
      </c>
      <c r="V31" s="160">
        <f>SUM(G31,J31,M31,P31,S31)</f>
        <v>3366294.3031195481</v>
      </c>
      <c r="W31" s="266">
        <f>SUM(,H31,K31,N31,Q31,T31)</f>
        <v>0</v>
      </c>
      <c r="X31" s="275">
        <f>SUM(I31,L31,O31,R31,U31)</f>
        <v>3366294.3031195481</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08" t="s">
        <v>228</v>
      </c>
      <c r="C33" s="516"/>
      <c r="D33" s="516"/>
      <c r="E33" s="516"/>
      <c r="F33" s="509"/>
      <c r="G33" s="160">
        <f>G31+G25+G21+G16</f>
        <v>4326069.2740559354</v>
      </c>
      <c r="H33" s="160">
        <f t="shared" ref="H33:I33" si="36">H31+H25+H21+H16</f>
        <v>0</v>
      </c>
      <c r="I33" s="160">
        <f t="shared" si="36"/>
        <v>4326069.2740559354</v>
      </c>
      <c r="J33" s="160">
        <f>J31+J25+J21+J16</f>
        <v>9541552.9343220908</v>
      </c>
      <c r="K33" s="160">
        <f>K31+K25+K21+K16</f>
        <v>0</v>
      </c>
      <c r="L33" s="160">
        <f t="shared" ref="L33" si="37">L31+L25+L21+L16</f>
        <v>9541552.9343220908</v>
      </c>
      <c r="M33" s="160">
        <f>M31+M25+M21+M16</f>
        <v>214356.93402367301</v>
      </c>
      <c r="N33" s="160">
        <f t="shared" ref="N33:O33" si="38">N31+N25+N21+N16</f>
        <v>0</v>
      </c>
      <c r="O33" s="160">
        <f t="shared" si="38"/>
        <v>214356.93402367301</v>
      </c>
      <c r="P33" s="160">
        <f>P31+P25+P21+P16</f>
        <v>142612.49846071203</v>
      </c>
      <c r="Q33" s="160">
        <f t="shared" ref="Q33:R33" si="39">Q31+Q25+Q21+Q16</f>
        <v>0</v>
      </c>
      <c r="R33" s="160">
        <f t="shared" si="39"/>
        <v>142612.49846071203</v>
      </c>
      <c r="S33" s="160">
        <f>S31+S25+S21+S16</f>
        <v>278501.42857142852</v>
      </c>
      <c r="T33" s="160">
        <f>T31+T25+T21+T16</f>
        <v>5023</v>
      </c>
      <c r="U33" s="160">
        <f t="shared" ref="U33" si="40">U31+U25+U21+U16</f>
        <v>283524.42857142852</v>
      </c>
      <c r="V33" s="160">
        <f>SUM(G33,J33,M33,P33,S33)</f>
        <v>14503093.06943384</v>
      </c>
      <c r="W33" s="266">
        <f>SUM(,H33,K33,N33,Q33,T33)</f>
        <v>5023</v>
      </c>
      <c r="X33" s="275">
        <f>SUM(I33,L33,O33,R33,U33)</f>
        <v>14508116.06943384</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11" t="s">
        <v>234</v>
      </c>
      <c r="B35" s="512"/>
      <c r="C35" s="512"/>
      <c r="D35" s="512"/>
      <c r="E35" s="512"/>
      <c r="F35" s="512"/>
      <c r="G35" s="512"/>
      <c r="H35" s="512"/>
      <c r="I35" s="512"/>
      <c r="J35" s="512"/>
      <c r="K35" s="512"/>
      <c r="L35" s="512"/>
      <c r="M35" s="512"/>
      <c r="N35" s="512"/>
      <c r="O35" s="512"/>
      <c r="P35" s="512"/>
      <c r="Q35" s="512"/>
      <c r="R35" s="512"/>
      <c r="S35" s="512"/>
      <c r="T35" s="512"/>
      <c r="U35" s="512"/>
      <c r="V35" s="512"/>
      <c r="W35" s="512"/>
      <c r="X35" s="513"/>
      <c r="Y35" s="140"/>
    </row>
    <row r="36" spans="1:25" s="22" customFormat="1" x14ac:dyDescent="0.35">
      <c r="A36" s="155">
        <v>15</v>
      </c>
      <c r="B36" s="514" t="s">
        <v>292</v>
      </c>
      <c r="C36" s="517"/>
      <c r="D36" s="517"/>
      <c r="E36" s="517"/>
      <c r="F36" s="515"/>
      <c r="G36" s="157">
        <f>'As-Filed Schedule 1'!E35</f>
        <v>0</v>
      </c>
      <c r="H36" s="263">
        <f>SUMIFS(Adjustments!$G:$G,Adjustments!$H:$H,"1",Adjustments!$I:$I,$G$9,Adjustments!$J:$J,$A36)</f>
        <v>0</v>
      </c>
      <c r="I36" s="274">
        <f t="shared" ref="I36:I38" si="41">SUM(G36:H36)</f>
        <v>0</v>
      </c>
      <c r="J36" s="157">
        <f>'As-Filed Schedule 1'!F35</f>
        <v>119856</v>
      </c>
      <c r="K36" s="263">
        <f>SUMIFS(Adjustments!$G:$G,Adjustments!$H:$H,"1",Adjustments!$I:$I,$J$9,Adjustments!$J:$J,$A36)</f>
        <v>0</v>
      </c>
      <c r="L36" s="274">
        <f t="shared" ref="L36:L38" si="42">SUM(J36:K36)</f>
        <v>119856</v>
      </c>
      <c r="M36" s="157">
        <f>'As-Filed Schedule 1'!G35</f>
        <v>0</v>
      </c>
      <c r="N36" s="263">
        <f>SUMIFS(Adjustments!$G:$G,Adjustments!$H:$H,"1",Adjustments!$I:$I,$M$9,Adjustments!$J:$J,$A36)</f>
        <v>0</v>
      </c>
      <c r="O36" s="274">
        <f t="shared" ref="O36:O38" si="43">SUM(M36:N36)</f>
        <v>0</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119856</v>
      </c>
      <c r="W36" s="266">
        <f t="shared" ref="W36:W39" si="46">SUM(,H36,K36,N36,Q36,T36)</f>
        <v>0</v>
      </c>
      <c r="X36" s="275">
        <f t="shared" ref="X36:X39" si="47">SUM(I36,L36,O36,R36,U36)</f>
        <v>119856</v>
      </c>
      <c r="Y36" s="140"/>
    </row>
    <row r="37" spans="1:25" s="22" customFormat="1" x14ac:dyDescent="0.35">
      <c r="A37" s="155">
        <v>16</v>
      </c>
      <c r="B37" s="514" t="s">
        <v>227</v>
      </c>
      <c r="C37" s="517"/>
      <c r="D37" s="517"/>
      <c r="E37" s="517"/>
      <c r="F37" s="515"/>
      <c r="G37" s="157">
        <f>'As-Filed Schedule 1'!E36</f>
        <v>1052856.0578140998</v>
      </c>
      <c r="H37" s="263">
        <f>SUMIFS(Adjustments!$G:$G,Adjustments!$H:$H,"1",Adjustments!$I:$I,$G$9,Adjustments!$J:$J,$A37)</f>
        <v>449746</v>
      </c>
      <c r="I37" s="274">
        <f t="shared" si="41"/>
        <v>1502602.0578140998</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-446767</v>
      </c>
      <c r="U37" s="274">
        <f t="shared" ref="U37:U38" si="48">SUM(S37:T37)</f>
        <v>-446767</v>
      </c>
      <c r="V37" s="160">
        <f t="shared" si="45"/>
        <v>1052856.0578140998</v>
      </c>
      <c r="W37" s="266">
        <f t="shared" si="46"/>
        <v>2979</v>
      </c>
      <c r="X37" s="275">
        <f t="shared" si="47"/>
        <v>1055835.0578140998</v>
      </c>
    </row>
    <row r="38" spans="1:25" s="22" customFormat="1" x14ac:dyDescent="0.35">
      <c r="A38" s="166">
        <v>17</v>
      </c>
      <c r="B38" s="514" t="s">
        <v>459</v>
      </c>
      <c r="C38" s="517"/>
      <c r="D38" s="517"/>
      <c r="E38" s="517"/>
      <c r="F38" s="515"/>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3023779.28</v>
      </c>
      <c r="Q38" s="263">
        <f>SUMIFS(Adjustments!$G:$G,Adjustments!$H:$H,"1",Adjustments!$I:$I,$P$9,Adjustments!$J:$J,$A38)</f>
        <v>0</v>
      </c>
      <c r="R38" s="274">
        <f t="shared" si="44"/>
        <v>3023779.28</v>
      </c>
      <c r="S38" s="157">
        <f>'As-Filed Schedule 1'!I37</f>
        <v>1894134.9099999997</v>
      </c>
      <c r="T38" s="263">
        <f>SUMIFS(Adjustments!$G:$G,Adjustments!$H:$H,"1",Adjustments!$I:$I,$S$9,Adjustments!$J:$J,$A38)</f>
        <v>0</v>
      </c>
      <c r="U38" s="274">
        <f t="shared" si="48"/>
        <v>1894134.9099999997</v>
      </c>
      <c r="V38" s="160">
        <f t="shared" si="45"/>
        <v>4917914.1899999995</v>
      </c>
      <c r="W38" s="266">
        <f t="shared" si="46"/>
        <v>0</v>
      </c>
      <c r="X38" s="275">
        <f t="shared" si="47"/>
        <v>4917914.1899999995</v>
      </c>
    </row>
    <row r="39" spans="1:25" s="22" customFormat="1" x14ac:dyDescent="0.35">
      <c r="A39" s="155">
        <v>18</v>
      </c>
      <c r="B39" s="508" t="s">
        <v>226</v>
      </c>
      <c r="C39" s="516"/>
      <c r="D39" s="516"/>
      <c r="E39" s="516"/>
      <c r="F39" s="509"/>
      <c r="G39" s="160">
        <f>SUM(G36:G38)</f>
        <v>1052856.0578140998</v>
      </c>
      <c r="H39" s="160">
        <f t="shared" ref="H39:I39" si="49">SUM(H36:H38)</f>
        <v>449746</v>
      </c>
      <c r="I39" s="160">
        <f t="shared" si="49"/>
        <v>1502602.0578140998</v>
      </c>
      <c r="J39" s="160">
        <f>SUM(J36:J38)</f>
        <v>119856</v>
      </c>
      <c r="K39" s="160">
        <f t="shared" ref="K39:L39" si="50">SUM(K36:K38)</f>
        <v>0</v>
      </c>
      <c r="L39" s="160">
        <f t="shared" si="50"/>
        <v>119856</v>
      </c>
      <c r="M39" s="160">
        <f t="shared" ref="M39:U39" si="51">SUM(M36:M38)</f>
        <v>0</v>
      </c>
      <c r="N39" s="160">
        <f t="shared" si="51"/>
        <v>0</v>
      </c>
      <c r="O39" s="160">
        <f t="shared" si="51"/>
        <v>0</v>
      </c>
      <c r="P39" s="160">
        <f t="shared" si="51"/>
        <v>3023779.28</v>
      </c>
      <c r="Q39" s="160">
        <f t="shared" si="51"/>
        <v>0</v>
      </c>
      <c r="R39" s="160">
        <f t="shared" si="51"/>
        <v>3023779.28</v>
      </c>
      <c r="S39" s="160">
        <f t="shared" si="51"/>
        <v>1894134.9099999997</v>
      </c>
      <c r="T39" s="160">
        <f t="shared" si="51"/>
        <v>-446767</v>
      </c>
      <c r="U39" s="160">
        <f t="shared" si="51"/>
        <v>1447367.9099999997</v>
      </c>
      <c r="V39" s="160">
        <f t="shared" si="45"/>
        <v>6090626.2478141002</v>
      </c>
      <c r="W39" s="266">
        <f t="shared" si="46"/>
        <v>2979</v>
      </c>
      <c r="X39" s="275">
        <f t="shared" si="47"/>
        <v>6093605.2478141002</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08" t="s">
        <v>229</v>
      </c>
      <c r="C41" s="516"/>
      <c r="D41" s="516"/>
      <c r="E41" s="516"/>
      <c r="F41" s="509"/>
      <c r="G41" s="160">
        <f>G39+G33</f>
        <v>5378925.3318700353</v>
      </c>
      <c r="H41" s="160">
        <f>H39+H33</f>
        <v>449746</v>
      </c>
      <c r="I41" s="160">
        <f>I39+I33</f>
        <v>5828671.3318700353</v>
      </c>
      <c r="J41" s="160">
        <f>J39+J33</f>
        <v>9661408.9343220908</v>
      </c>
      <c r="K41" s="160">
        <f t="shared" ref="K41:L41" si="52">K39+K33</f>
        <v>0</v>
      </c>
      <c r="L41" s="160">
        <f t="shared" si="52"/>
        <v>9661408.9343220908</v>
      </c>
      <c r="M41" s="160">
        <f>M39+M33</f>
        <v>214356.93402367301</v>
      </c>
      <c r="N41" s="160">
        <f t="shared" ref="N41" si="53">N39+N33</f>
        <v>0</v>
      </c>
      <c r="O41" s="160">
        <f>O39+O33</f>
        <v>214356.93402367301</v>
      </c>
      <c r="P41" s="160">
        <f>P39+P33</f>
        <v>3166391.7784607117</v>
      </c>
      <c r="Q41" s="160">
        <f t="shared" ref="Q41" si="54">Q39+Q33</f>
        <v>0</v>
      </c>
      <c r="R41" s="160">
        <f>R39+R33</f>
        <v>3166391.7784607117</v>
      </c>
      <c r="S41" s="160">
        <f>S39+S33</f>
        <v>2172636.3385714283</v>
      </c>
      <c r="T41" s="160">
        <f t="shared" ref="T41:U41" si="55">T39+T33</f>
        <v>-441744</v>
      </c>
      <c r="U41" s="160">
        <f t="shared" si="55"/>
        <v>1730892.3385714283</v>
      </c>
      <c r="V41" s="160">
        <f>SUM(G41,J41,M41,P41,S41)</f>
        <v>20593719.317247942</v>
      </c>
      <c r="W41" s="266">
        <f>SUM(,H41,K41,N41,Q41,T41)</f>
        <v>8002</v>
      </c>
      <c r="X41" s="275">
        <f>SUM(I41,L41,O41,R41,U41)</f>
        <v>20601721.317247942</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11" t="s">
        <v>487</v>
      </c>
      <c r="B43" s="512"/>
      <c r="C43" s="512"/>
      <c r="D43" s="512"/>
      <c r="E43" s="512"/>
      <c r="F43" s="512"/>
      <c r="G43" s="512"/>
      <c r="H43" s="512"/>
      <c r="I43" s="512"/>
      <c r="J43" s="512"/>
      <c r="K43" s="512"/>
      <c r="L43" s="512"/>
      <c r="M43" s="512"/>
      <c r="N43" s="512"/>
      <c r="O43" s="512"/>
      <c r="P43" s="512"/>
      <c r="Q43" s="512"/>
      <c r="R43" s="512"/>
      <c r="S43" s="512"/>
      <c r="T43" s="512"/>
      <c r="U43" s="512"/>
      <c r="V43" s="512"/>
      <c r="W43" s="512"/>
      <c r="X43" s="513"/>
      <c r="Y43" s="140"/>
    </row>
    <row r="44" spans="1:25" s="22" customFormat="1" x14ac:dyDescent="0.35">
      <c r="A44" s="155">
        <v>20</v>
      </c>
      <c r="B44" s="514" t="s">
        <v>283</v>
      </c>
      <c r="C44" s="517"/>
      <c r="D44" s="517"/>
      <c r="E44" s="517"/>
      <c r="F44" s="515"/>
      <c r="G44" s="157">
        <f>'As-Filed Schedule 1'!E43</f>
        <v>42199.787067212703</v>
      </c>
      <c r="H44" s="263">
        <f>SUMIFS(Adjustments!$G:$G,Adjustments!$H:$H,"1",Adjustments!$I:$I,$G$9,Adjustments!$J:$J,$A44)</f>
        <v>0</v>
      </c>
      <c r="I44" s="274">
        <f>SUM(G44:H44)</f>
        <v>42199.787067212703</v>
      </c>
      <c r="J44" s="157">
        <f>'As-Filed Schedule 1'!F43</f>
        <v>53583</v>
      </c>
      <c r="K44" s="263">
        <f>SUMIFS(Adjustments!$G:$G,Adjustments!$H:$H,"1",Adjustments!$I:$I,$J$9,Adjustments!$J:$J,$A44)</f>
        <v>0</v>
      </c>
      <c r="L44" s="274">
        <f t="shared" ref="L44:L50" si="56">SUM(J44:K44)</f>
        <v>53583</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95782.787067212703</v>
      </c>
      <c r="W44" s="266">
        <f t="shared" ref="W44:W51" si="61">SUM(,H44,K44,N44,Q44,T44)</f>
        <v>0</v>
      </c>
      <c r="X44" s="275">
        <f t="shared" ref="X44:X51" si="62">SUM(I44,L44,O44,R44,U44)</f>
        <v>95782.787067212703</v>
      </c>
      <c r="Y44" s="140"/>
    </row>
    <row r="45" spans="1:25" s="22" customFormat="1" x14ac:dyDescent="0.35">
      <c r="A45" s="155">
        <v>21</v>
      </c>
      <c r="B45" s="514" t="s">
        <v>230</v>
      </c>
      <c r="C45" s="517"/>
      <c r="D45" s="517"/>
      <c r="E45" s="517"/>
      <c r="F45" s="515"/>
      <c r="G45" s="157">
        <f>'As-Filed Schedule 1'!E44</f>
        <v>0</v>
      </c>
      <c r="H45" s="263">
        <f>SUMIFS(Adjustments!$G:$G,Adjustments!$H:$H,"1",Adjustments!$I:$I,$G$9,Adjustments!$J:$J,$A45)</f>
        <v>0</v>
      </c>
      <c r="I45" s="274">
        <f>SUM(G45:H45)</f>
        <v>0</v>
      </c>
      <c r="J45" s="157">
        <f>'As-Filed Schedule 1'!F44</f>
        <v>0</v>
      </c>
      <c r="K45" s="263">
        <f>SUMIFS(Adjustments!$G:$G,Adjustments!$H:$H,"1",Adjustments!$I:$I,$J$9,Adjustments!$J:$J,$A45)</f>
        <v>0</v>
      </c>
      <c r="L45" s="274">
        <f t="shared" si="56"/>
        <v>0</v>
      </c>
      <c r="M45" s="157">
        <f>'As-Filed Schedule 1'!G44</f>
        <v>0</v>
      </c>
      <c r="N45" s="263">
        <f>SUMIFS(Adjustments!$G:$G,Adjustments!$H:$H,"1",Adjustments!$I:$I,$M$9,Adjustments!$J:$J,$A45)</f>
        <v>0</v>
      </c>
      <c r="O45" s="274">
        <f t="shared" si="57"/>
        <v>0</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0</v>
      </c>
      <c r="W45" s="266">
        <f t="shared" si="61"/>
        <v>0</v>
      </c>
      <c r="X45" s="275">
        <f t="shared" si="62"/>
        <v>0</v>
      </c>
      <c r="Y45" s="140"/>
    </row>
    <row r="46" spans="1:25" s="22" customFormat="1" x14ac:dyDescent="0.35">
      <c r="A46" s="155">
        <v>22</v>
      </c>
      <c r="B46" s="514" t="s">
        <v>288</v>
      </c>
      <c r="C46" s="517"/>
      <c r="D46" s="517"/>
      <c r="E46" s="517"/>
      <c r="F46" s="515"/>
      <c r="G46" s="157">
        <f>'As-Filed Schedule 1'!E45</f>
        <v>0</v>
      </c>
      <c r="H46" s="263">
        <f>SUMIFS(Adjustments!$G:$G,Adjustments!$H:$H,"1",Adjustments!$I:$I,$G$9,Adjustments!$J:$J,$A46)</f>
        <v>0</v>
      </c>
      <c r="I46" s="274">
        <f t="shared" ref="I46" si="63">SUM(G46:H46)</f>
        <v>0</v>
      </c>
      <c r="J46" s="157">
        <f>'As-Filed Schedule 1'!F45</f>
        <v>0</v>
      </c>
      <c r="K46" s="263">
        <f>SUMIFS(Adjustments!$G:$G,Adjustments!$H:$H,"1",Adjustments!$I:$I,$J$9,Adjustments!$J:$J,$A46)</f>
        <v>0</v>
      </c>
      <c r="L46" s="274">
        <f t="shared" si="56"/>
        <v>0</v>
      </c>
      <c r="M46" s="157">
        <f>'As-Filed Schedule 1'!G45</f>
        <v>0</v>
      </c>
      <c r="N46" s="263">
        <f>SUMIFS(Adjustments!$G:$G,Adjustments!$H:$H,"1",Adjustments!$I:$I,$M$9,Adjustments!$J:$J,$A46)</f>
        <v>0</v>
      </c>
      <c r="O46" s="274">
        <f t="shared" si="57"/>
        <v>0</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0</v>
      </c>
      <c r="W46" s="266">
        <f t="shared" si="61"/>
        <v>0</v>
      </c>
      <c r="X46" s="275">
        <f t="shared" si="62"/>
        <v>0</v>
      </c>
      <c r="Y46" s="140"/>
    </row>
    <row r="47" spans="1:25" s="22" customFormat="1" x14ac:dyDescent="0.35">
      <c r="A47" s="155">
        <v>23</v>
      </c>
      <c r="B47" s="514" t="s">
        <v>284</v>
      </c>
      <c r="C47" s="517"/>
      <c r="D47" s="517"/>
      <c r="E47" s="517"/>
      <c r="F47" s="515"/>
      <c r="G47" s="157">
        <f>'As-Filed Schedule 1'!E46</f>
        <v>220.72</v>
      </c>
      <c r="H47" s="263">
        <f>SUMIFS(Adjustments!$G:$G,Adjustments!$H:$H,"1",Adjustments!$I:$I,$G$9,Adjustments!$J:$J,$A47)</f>
        <v>0</v>
      </c>
      <c r="I47" s="274">
        <f>SUM(G47:H47)</f>
        <v>220.72</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220.72</v>
      </c>
      <c r="W47" s="266">
        <f t="shared" si="61"/>
        <v>0</v>
      </c>
      <c r="X47" s="275">
        <f t="shared" si="62"/>
        <v>220.72</v>
      </c>
      <c r="Y47" s="140"/>
    </row>
    <row r="48" spans="1:25" s="22" customFormat="1" x14ac:dyDescent="0.35">
      <c r="A48" s="155">
        <v>24</v>
      </c>
      <c r="B48" s="514" t="s">
        <v>314</v>
      </c>
      <c r="C48" s="517"/>
      <c r="D48" s="517"/>
      <c r="E48" s="517"/>
      <c r="F48" s="515"/>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0</v>
      </c>
      <c r="N48" s="263">
        <f>SUMIFS(Adjustments!$G:$G,Adjustments!$H:$H,"1",Adjustments!$I:$I,$M$9,Adjustments!$J:$J,$A48)</f>
        <v>0</v>
      </c>
      <c r="O48" s="274">
        <f t="shared" si="57"/>
        <v>0</v>
      </c>
      <c r="P48" s="157">
        <f>'As-Filed Schedule 1'!H47</f>
        <v>0</v>
      </c>
      <c r="Q48" s="263">
        <f>SUMIFS(Adjustments!$G:$G,Adjustments!$H:$H,"1",Adjustments!$I:$I,$P$9,Adjustments!$J:$J,$A48)</f>
        <v>0</v>
      </c>
      <c r="R48" s="274">
        <f t="shared" si="58"/>
        <v>0</v>
      </c>
      <c r="S48" s="157">
        <f>'As-Filed Schedule 1'!I47</f>
        <v>0</v>
      </c>
      <c r="T48" s="263">
        <f>SUMIFS(Adjustments!$G:$G,Adjustments!$H:$H,"1",Adjustments!$I:$I,$S$9,Adjustments!$J:$J,$A48)</f>
        <v>0</v>
      </c>
      <c r="U48" s="274">
        <f t="shared" si="59"/>
        <v>0</v>
      </c>
      <c r="V48" s="160">
        <f t="shared" si="60"/>
        <v>0</v>
      </c>
      <c r="W48" s="266">
        <f>SUM(,H48,K48,N48,Q48,T48)</f>
        <v>0</v>
      </c>
      <c r="X48" s="275">
        <f t="shared" si="62"/>
        <v>0</v>
      </c>
      <c r="Y48" s="140"/>
    </row>
    <row r="49" spans="1:25" s="22" customFormat="1" x14ac:dyDescent="0.35">
      <c r="A49" s="155">
        <v>25</v>
      </c>
      <c r="B49" s="514" t="s">
        <v>775</v>
      </c>
      <c r="C49" s="517"/>
      <c r="D49" s="517"/>
      <c r="E49" s="517"/>
      <c r="F49" s="515"/>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96" t="s">
        <v>452</v>
      </c>
      <c r="C50" s="597"/>
      <c r="D50" s="597"/>
      <c r="E50" s="597"/>
      <c r="F50" s="598"/>
      <c r="G50" s="157">
        <f>'As-Filed Schedule 1'!E49</f>
        <v>0</v>
      </c>
      <c r="H50" s="263">
        <f>SUMIFS(Adjustments!$G:$G,Adjustments!$H:$H,"1",Adjustments!$I:$I,$G$9,Adjustments!$J:$J,$A50)</f>
        <v>0</v>
      </c>
      <c r="I50" s="274">
        <f>SUM(G50:H50)</f>
        <v>0</v>
      </c>
      <c r="J50" s="157">
        <f>'As-Filed Schedule 1'!F49</f>
        <v>274069.64</v>
      </c>
      <c r="K50" s="263">
        <f>SUMIFS(Adjustments!$G:$G,Adjustments!$H:$H,"1",Adjustments!$I:$I,$J$9,Adjustments!$J:$J,$A50)</f>
        <v>0</v>
      </c>
      <c r="L50" s="274">
        <f t="shared" si="56"/>
        <v>274069.64</v>
      </c>
      <c r="M50" s="157">
        <f>'As-Filed Schedule 1'!G49</f>
        <v>0</v>
      </c>
      <c r="N50" s="263">
        <f>SUMIFS(Adjustments!$G:$G,Adjustments!$H:$H,"1",Adjustments!$I:$I,$M$9,Adjustments!$J:$J,$A50)</f>
        <v>0</v>
      </c>
      <c r="O50" s="274">
        <f t="shared" si="57"/>
        <v>0</v>
      </c>
      <c r="P50" s="157">
        <f>'As-Filed Schedule 1'!H49</f>
        <v>0</v>
      </c>
      <c r="Q50" s="263">
        <f>SUMIFS(Adjustments!$G:$G,Adjustments!$H:$H,"1",Adjustments!$I:$I,$P$9,Adjustments!$J:$J,$A50)</f>
        <v>0</v>
      </c>
      <c r="R50" s="274">
        <f t="shared" si="58"/>
        <v>0</v>
      </c>
      <c r="S50" s="157">
        <f>'As-Filed Schedule 1'!I49</f>
        <v>1752</v>
      </c>
      <c r="T50" s="263">
        <f>SUMIFS(Adjustments!$G:$G,Adjustments!$H:$H,"1",Adjustments!$I:$I,$S$9,Adjustments!$J:$J,$A50)</f>
        <v>0</v>
      </c>
      <c r="U50" s="274">
        <f t="shared" si="59"/>
        <v>1752</v>
      </c>
      <c r="V50" s="160">
        <f t="shared" si="60"/>
        <v>275821.64</v>
      </c>
      <c r="W50" s="266">
        <f t="shared" si="61"/>
        <v>0</v>
      </c>
      <c r="X50" s="275">
        <f t="shared" si="62"/>
        <v>275821.64</v>
      </c>
      <c r="Y50" s="140"/>
    </row>
    <row r="51" spans="1:25" s="22" customFormat="1" x14ac:dyDescent="0.35">
      <c r="A51" s="155">
        <v>27</v>
      </c>
      <c r="B51" s="508" t="s">
        <v>238</v>
      </c>
      <c r="C51" s="516"/>
      <c r="D51" s="516"/>
      <c r="E51" s="516"/>
      <c r="F51" s="509"/>
      <c r="G51" s="160">
        <f t="shared" ref="G51:U51" si="70">SUM(G44:G50)</f>
        <v>42420.507067212704</v>
      </c>
      <c r="H51" s="160">
        <f t="shared" si="70"/>
        <v>0</v>
      </c>
      <c r="I51" s="160">
        <f t="shared" si="70"/>
        <v>42420.507067212704</v>
      </c>
      <c r="J51" s="160">
        <f t="shared" si="70"/>
        <v>327652.64</v>
      </c>
      <c r="K51" s="160">
        <f t="shared" si="70"/>
        <v>0</v>
      </c>
      <c r="L51" s="160">
        <f t="shared" si="70"/>
        <v>327652.64</v>
      </c>
      <c r="M51" s="160">
        <f t="shared" si="70"/>
        <v>0</v>
      </c>
      <c r="N51" s="160">
        <f t="shared" si="70"/>
        <v>0</v>
      </c>
      <c r="O51" s="160">
        <f t="shared" si="70"/>
        <v>0</v>
      </c>
      <c r="P51" s="160">
        <f t="shared" si="70"/>
        <v>0</v>
      </c>
      <c r="Q51" s="160">
        <f t="shared" si="70"/>
        <v>0</v>
      </c>
      <c r="R51" s="160">
        <f t="shared" si="70"/>
        <v>0</v>
      </c>
      <c r="S51" s="160">
        <f t="shared" si="70"/>
        <v>1752</v>
      </c>
      <c r="T51" s="160">
        <f t="shared" si="70"/>
        <v>0</v>
      </c>
      <c r="U51" s="160">
        <f t="shared" si="70"/>
        <v>1752</v>
      </c>
      <c r="V51" s="160">
        <f t="shared" si="60"/>
        <v>371825.14706721273</v>
      </c>
      <c r="W51" s="266">
        <f t="shared" si="61"/>
        <v>0</v>
      </c>
      <c r="X51" s="275">
        <f t="shared" si="62"/>
        <v>371825.14706721273</v>
      </c>
      <c r="Y51" s="140"/>
    </row>
    <row r="52" spans="1:25" s="22" customFormat="1" x14ac:dyDescent="0.35">
      <c r="A52" s="161"/>
      <c r="B52" s="599"/>
      <c r="C52" s="599"/>
      <c r="D52" s="599"/>
      <c r="E52" s="599"/>
      <c r="F52" s="599"/>
      <c r="G52" s="599"/>
      <c r="H52" s="599"/>
      <c r="I52" s="599"/>
      <c r="J52" s="599"/>
      <c r="K52" s="599"/>
      <c r="L52" s="599"/>
      <c r="M52" s="599"/>
      <c r="N52" s="270"/>
      <c r="O52" s="280"/>
      <c r="P52" s="164"/>
      <c r="Q52" s="267"/>
      <c r="R52" s="276"/>
      <c r="S52" s="164"/>
      <c r="T52" s="267"/>
      <c r="U52" s="276"/>
      <c r="V52" s="164"/>
      <c r="W52" s="267"/>
      <c r="X52" s="276"/>
      <c r="Y52" s="140"/>
    </row>
    <row r="53" spans="1:25" s="22" customFormat="1" x14ac:dyDescent="0.35">
      <c r="A53" s="511" t="s">
        <v>233</v>
      </c>
      <c r="B53" s="512"/>
      <c r="C53" s="512"/>
      <c r="D53" s="512"/>
      <c r="E53" s="512"/>
      <c r="F53" s="512"/>
      <c r="G53" s="512"/>
      <c r="H53" s="512"/>
      <c r="I53" s="512"/>
      <c r="J53" s="512"/>
      <c r="K53" s="512"/>
      <c r="L53" s="512"/>
      <c r="M53" s="512"/>
      <c r="N53" s="512"/>
      <c r="O53" s="512"/>
      <c r="P53" s="512"/>
      <c r="Q53" s="512"/>
      <c r="R53" s="512"/>
      <c r="S53" s="512"/>
      <c r="T53" s="512"/>
      <c r="U53" s="512"/>
      <c r="V53" s="512"/>
      <c r="W53" s="512"/>
      <c r="X53" s="513"/>
      <c r="Y53" s="140"/>
    </row>
    <row r="54" spans="1:25" s="22" customFormat="1" x14ac:dyDescent="0.35">
      <c r="A54" s="155">
        <v>28</v>
      </c>
      <c r="B54" s="514" t="s">
        <v>282</v>
      </c>
      <c r="C54" s="517"/>
      <c r="D54" s="517"/>
      <c r="E54" s="517"/>
      <c r="F54" s="515"/>
      <c r="G54" s="157">
        <f>'As-Filed Schedule 1'!E53</f>
        <v>67543.7</v>
      </c>
      <c r="H54" s="263">
        <f>SUMIFS(Adjustments!$G:$G,Adjustments!$H:$H,"1",Adjustments!$I:$I,$G$9,Adjustments!$J:$J,$A54)</f>
        <v>0</v>
      </c>
      <c r="I54" s="274">
        <f t="shared" ref="I54:I57" si="71">SUM(G54:H54)</f>
        <v>67543.7</v>
      </c>
      <c r="J54" s="157">
        <f>'As-Filed Schedule 1'!F53</f>
        <v>172956.81</v>
      </c>
      <c r="K54" s="263">
        <f>SUMIFS(Adjustments!$G:$G,Adjustments!$H:$H,"1",Adjustments!$I:$I,$J$9,Adjustments!$J:$J,$A54)</f>
        <v>0</v>
      </c>
      <c r="L54" s="274">
        <f t="shared" ref="L54:L57" si="72">SUM(J54:K54)</f>
        <v>172956.81</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4935.41</v>
      </c>
      <c r="T54" s="263">
        <f>SUMIFS(Adjustments!$G:$G,Adjustments!$H:$H,"1",Adjustments!$I:$I,$S$9,Adjustments!$J:$J,$A54)</f>
        <v>0</v>
      </c>
      <c r="U54" s="274">
        <f t="shared" ref="U54:U57" si="75">SUM(S54:T54)</f>
        <v>4935.41</v>
      </c>
      <c r="V54" s="160">
        <f t="shared" ref="V54:V58" si="76">SUM(G54,J54,M54,P54,S54)</f>
        <v>245435.92</v>
      </c>
      <c r="W54" s="266">
        <f t="shared" ref="W54:W58" si="77">SUM(,H54,K54,N54,Q54,T54)</f>
        <v>0</v>
      </c>
      <c r="X54" s="275">
        <f t="shared" ref="X54:X58" si="78">SUM(I54,L54,O54,R54,U54)</f>
        <v>245435.92</v>
      </c>
      <c r="Y54" s="140"/>
    </row>
    <row r="55" spans="1:25" s="22" customFormat="1" x14ac:dyDescent="0.35">
      <c r="A55" s="155">
        <v>29</v>
      </c>
      <c r="B55" s="514" t="s">
        <v>294</v>
      </c>
      <c r="C55" s="517"/>
      <c r="D55" s="517"/>
      <c r="E55" s="517"/>
      <c r="F55" s="515"/>
      <c r="G55" s="157">
        <f>'As-Filed Schedule 1'!E54</f>
        <v>59999.789999999979</v>
      </c>
      <c r="H55" s="263">
        <f>SUMIFS(Adjustments!$G:$G,Adjustments!$H:$H,"1",Adjustments!$I:$I,$G$9,Adjustments!$J:$J,$A55)</f>
        <v>0</v>
      </c>
      <c r="I55" s="274">
        <f t="shared" si="71"/>
        <v>59999.789999999979</v>
      </c>
      <c r="J55" s="157">
        <f>'As-Filed Schedule 1'!F54</f>
        <v>67715.900000000009</v>
      </c>
      <c r="K55" s="263">
        <f>SUMIFS(Adjustments!$G:$G,Adjustments!$H:$H,"1",Adjustments!$I:$I,$J$9,Adjustments!$J:$J,$A55)</f>
        <v>0</v>
      </c>
      <c r="L55" s="274">
        <f t="shared" si="72"/>
        <v>67715.900000000009</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127715.68999999999</v>
      </c>
      <c r="W55" s="266">
        <f t="shared" si="77"/>
        <v>0</v>
      </c>
      <c r="X55" s="275">
        <f t="shared" si="78"/>
        <v>127715.68999999999</v>
      </c>
      <c r="Y55" s="140"/>
    </row>
    <row r="56" spans="1:25" s="22" customFormat="1" x14ac:dyDescent="0.35">
      <c r="A56" s="155">
        <v>30</v>
      </c>
      <c r="B56" s="514" t="s">
        <v>295</v>
      </c>
      <c r="C56" s="517"/>
      <c r="D56" s="517"/>
      <c r="E56" s="517"/>
      <c r="F56" s="515"/>
      <c r="G56" s="157">
        <f>'As-Filed Schedule 1'!E55</f>
        <v>34845.089999999997</v>
      </c>
      <c r="H56" s="263">
        <f>SUMIFS(Adjustments!$G:$G,Adjustments!$H:$H,"1",Adjustments!$I:$I,$G$9,Adjustments!$J:$J,$A56)</f>
        <v>0</v>
      </c>
      <c r="I56" s="274">
        <f t="shared" si="71"/>
        <v>34845.089999999997</v>
      </c>
      <c r="J56" s="157">
        <f>'As-Filed Schedule 1'!F55</f>
        <v>15497</v>
      </c>
      <c r="K56" s="263">
        <f>SUMIFS(Adjustments!$G:$G,Adjustments!$H:$H,"1",Adjustments!$I:$I,$J$9,Adjustments!$J:$J,$A56)</f>
        <v>0</v>
      </c>
      <c r="L56" s="274">
        <f t="shared" si="72"/>
        <v>15497</v>
      </c>
      <c r="M56" s="157">
        <f>'As-Filed Schedule 1'!G55</f>
        <v>300</v>
      </c>
      <c r="N56" s="263">
        <f>SUMIFS(Adjustments!$G:$G,Adjustments!$H:$H,"1",Adjustments!$I:$I,$M$9,Adjustments!$J:$J,$A56)</f>
        <v>0</v>
      </c>
      <c r="O56" s="274">
        <f t="shared" si="73"/>
        <v>300</v>
      </c>
      <c r="P56" s="157">
        <f>'As-Filed Schedule 1'!H55</f>
        <v>0</v>
      </c>
      <c r="Q56" s="263">
        <f>SUMIFS(Adjustments!$G:$G,Adjustments!$H:$H,"1",Adjustments!$I:$I,$P$9,Adjustments!$J:$J,$A56)</f>
        <v>0</v>
      </c>
      <c r="R56" s="274">
        <f t="shared" si="74"/>
        <v>0</v>
      </c>
      <c r="S56" s="157">
        <f>'As-Filed Schedule 1'!I55</f>
        <v>0</v>
      </c>
      <c r="T56" s="263">
        <f>SUMIFS(Adjustments!$G:$G,Adjustments!$H:$H,"1",Adjustments!$I:$I,$S$9,Adjustments!$J:$J,$A56)</f>
        <v>0</v>
      </c>
      <c r="U56" s="274">
        <f t="shared" si="75"/>
        <v>0</v>
      </c>
      <c r="V56" s="160">
        <f t="shared" si="76"/>
        <v>50642.09</v>
      </c>
      <c r="W56" s="266">
        <f t="shared" si="77"/>
        <v>0</v>
      </c>
      <c r="X56" s="275">
        <f t="shared" si="78"/>
        <v>50642.09</v>
      </c>
      <c r="Y56" s="140"/>
    </row>
    <row r="57" spans="1:25" s="22" customFormat="1" x14ac:dyDescent="0.35">
      <c r="A57" s="155">
        <v>31</v>
      </c>
      <c r="B57" s="514" t="s">
        <v>296</v>
      </c>
      <c r="C57" s="517"/>
      <c r="D57" s="517"/>
      <c r="E57" s="517"/>
      <c r="F57" s="515"/>
      <c r="G57" s="157">
        <f>'As-Filed Schedule 1'!E56</f>
        <v>1211127.2994906174</v>
      </c>
      <c r="H57" s="263">
        <f>SUMIFS(Adjustments!$G:$G,Adjustments!$H:$H,"1",Adjustments!$I:$I,$G$9,Adjustments!$J:$J,$A57)</f>
        <v>0</v>
      </c>
      <c r="I57" s="274">
        <f t="shared" si="71"/>
        <v>1211127.2994906174</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1240</v>
      </c>
      <c r="T57" s="263">
        <f>SUMIFS(Adjustments!$G:$G,Adjustments!$H:$H,"1",Adjustments!$I:$I,$S$9,Adjustments!$J:$J,$A57)</f>
        <v>0</v>
      </c>
      <c r="U57" s="274">
        <f t="shared" si="75"/>
        <v>1240</v>
      </c>
      <c r="V57" s="160">
        <f t="shared" si="76"/>
        <v>1212367.2994906174</v>
      </c>
      <c r="W57" s="266">
        <f t="shared" si="77"/>
        <v>0</v>
      </c>
      <c r="X57" s="275">
        <f t="shared" si="78"/>
        <v>1212367.2994906174</v>
      </c>
      <c r="Y57" s="140"/>
    </row>
    <row r="58" spans="1:25" s="22" customFormat="1" x14ac:dyDescent="0.35">
      <c r="A58" s="155">
        <v>32</v>
      </c>
      <c r="B58" s="508" t="s">
        <v>231</v>
      </c>
      <c r="C58" s="516"/>
      <c r="D58" s="516"/>
      <c r="E58" s="516"/>
      <c r="F58" s="509"/>
      <c r="G58" s="160">
        <f>SUM(G54:G57)</f>
        <v>1373515.8794906172</v>
      </c>
      <c r="H58" s="160">
        <f t="shared" ref="H58:I58" si="79">SUM(H54:H57)</f>
        <v>0</v>
      </c>
      <c r="I58" s="160">
        <f t="shared" si="79"/>
        <v>1373515.8794906172</v>
      </c>
      <c r="J58" s="160">
        <f>SUM(J54:J57)</f>
        <v>256169.71000000002</v>
      </c>
      <c r="K58" s="160">
        <f t="shared" ref="K58:L58" si="80">SUM(K54:K57)</f>
        <v>0</v>
      </c>
      <c r="L58" s="160">
        <f t="shared" si="80"/>
        <v>256169.71000000002</v>
      </c>
      <c r="M58" s="160">
        <f>SUM(M54:M57)</f>
        <v>300</v>
      </c>
      <c r="N58" s="160">
        <f t="shared" ref="N58:O58" si="81">SUM(N54:N57)</f>
        <v>0</v>
      </c>
      <c r="O58" s="160">
        <f t="shared" si="81"/>
        <v>300</v>
      </c>
      <c r="P58" s="160">
        <f>SUM(P54:P57)</f>
        <v>0</v>
      </c>
      <c r="Q58" s="160">
        <f t="shared" ref="Q58:R58" si="82">SUM(Q54:Q57)</f>
        <v>0</v>
      </c>
      <c r="R58" s="160">
        <f t="shared" si="82"/>
        <v>0</v>
      </c>
      <c r="S58" s="160">
        <f>SUM(S54:S57)</f>
        <v>6175.41</v>
      </c>
      <c r="T58" s="160">
        <f t="shared" ref="T58:U58" si="83">SUM(T54:T57)</f>
        <v>0</v>
      </c>
      <c r="U58" s="160">
        <f t="shared" si="83"/>
        <v>6175.41</v>
      </c>
      <c r="V58" s="160">
        <f t="shared" si="76"/>
        <v>1636160.9994906171</v>
      </c>
      <c r="W58" s="266">
        <f t="shared" si="77"/>
        <v>0</v>
      </c>
      <c r="X58" s="275">
        <f t="shared" si="78"/>
        <v>1636160.9994906171</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11" t="s">
        <v>232</v>
      </c>
      <c r="B60" s="512"/>
      <c r="C60" s="512"/>
      <c r="D60" s="512"/>
      <c r="E60" s="512"/>
      <c r="F60" s="512"/>
      <c r="G60" s="512"/>
      <c r="H60" s="512"/>
      <c r="I60" s="512"/>
      <c r="J60" s="512"/>
      <c r="K60" s="512"/>
      <c r="L60" s="512"/>
      <c r="M60" s="512"/>
      <c r="N60" s="512"/>
      <c r="O60" s="512"/>
      <c r="P60" s="512"/>
      <c r="Q60" s="512"/>
      <c r="R60" s="512"/>
      <c r="S60" s="512"/>
      <c r="T60" s="512"/>
      <c r="U60" s="512"/>
      <c r="V60" s="512"/>
      <c r="W60" s="512"/>
      <c r="X60" s="513"/>
      <c r="Y60" s="140"/>
    </row>
    <row r="61" spans="1:25" s="22" customFormat="1" x14ac:dyDescent="0.35">
      <c r="A61" s="155">
        <v>33</v>
      </c>
      <c r="B61" s="596" t="s">
        <v>297</v>
      </c>
      <c r="C61" s="597"/>
      <c r="D61" s="597"/>
      <c r="E61" s="597"/>
      <c r="F61" s="598"/>
      <c r="G61" s="157">
        <f>'As-Filed Schedule 1'!E60</f>
        <v>36383</v>
      </c>
      <c r="H61" s="263">
        <f>SUMIFS(Adjustments!$G:$G,Adjustments!$H:$H,"1",Adjustments!$I:$I,$G$9,Adjustments!$J:$J,$A61)</f>
        <v>0</v>
      </c>
      <c r="I61" s="274">
        <f t="shared" ref="I61:I67" si="84">SUM(G61:H61)</f>
        <v>36383</v>
      </c>
      <c r="J61" s="157">
        <f>'As-Filed Schedule 1'!F60</f>
        <v>0</v>
      </c>
      <c r="K61" s="263">
        <f>SUMIFS(Adjustments!$G:$G,Adjustments!$H:$H,"1",Adjustments!$I:$I,$J$9,Adjustments!$J:$J,$A61)</f>
        <v>0</v>
      </c>
      <c r="L61" s="274">
        <f t="shared" ref="L61:L67" si="85">SUM(J61:K61)</f>
        <v>0</v>
      </c>
      <c r="M61" s="157">
        <f>'As-Filed Schedule 1'!G60</f>
        <v>0</v>
      </c>
      <c r="N61" s="263">
        <f>SUMIFS(Adjustments!$G:$G,Adjustments!$H:$H,"1",Adjustments!$I:$I,$M$9,Adjustments!$J:$J,$A61)</f>
        <v>0</v>
      </c>
      <c r="O61" s="274">
        <f t="shared" ref="O61:O67" si="86">SUM(M61:N61)</f>
        <v>0</v>
      </c>
      <c r="P61" s="157">
        <f>'As-Filed Schedule 1'!H60</f>
        <v>0</v>
      </c>
      <c r="Q61" s="263">
        <f>SUMIFS(Adjustments!$G:$G,Adjustments!$H:$H,"1",Adjustments!$I:$I,$P$9,Adjustments!$J:$J,$A61)</f>
        <v>0</v>
      </c>
      <c r="R61" s="274">
        <f t="shared" ref="R61:R67" si="87">SUM(P61:Q61)</f>
        <v>0</v>
      </c>
      <c r="S61" s="157">
        <f>'As-Filed Schedule 1'!I60</f>
        <v>-2706.5899999999992</v>
      </c>
      <c r="T61" s="263">
        <f>SUMIFS(Adjustments!$G:$G,Adjustments!$H:$H,"1",Adjustments!$I:$I,$S$9,Adjustments!$J:$J,$A61)</f>
        <v>0</v>
      </c>
      <c r="U61" s="274">
        <f t="shared" ref="U61:U67" si="88">SUM(S61:T61)</f>
        <v>-2706.5899999999992</v>
      </c>
      <c r="V61" s="160">
        <f t="shared" ref="V61:V68" si="89">SUM(G61,J61,M61,P61,S61)</f>
        <v>33676.410000000003</v>
      </c>
      <c r="W61" s="266">
        <f t="shared" ref="W61:W68" si="90">SUM(,H61,K61,N61,Q61,T61)</f>
        <v>0</v>
      </c>
      <c r="X61" s="275">
        <f t="shared" ref="X61:X68" si="91">SUM(I61,L61,O61,R61,U61)</f>
        <v>33676.410000000003</v>
      </c>
      <c r="Y61" s="140"/>
    </row>
    <row r="62" spans="1:25" s="22" customFormat="1" x14ac:dyDescent="0.35">
      <c r="A62" s="155">
        <v>34</v>
      </c>
      <c r="B62" s="596" t="s">
        <v>298</v>
      </c>
      <c r="C62" s="597"/>
      <c r="D62" s="597"/>
      <c r="E62" s="597"/>
      <c r="F62" s="598"/>
      <c r="G62" s="157">
        <f>'As-Filed Schedule 1'!E61</f>
        <v>457298.95999999996</v>
      </c>
      <c r="H62" s="263">
        <f>SUMIFS(Adjustments!$G:$G,Adjustments!$H:$H,"1",Adjustments!$I:$I,$G$9,Adjustments!$J:$J,$A62)</f>
        <v>0</v>
      </c>
      <c r="I62" s="274">
        <f t="shared" si="84"/>
        <v>457298.95999999996</v>
      </c>
      <c r="J62" s="157">
        <f>'As-Filed Schedule 1'!F61</f>
        <v>0</v>
      </c>
      <c r="K62" s="263">
        <f>SUMIFS(Adjustments!$G:$G,Adjustments!$H:$H,"1",Adjustments!$I:$I,$J$9,Adjustments!$J:$J,$A62)</f>
        <v>0</v>
      </c>
      <c r="L62" s="274">
        <f t="shared" si="85"/>
        <v>0</v>
      </c>
      <c r="M62" s="157">
        <f>'As-Filed Schedule 1'!G61</f>
        <v>0</v>
      </c>
      <c r="N62" s="263">
        <f>SUMIFS(Adjustments!$G:$G,Adjustments!$H:$H,"1",Adjustments!$I:$I,$M$9,Adjustments!$J:$J,$A62)</f>
        <v>0</v>
      </c>
      <c r="O62" s="274">
        <f t="shared" si="86"/>
        <v>0</v>
      </c>
      <c r="P62" s="157">
        <f>'As-Filed Schedule 1'!H61</f>
        <v>0</v>
      </c>
      <c r="Q62" s="263">
        <f>SUMIFS(Adjustments!$G:$G,Adjustments!$H:$H,"1",Adjustments!$I:$I,$P$9,Adjustments!$J:$J,$A62)</f>
        <v>0</v>
      </c>
      <c r="R62" s="274">
        <f t="shared" si="87"/>
        <v>0</v>
      </c>
      <c r="S62" s="157">
        <f>'As-Filed Schedule 1'!I61</f>
        <v>0</v>
      </c>
      <c r="T62" s="263">
        <f>SUMIFS(Adjustments!$G:$G,Adjustments!$H:$H,"1",Adjustments!$I:$I,$S$9,Adjustments!$J:$J,$A62)</f>
        <v>0</v>
      </c>
      <c r="U62" s="274">
        <f t="shared" si="88"/>
        <v>0</v>
      </c>
      <c r="V62" s="160">
        <f t="shared" si="89"/>
        <v>457298.95999999996</v>
      </c>
      <c r="W62" s="266">
        <f t="shared" si="90"/>
        <v>0</v>
      </c>
      <c r="X62" s="275">
        <f t="shared" si="91"/>
        <v>457298.95999999996</v>
      </c>
      <c r="Y62" s="140"/>
    </row>
    <row r="63" spans="1:25" s="22" customFormat="1" x14ac:dyDescent="0.35">
      <c r="A63" s="155">
        <v>35</v>
      </c>
      <c r="B63" s="596" t="s">
        <v>302</v>
      </c>
      <c r="C63" s="597"/>
      <c r="D63" s="597"/>
      <c r="E63" s="597"/>
      <c r="F63" s="598"/>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96" t="s">
        <v>315</v>
      </c>
      <c r="C64" s="597"/>
      <c r="D64" s="597"/>
      <c r="E64" s="597"/>
      <c r="F64" s="598"/>
      <c r="G64" s="157">
        <f>'As-Filed Schedule 1'!E63</f>
        <v>67523.430000000008</v>
      </c>
      <c r="H64" s="263">
        <f>SUMIFS(Adjustments!$G:$G,Adjustments!$H:$H,"1",Adjustments!$I:$I,$G$9,Adjustments!$J:$J,$A64)</f>
        <v>0</v>
      </c>
      <c r="I64" s="274">
        <f t="shared" si="84"/>
        <v>67523.430000000008</v>
      </c>
      <c r="J64" s="157">
        <f>'As-Filed Schedule 1'!F63</f>
        <v>0</v>
      </c>
      <c r="K64" s="263">
        <f>SUMIFS(Adjustments!$G:$G,Adjustments!$H:$H,"1",Adjustments!$I:$I,$J$9,Adjustments!$J:$J,$A64)</f>
        <v>0</v>
      </c>
      <c r="L64" s="274">
        <f t="shared" si="85"/>
        <v>0</v>
      </c>
      <c r="M64" s="157">
        <f>'As-Filed Schedule 1'!G63</f>
        <v>0</v>
      </c>
      <c r="N64" s="263">
        <f>SUMIFS(Adjustments!$G:$G,Adjustments!$H:$H,"1",Adjustments!$I:$I,$M$9,Adjustments!$J:$J,$A64)</f>
        <v>0</v>
      </c>
      <c r="O64" s="274">
        <f t="shared" si="86"/>
        <v>0</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67523.430000000008</v>
      </c>
      <c r="W64" s="266">
        <f t="shared" si="90"/>
        <v>0</v>
      </c>
      <c r="X64" s="275">
        <f t="shared" si="91"/>
        <v>67523.430000000008</v>
      </c>
      <c r="Y64" s="140"/>
    </row>
    <row r="65" spans="1:25" s="22" customFormat="1" x14ac:dyDescent="0.35">
      <c r="A65" s="155">
        <v>37</v>
      </c>
      <c r="B65" s="596" t="s">
        <v>316</v>
      </c>
      <c r="C65" s="597"/>
      <c r="D65" s="597"/>
      <c r="E65" s="597"/>
      <c r="F65" s="598"/>
      <c r="G65" s="157">
        <f>'As-Filed Schedule 1'!E64</f>
        <v>257359.28389489237</v>
      </c>
      <c r="H65" s="263">
        <f>SUMIFS(Adjustments!$G:$G,Adjustments!$H:$H,"1",Adjustments!$I:$I,$G$9,Adjustments!$J:$J,$A65)</f>
        <v>0</v>
      </c>
      <c r="I65" s="274">
        <f t="shared" si="84"/>
        <v>257359.28389489237</v>
      </c>
      <c r="J65" s="157">
        <f>'As-Filed Schedule 1'!F64</f>
        <v>0</v>
      </c>
      <c r="K65" s="263">
        <f>SUMIFS(Adjustments!$G:$G,Adjustments!$H:$H,"1",Adjustments!$I:$I,$J$9,Adjustments!$J:$J,$A65)</f>
        <v>0</v>
      </c>
      <c r="L65" s="274">
        <f t="shared" si="85"/>
        <v>0</v>
      </c>
      <c r="M65" s="157">
        <f>'As-Filed Schedule 1'!G64</f>
        <v>0</v>
      </c>
      <c r="N65" s="263">
        <f>SUMIFS(Adjustments!$G:$G,Adjustments!$H:$H,"1",Adjustments!$I:$I,$M$9,Adjustments!$J:$J,$A65)</f>
        <v>0</v>
      </c>
      <c r="O65" s="274">
        <f t="shared" si="86"/>
        <v>0</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257359.28389489237</v>
      </c>
      <c r="W65" s="266">
        <f t="shared" si="90"/>
        <v>0</v>
      </c>
      <c r="X65" s="275">
        <f t="shared" si="91"/>
        <v>257359.28389489237</v>
      </c>
      <c r="Y65" s="140"/>
    </row>
    <row r="66" spans="1:25" s="22" customFormat="1" x14ac:dyDescent="0.35">
      <c r="A66" s="155">
        <v>38</v>
      </c>
      <c r="B66" s="596" t="s">
        <v>317</v>
      </c>
      <c r="C66" s="597"/>
      <c r="D66" s="597"/>
      <c r="E66" s="597"/>
      <c r="F66" s="598"/>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96" t="s">
        <v>299</v>
      </c>
      <c r="C67" s="597"/>
      <c r="D67" s="597"/>
      <c r="E67" s="597"/>
      <c r="F67" s="598"/>
      <c r="G67" s="157">
        <f>'As-Filed Schedule 1'!E66</f>
        <v>510084.90697667468</v>
      </c>
      <c r="H67" s="263">
        <f>SUMIFS(Adjustments!$G:$G,Adjustments!$H:$H,"1",Adjustments!$I:$I,$G$9,Adjustments!$J:$J,$A67)</f>
        <v>0</v>
      </c>
      <c r="I67" s="274">
        <f t="shared" si="84"/>
        <v>510084.90697667468</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510084.90697667468</v>
      </c>
      <c r="W67" s="266">
        <f t="shared" si="90"/>
        <v>0</v>
      </c>
      <c r="X67" s="275">
        <f t="shared" si="91"/>
        <v>510084.90697667468</v>
      </c>
      <c r="Y67" s="140"/>
    </row>
    <row r="68" spans="1:25" s="22" customFormat="1" x14ac:dyDescent="0.35">
      <c r="A68" s="155">
        <v>40</v>
      </c>
      <c r="B68" s="600" t="s">
        <v>237</v>
      </c>
      <c r="C68" s="601"/>
      <c r="D68" s="601"/>
      <c r="E68" s="601"/>
      <c r="F68" s="602"/>
      <c r="G68" s="160">
        <f>SUM(G61:G67)</f>
        <v>1328649.5808715671</v>
      </c>
      <c r="H68" s="160">
        <f>SUM(H61:H67)</f>
        <v>0</v>
      </c>
      <c r="I68" s="160">
        <f>SUM(I61:I67)</f>
        <v>1328649.5808715671</v>
      </c>
      <c r="J68" s="160">
        <f>SUM(J61:J67)</f>
        <v>0</v>
      </c>
      <c r="K68" s="160">
        <f t="shared" ref="K68:L68" si="92">SUM(K61:K67)</f>
        <v>0</v>
      </c>
      <c r="L68" s="160">
        <f t="shared" si="92"/>
        <v>0</v>
      </c>
      <c r="M68" s="160">
        <f>SUM(M61:M67)</f>
        <v>0</v>
      </c>
      <c r="N68" s="160">
        <f t="shared" ref="N68:O68" si="93">SUM(N61:N67)</f>
        <v>0</v>
      </c>
      <c r="O68" s="160">
        <f t="shared" si="93"/>
        <v>0</v>
      </c>
      <c r="P68" s="160">
        <f>SUM(P61:P67)</f>
        <v>0</v>
      </c>
      <c r="Q68" s="160">
        <f>SUM(Q61:Q67)</f>
        <v>0</v>
      </c>
      <c r="R68" s="160">
        <f>SUM(R61:R67)</f>
        <v>0</v>
      </c>
      <c r="S68" s="160">
        <f>SUM(S61:S67)</f>
        <v>-2706.5899999999992</v>
      </c>
      <c r="T68" s="160">
        <f t="shared" ref="T68:U68" si="94">SUM(T61:T67)</f>
        <v>0</v>
      </c>
      <c r="U68" s="160">
        <f t="shared" si="94"/>
        <v>-2706.5899999999992</v>
      </c>
      <c r="V68" s="160">
        <f t="shared" si="89"/>
        <v>1325942.990871567</v>
      </c>
      <c r="W68" s="266">
        <f t="shared" si="90"/>
        <v>0</v>
      </c>
      <c r="X68" s="275">
        <f t="shared" si="91"/>
        <v>1325942.990871567</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11" t="s">
        <v>236</v>
      </c>
      <c r="B70" s="512"/>
      <c r="C70" s="512"/>
      <c r="D70" s="512"/>
      <c r="E70" s="512"/>
      <c r="F70" s="512"/>
      <c r="G70" s="512"/>
      <c r="H70" s="512"/>
      <c r="I70" s="512"/>
      <c r="J70" s="512"/>
      <c r="K70" s="512"/>
      <c r="L70" s="512"/>
      <c r="M70" s="512"/>
      <c r="N70" s="512"/>
      <c r="O70" s="512"/>
      <c r="P70" s="512"/>
      <c r="Q70" s="512"/>
      <c r="R70" s="512"/>
      <c r="S70" s="512"/>
      <c r="T70" s="512"/>
      <c r="U70" s="512"/>
      <c r="V70" s="512"/>
      <c r="W70" s="512"/>
      <c r="X70" s="513"/>
      <c r="Y70" s="140"/>
    </row>
    <row r="71" spans="1:25" s="22" customFormat="1" x14ac:dyDescent="0.35">
      <c r="A71" s="155">
        <v>41</v>
      </c>
      <c r="B71" s="514" t="s">
        <v>239</v>
      </c>
      <c r="C71" s="517"/>
      <c r="D71" s="517"/>
      <c r="E71" s="517"/>
      <c r="F71" s="515"/>
      <c r="G71" s="157">
        <f>'As-Filed Schedule 1'!E70</f>
        <v>26464.42</v>
      </c>
      <c r="H71" s="263">
        <f>SUMIFS(Adjustments!$G:$G,Adjustments!$H:$H,"1",Adjustments!$I:$I,$G$9,Adjustments!$J:$J,$A71)</f>
        <v>0</v>
      </c>
      <c r="I71" s="274">
        <f t="shared" ref="I71:I78" si="95">SUM(G71:H71)</f>
        <v>26464.42</v>
      </c>
      <c r="J71" s="157">
        <f>'As-Filed Schedule 1'!F70</f>
        <v>0</v>
      </c>
      <c r="K71" s="263">
        <f>SUMIFS(Adjustments!$G:$G,Adjustments!$H:$H,"1",Adjustments!$I:$I,$J$9,Adjustments!$J:$J,$A71)</f>
        <v>0</v>
      </c>
      <c r="L71" s="274">
        <f t="shared" ref="L71:L78" si="96">SUM(J71:K71)</f>
        <v>0</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525</v>
      </c>
      <c r="T71" s="263">
        <f>SUMIFS(Adjustments!$G:$G,Adjustments!$H:$H,"1",Adjustments!$I:$I,$S$9,Adjustments!$J:$J,$A71)</f>
        <v>0</v>
      </c>
      <c r="U71" s="274">
        <f t="shared" ref="U71:U78" si="99">SUM(S71:T71)</f>
        <v>525</v>
      </c>
      <c r="V71" s="160">
        <f t="shared" ref="V71:V79" si="100">SUM(G71,J71,M71,P71,S71)</f>
        <v>26989.42</v>
      </c>
      <c r="W71" s="266">
        <f t="shared" ref="W71:W79" si="101">SUM(,H71,K71,N71,Q71,T71)</f>
        <v>0</v>
      </c>
      <c r="X71" s="275">
        <f t="shared" ref="X71:X79" si="102">SUM(I71,L71,O71,R71,U71)</f>
        <v>26989.42</v>
      </c>
      <c r="Y71" s="140"/>
    </row>
    <row r="72" spans="1:25" s="22" customFormat="1" x14ac:dyDescent="0.35">
      <c r="A72" s="155">
        <v>42</v>
      </c>
      <c r="B72" s="514" t="s">
        <v>289</v>
      </c>
      <c r="C72" s="517"/>
      <c r="D72" s="517"/>
      <c r="E72" s="517"/>
      <c r="F72" s="515"/>
      <c r="G72" s="157">
        <f>'As-Filed Schedule 1'!E71</f>
        <v>101452.76</v>
      </c>
      <c r="H72" s="263">
        <f>SUMIFS(Adjustments!$G:$G,Adjustments!$H:$H,"1",Adjustments!$I:$I,$G$9,Adjustments!$J:$J,$A72)</f>
        <v>0</v>
      </c>
      <c r="I72" s="274">
        <f t="shared" si="95"/>
        <v>101452.76</v>
      </c>
      <c r="J72" s="157">
        <f>'As-Filed Schedule 1'!F71</f>
        <v>620</v>
      </c>
      <c r="K72" s="263">
        <f>SUMIFS(Adjustments!$G:$G,Adjustments!$H:$H,"1",Adjustments!$I:$I,$J$9,Adjustments!$J:$J,$A72)</f>
        <v>0</v>
      </c>
      <c r="L72" s="274">
        <f t="shared" si="96"/>
        <v>620</v>
      </c>
      <c r="M72" s="157">
        <f>'As-Filed Schedule 1'!G71</f>
        <v>0</v>
      </c>
      <c r="N72" s="263">
        <f>SUMIFS(Adjustments!$G:$G,Adjustments!$H:$H,"1",Adjustments!$I:$I,$M$9,Adjustments!$J:$J,$A72)</f>
        <v>0</v>
      </c>
      <c r="O72" s="274">
        <f t="shared" si="97"/>
        <v>0</v>
      </c>
      <c r="P72" s="157">
        <f>'As-Filed Schedule 1'!H71</f>
        <v>0</v>
      </c>
      <c r="Q72" s="263">
        <f>SUMIFS(Adjustments!$G:$G,Adjustments!$H:$H,"1",Adjustments!$I:$I,$P$9,Adjustments!$J:$J,$A72)</f>
        <v>0</v>
      </c>
      <c r="R72" s="274">
        <f t="shared" si="98"/>
        <v>0</v>
      </c>
      <c r="S72" s="157">
        <f>'As-Filed Schedule 1'!I71</f>
        <v>35138.410000000003</v>
      </c>
      <c r="T72" s="263">
        <f>SUMIFS(Adjustments!$G:$G,Adjustments!$H:$H,"1",Adjustments!$I:$I,$S$9,Adjustments!$J:$J,$A72)</f>
        <v>0</v>
      </c>
      <c r="U72" s="274">
        <f t="shared" si="99"/>
        <v>35138.410000000003</v>
      </c>
      <c r="V72" s="160">
        <f t="shared" si="100"/>
        <v>137211.16999999998</v>
      </c>
      <c r="W72" s="266">
        <f t="shared" si="101"/>
        <v>0</v>
      </c>
      <c r="X72" s="275">
        <f t="shared" si="102"/>
        <v>137211.16999999998</v>
      </c>
      <c r="Y72" s="140"/>
    </row>
    <row r="73" spans="1:25" s="22" customFormat="1" x14ac:dyDescent="0.35">
      <c r="A73" s="155">
        <v>43</v>
      </c>
      <c r="B73" s="514" t="s">
        <v>240</v>
      </c>
      <c r="C73" s="517"/>
      <c r="D73" s="517"/>
      <c r="E73" s="517"/>
      <c r="F73" s="515"/>
      <c r="G73" s="157">
        <f>'As-Filed Schedule 1'!E72</f>
        <v>27416.029316782806</v>
      </c>
      <c r="H73" s="263">
        <f>SUMIFS(Adjustments!$G:$G,Adjustments!$H:$H,"1",Adjustments!$I:$I,$G$9,Adjustments!$J:$J,$A73)</f>
        <v>0</v>
      </c>
      <c r="I73" s="274">
        <f t="shared" si="95"/>
        <v>27416.029316782806</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281627</v>
      </c>
      <c r="T73" s="263">
        <f>SUMIFS(Adjustments!$G:$G,Adjustments!$H:$H,"1",Adjustments!$I:$I,$S$9,Adjustments!$J:$J,$A73)</f>
        <v>0</v>
      </c>
      <c r="U73" s="274">
        <f t="shared" si="99"/>
        <v>281627</v>
      </c>
      <c r="V73" s="160">
        <f t="shared" si="100"/>
        <v>309043.02931678283</v>
      </c>
      <c r="W73" s="266">
        <f t="shared" si="101"/>
        <v>0</v>
      </c>
      <c r="X73" s="275">
        <f t="shared" si="102"/>
        <v>309043.02931678283</v>
      </c>
      <c r="Y73" s="140"/>
    </row>
    <row r="74" spans="1:25" s="22" customFormat="1" x14ac:dyDescent="0.35">
      <c r="A74" s="155">
        <v>44</v>
      </c>
      <c r="B74" s="514" t="s">
        <v>308</v>
      </c>
      <c r="C74" s="517"/>
      <c r="D74" s="517"/>
      <c r="E74" s="517"/>
      <c r="F74" s="515"/>
      <c r="G74" s="157">
        <f>'As-Filed Schedule 1'!E73</f>
        <v>8209</v>
      </c>
      <c r="H74" s="263">
        <f>SUMIFS(Adjustments!$G:$G,Adjustments!$H:$H,"1",Adjustments!$I:$I,$G$9,Adjustments!$J:$J,$A74)</f>
        <v>0</v>
      </c>
      <c r="I74" s="274">
        <f t="shared" si="95"/>
        <v>8209</v>
      </c>
      <c r="J74" s="157">
        <f>'As-Filed Schedule 1'!F73</f>
        <v>0</v>
      </c>
      <c r="K74" s="263">
        <f>SUMIFS(Adjustments!$G:$G,Adjustments!$H:$H,"1",Adjustments!$I:$I,$J$9,Adjustments!$J:$J,$A74)</f>
        <v>0</v>
      </c>
      <c r="L74" s="274">
        <f t="shared" si="96"/>
        <v>0</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0</v>
      </c>
      <c r="T74" s="263">
        <f>SUMIFS(Adjustments!$G:$G,Adjustments!$H:$H,"1",Adjustments!$I:$I,$S$9,Adjustments!$J:$J,$A74)</f>
        <v>0</v>
      </c>
      <c r="U74" s="274">
        <f t="shared" si="99"/>
        <v>0</v>
      </c>
      <c r="V74" s="160">
        <f t="shared" si="100"/>
        <v>8209</v>
      </c>
      <c r="W74" s="266">
        <f t="shared" si="101"/>
        <v>0</v>
      </c>
      <c r="X74" s="275">
        <f t="shared" si="102"/>
        <v>8209</v>
      </c>
      <c r="Y74" s="140"/>
    </row>
    <row r="75" spans="1:25" s="22" customFormat="1" x14ac:dyDescent="0.35">
      <c r="A75" s="155">
        <v>45</v>
      </c>
      <c r="B75" s="514" t="s">
        <v>286</v>
      </c>
      <c r="C75" s="517"/>
      <c r="D75" s="517"/>
      <c r="E75" s="517"/>
      <c r="F75" s="515"/>
      <c r="G75" s="157">
        <f>'As-Filed Schedule 1'!E74</f>
        <v>135</v>
      </c>
      <c r="H75" s="263">
        <f>SUMIFS(Adjustments!$G:$G,Adjustments!$H:$H,"1",Adjustments!$I:$I,$G$9,Adjustments!$J:$J,$A75)</f>
        <v>2121</v>
      </c>
      <c r="I75" s="274">
        <f t="shared" si="95"/>
        <v>2256</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56150.58</v>
      </c>
      <c r="T75" s="263">
        <f>SUMIFS(Adjustments!$G:$G,Adjustments!$H:$H,"1",Adjustments!$I:$I,$S$9,Adjustments!$J:$J,$A75)</f>
        <v>-2121</v>
      </c>
      <c r="U75" s="274">
        <f t="shared" si="99"/>
        <v>54029.58</v>
      </c>
      <c r="V75" s="160">
        <f t="shared" si="100"/>
        <v>56285.58</v>
      </c>
      <c r="W75" s="266">
        <f t="shared" si="101"/>
        <v>0</v>
      </c>
      <c r="X75" s="275">
        <f t="shared" si="102"/>
        <v>56285.58</v>
      </c>
      <c r="Y75" s="140"/>
    </row>
    <row r="76" spans="1:25" s="22" customFormat="1" x14ac:dyDescent="0.35">
      <c r="A76" s="155">
        <v>46</v>
      </c>
      <c r="B76" s="514" t="s">
        <v>287</v>
      </c>
      <c r="C76" s="517"/>
      <c r="D76" s="517"/>
      <c r="E76" s="517"/>
      <c r="F76" s="515"/>
      <c r="G76" s="157">
        <f>'As-Filed Schedule 1'!E75</f>
        <v>292132.23000000027</v>
      </c>
      <c r="H76" s="263">
        <f>SUMIFS(Adjustments!$G:$G,Adjustments!$H:$H,"1",Adjustments!$I:$I,$G$9,Adjustments!$J:$J,$A76)</f>
        <v>0</v>
      </c>
      <c r="I76" s="274">
        <f t="shared" si="95"/>
        <v>292132.23000000027</v>
      </c>
      <c r="J76" s="157">
        <f>'As-Filed Schedule 1'!F75</f>
        <v>879082.2</v>
      </c>
      <c r="K76" s="263">
        <f>SUMIFS(Adjustments!$G:$G,Adjustments!$H:$H,"1",Adjustments!$I:$I,$J$9,Adjustments!$J:$J,$A76)</f>
        <v>0</v>
      </c>
      <c r="L76" s="274">
        <f t="shared" si="96"/>
        <v>879082.2</v>
      </c>
      <c r="M76" s="157">
        <f>'As-Filed Schedule 1'!G75</f>
        <v>0</v>
      </c>
      <c r="N76" s="263">
        <f>SUMIFS(Adjustments!$G:$G,Adjustments!$H:$H,"1",Adjustments!$I:$I,$M$9,Adjustments!$J:$J,$A76)</f>
        <v>0</v>
      </c>
      <c r="O76" s="274">
        <f t="shared" si="97"/>
        <v>0</v>
      </c>
      <c r="P76" s="157">
        <f>'As-Filed Schedule 1'!H75</f>
        <v>0</v>
      </c>
      <c r="Q76" s="263">
        <f>SUMIFS(Adjustments!$G:$G,Adjustments!$H:$H,"1",Adjustments!$I:$I,$P$9,Adjustments!$J:$J,$A76)</f>
        <v>0</v>
      </c>
      <c r="R76" s="274">
        <f t="shared" si="98"/>
        <v>0</v>
      </c>
      <c r="S76" s="157">
        <f>'As-Filed Schedule 1'!I75</f>
        <v>341435.62</v>
      </c>
      <c r="T76" s="263">
        <f>SUMIFS(Adjustments!$G:$G,Adjustments!$H:$H,"1",Adjustments!$I:$I,$S$9,Adjustments!$J:$J,$A76)</f>
        <v>0</v>
      </c>
      <c r="U76" s="274">
        <f t="shared" si="99"/>
        <v>341435.62</v>
      </c>
      <c r="V76" s="160">
        <f t="shared" si="100"/>
        <v>1512650.0500000003</v>
      </c>
      <c r="W76" s="266">
        <f t="shared" si="101"/>
        <v>0</v>
      </c>
      <c r="X76" s="275">
        <f t="shared" si="102"/>
        <v>1512650.0500000003</v>
      </c>
      <c r="Y76" s="140"/>
    </row>
    <row r="77" spans="1:25" s="22" customFormat="1" x14ac:dyDescent="0.35">
      <c r="A77" s="155">
        <v>47</v>
      </c>
      <c r="B77" s="514" t="s">
        <v>318</v>
      </c>
      <c r="C77" s="517"/>
      <c r="D77" s="517"/>
      <c r="E77" s="517"/>
      <c r="F77" s="515"/>
      <c r="G77" s="157">
        <f>'As-Filed Schedule 1'!E76</f>
        <v>432423.92889299407</v>
      </c>
      <c r="H77" s="263">
        <f>SUMIFS(Adjustments!$G:$G,Adjustments!$H:$H,"1",Adjustments!$I:$I,$G$9,Adjustments!$J:$J,$A77)</f>
        <v>0</v>
      </c>
      <c r="I77" s="274">
        <f t="shared" si="95"/>
        <v>432423.92889299407</v>
      </c>
      <c r="J77" s="157">
        <f>'As-Filed Schedule 1'!F76</f>
        <v>0</v>
      </c>
      <c r="K77" s="263">
        <f>SUMIFS(Adjustments!$G:$G,Adjustments!$H:$H,"1",Adjustments!$I:$I,$J$9,Adjustments!$J:$J,$A77)</f>
        <v>0</v>
      </c>
      <c r="L77" s="274">
        <f t="shared" si="96"/>
        <v>0</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432423.92889299407</v>
      </c>
      <c r="W77" s="266">
        <f t="shared" si="101"/>
        <v>0</v>
      </c>
      <c r="X77" s="275">
        <f t="shared" si="102"/>
        <v>432423.92889299407</v>
      </c>
      <c r="Y77" s="140"/>
    </row>
    <row r="78" spans="1:25" s="22" customFormat="1" x14ac:dyDescent="0.35">
      <c r="A78" s="155">
        <v>48</v>
      </c>
      <c r="B78" s="514" t="s">
        <v>285</v>
      </c>
      <c r="C78" s="517"/>
      <c r="D78" s="517"/>
      <c r="E78" s="517"/>
      <c r="F78" s="515"/>
      <c r="G78" s="157">
        <f>'As-Filed Schedule 1'!E77</f>
        <v>109801.567</v>
      </c>
      <c r="H78" s="263">
        <f>SUMIFS(Adjustments!$G:$G,Adjustments!$H:$H,"1",Adjustments!$I:$I,$G$9,Adjustments!$J:$J,$A78)</f>
        <v>0</v>
      </c>
      <c r="I78" s="274">
        <f t="shared" si="95"/>
        <v>109801.567</v>
      </c>
      <c r="J78" s="157">
        <f>'As-Filed Schedule 1'!F77</f>
        <v>25798.959999999999</v>
      </c>
      <c r="K78" s="263">
        <f>SUMIFS(Adjustments!$G:$G,Adjustments!$H:$H,"1",Adjustments!$I:$I,$J$9,Adjustments!$J:$J,$A78)</f>
        <v>0</v>
      </c>
      <c r="L78" s="274">
        <f t="shared" si="96"/>
        <v>25798.959999999999</v>
      </c>
      <c r="M78" s="157">
        <f>'As-Filed Schedule 1'!G77</f>
        <v>0</v>
      </c>
      <c r="N78" s="263">
        <f>SUMIFS(Adjustments!$G:$G,Adjustments!$H:$H,"1",Adjustments!$I:$I,$M$9,Adjustments!$J:$J,$A78)</f>
        <v>0</v>
      </c>
      <c r="O78" s="274">
        <f t="shared" si="97"/>
        <v>0</v>
      </c>
      <c r="P78" s="157">
        <f>'As-Filed Schedule 1'!H77</f>
        <v>0</v>
      </c>
      <c r="Q78" s="263">
        <f>SUMIFS(Adjustments!$G:$G,Adjustments!$H:$H,"1",Adjustments!$I:$I,$P$9,Adjustments!$J:$J,$A78)</f>
        <v>0</v>
      </c>
      <c r="R78" s="274">
        <f t="shared" si="98"/>
        <v>0</v>
      </c>
      <c r="S78" s="157">
        <f>'As-Filed Schedule 1'!I77</f>
        <v>2121.9030000000002</v>
      </c>
      <c r="T78" s="263">
        <f>SUMIFS(Adjustments!$G:$G,Adjustments!$H:$H,"1",Adjustments!$I:$I,$S$9,Adjustments!$J:$J,$A78)</f>
        <v>0</v>
      </c>
      <c r="U78" s="274">
        <f t="shared" si="99"/>
        <v>2121.9030000000002</v>
      </c>
      <c r="V78" s="160">
        <f t="shared" si="100"/>
        <v>137722.43</v>
      </c>
      <c r="W78" s="266">
        <f t="shared" si="101"/>
        <v>0</v>
      </c>
      <c r="X78" s="275">
        <f t="shared" si="102"/>
        <v>137722.43</v>
      </c>
      <c r="Y78" s="140"/>
    </row>
    <row r="79" spans="1:25" s="22" customFormat="1" x14ac:dyDescent="0.35">
      <c r="A79" s="155">
        <v>49</v>
      </c>
      <c r="B79" s="508" t="s">
        <v>279</v>
      </c>
      <c r="C79" s="516"/>
      <c r="D79" s="516"/>
      <c r="E79" s="516"/>
      <c r="F79" s="509"/>
      <c r="G79" s="160">
        <f>SUM(G71:G78)</f>
        <v>998034.93520977721</v>
      </c>
      <c r="H79" s="160">
        <f t="shared" ref="H79:I79" si="103">SUM(H71:H78)</f>
        <v>2121</v>
      </c>
      <c r="I79" s="160">
        <f t="shared" si="103"/>
        <v>1000155.9352097772</v>
      </c>
      <c r="J79" s="160">
        <f t="shared" ref="J79:U79" si="104">SUM(J71:J78)</f>
        <v>905501.15999999992</v>
      </c>
      <c r="K79" s="160">
        <f t="shared" si="104"/>
        <v>0</v>
      </c>
      <c r="L79" s="160">
        <f t="shared" si="104"/>
        <v>905501.15999999992</v>
      </c>
      <c r="M79" s="160">
        <f t="shared" si="104"/>
        <v>0</v>
      </c>
      <c r="N79" s="160">
        <f t="shared" si="104"/>
        <v>0</v>
      </c>
      <c r="O79" s="160">
        <f t="shared" si="104"/>
        <v>0</v>
      </c>
      <c r="P79" s="160">
        <f t="shared" si="104"/>
        <v>0</v>
      </c>
      <c r="Q79" s="160">
        <f>SUM(Q71:Q78)</f>
        <v>0</v>
      </c>
      <c r="R79" s="160">
        <f t="shared" si="104"/>
        <v>0</v>
      </c>
      <c r="S79" s="160">
        <f t="shared" si="104"/>
        <v>716998.51300000015</v>
      </c>
      <c r="T79" s="160">
        <f t="shared" si="104"/>
        <v>-2121</v>
      </c>
      <c r="U79" s="160">
        <f t="shared" si="104"/>
        <v>714877.51300000015</v>
      </c>
      <c r="V79" s="160">
        <f t="shared" si="100"/>
        <v>2620534.6082097772</v>
      </c>
      <c r="W79" s="266">
        <f t="shared" si="101"/>
        <v>0</v>
      </c>
      <c r="X79" s="275">
        <f t="shared" si="102"/>
        <v>2620534.6082097772</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11" t="s">
        <v>303</v>
      </c>
      <c r="B81" s="512"/>
      <c r="C81" s="512"/>
      <c r="D81" s="512"/>
      <c r="E81" s="512"/>
      <c r="F81" s="512"/>
      <c r="G81" s="512"/>
      <c r="H81" s="512"/>
      <c r="I81" s="512"/>
      <c r="J81" s="512"/>
      <c r="K81" s="512"/>
      <c r="L81" s="512"/>
      <c r="M81" s="512"/>
      <c r="N81" s="512"/>
      <c r="O81" s="512"/>
      <c r="P81" s="512"/>
      <c r="Q81" s="512"/>
      <c r="R81" s="512"/>
      <c r="S81" s="512"/>
      <c r="T81" s="512"/>
      <c r="U81" s="512"/>
      <c r="V81" s="512"/>
      <c r="W81" s="512"/>
      <c r="X81" s="513"/>
      <c r="Y81" s="140"/>
    </row>
    <row r="82" spans="1:25" s="22" customFormat="1" x14ac:dyDescent="0.35">
      <c r="A82" s="155">
        <v>50</v>
      </c>
      <c r="B82" s="514" t="s">
        <v>304</v>
      </c>
      <c r="C82" s="517"/>
      <c r="D82" s="517"/>
      <c r="E82" s="517"/>
      <c r="F82" s="515"/>
      <c r="G82" s="98"/>
      <c r="H82" s="268"/>
      <c r="I82" s="278"/>
      <c r="J82" s="98"/>
      <c r="K82" s="268"/>
      <c r="L82" s="278"/>
      <c r="M82" s="98"/>
      <c r="N82" s="268"/>
      <c r="O82" s="278"/>
      <c r="P82" s="98"/>
      <c r="Q82" s="268"/>
      <c r="R82" s="278"/>
      <c r="S82" s="157">
        <f>'As-Filed Schedule 1'!I81</f>
        <v>1</v>
      </c>
      <c r="T82" s="263">
        <f>SUMIFS(Adjustments!$G:$G,Adjustments!$H:$H,"1",Adjustments!$I:$I,$S$9,Adjustments!$J:$J,$A82)</f>
        <v>0</v>
      </c>
      <c r="U82" s="274">
        <f>SUM(S82:T82)</f>
        <v>1</v>
      </c>
      <c r="V82" s="160">
        <f t="shared" ref="V82:X85" si="105">S82</f>
        <v>1</v>
      </c>
      <c r="W82" s="266">
        <f t="shared" si="105"/>
        <v>0</v>
      </c>
      <c r="X82" s="275">
        <f t="shared" si="105"/>
        <v>1</v>
      </c>
      <c r="Y82" s="140"/>
    </row>
    <row r="83" spans="1:25" s="22" customFormat="1" x14ac:dyDescent="0.35">
      <c r="A83" s="155">
        <v>51</v>
      </c>
      <c r="B83" s="514" t="s">
        <v>309</v>
      </c>
      <c r="C83" s="517"/>
      <c r="D83" s="517"/>
      <c r="E83" s="517"/>
      <c r="F83" s="515"/>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514" t="s">
        <v>310</v>
      </c>
      <c r="C84" s="517"/>
      <c r="D84" s="517"/>
      <c r="E84" s="517"/>
      <c r="F84" s="515"/>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514" t="s">
        <v>305</v>
      </c>
      <c r="C85" s="517"/>
      <c r="D85" s="517"/>
      <c r="E85" s="517"/>
      <c r="F85" s="515"/>
      <c r="G85" s="98"/>
      <c r="H85" s="268"/>
      <c r="I85" s="278"/>
      <c r="J85" s="98"/>
      <c r="K85" s="268"/>
      <c r="L85" s="278"/>
      <c r="M85" s="98"/>
      <c r="N85" s="268"/>
      <c r="O85" s="278"/>
      <c r="P85" s="98"/>
      <c r="Q85" s="268"/>
      <c r="R85" s="278"/>
      <c r="S85" s="157">
        <f>'As-Filed Schedule 1'!I84</f>
        <v>340893.27912405384</v>
      </c>
      <c r="T85" s="263">
        <f>SUMIFS(Adjustments!$G:$G,Adjustments!$H:$H,"1",Adjustments!$I:$I,$S$9,Adjustments!$J:$J,$A85)</f>
        <v>-2979</v>
      </c>
      <c r="U85" s="274">
        <f t="shared" si="106"/>
        <v>337914.27912405384</v>
      </c>
      <c r="V85" s="160">
        <f t="shared" si="105"/>
        <v>340893.27912405384</v>
      </c>
      <c r="W85" s="266">
        <f t="shared" si="105"/>
        <v>-2979</v>
      </c>
      <c r="X85" s="275">
        <f t="shared" si="105"/>
        <v>337914.27912405384</v>
      </c>
      <c r="Y85" s="140"/>
    </row>
    <row r="86" spans="1:25" s="22" customFormat="1" x14ac:dyDescent="0.35">
      <c r="A86" s="155">
        <v>54</v>
      </c>
      <c r="B86" s="508" t="s">
        <v>306</v>
      </c>
      <c r="C86" s="516"/>
      <c r="D86" s="516"/>
      <c r="E86" s="516"/>
      <c r="F86" s="509"/>
      <c r="G86" s="160">
        <v>0</v>
      </c>
      <c r="H86" s="160">
        <v>0</v>
      </c>
      <c r="I86" s="160">
        <v>0</v>
      </c>
      <c r="J86" s="160">
        <v>0</v>
      </c>
      <c r="K86" s="160">
        <v>0</v>
      </c>
      <c r="L86" s="160">
        <v>0</v>
      </c>
      <c r="M86" s="160">
        <v>0</v>
      </c>
      <c r="N86" s="160">
        <v>0</v>
      </c>
      <c r="O86" s="160">
        <v>0</v>
      </c>
      <c r="P86" s="160">
        <v>0</v>
      </c>
      <c r="Q86" s="160">
        <v>0</v>
      </c>
      <c r="R86" s="160">
        <v>0</v>
      </c>
      <c r="S86" s="160">
        <f>SUM(S82:S85)</f>
        <v>340894.27912405384</v>
      </c>
      <c r="T86" s="160">
        <f t="shared" ref="T86:U86" si="107">SUM(T82:T85)</f>
        <v>-2979</v>
      </c>
      <c r="U86" s="160">
        <f t="shared" si="107"/>
        <v>337915.27912405384</v>
      </c>
      <c r="V86" s="160">
        <f>SUM(G86,J86,M86,P86,S86)</f>
        <v>340894.27912405384</v>
      </c>
      <c r="W86" s="266">
        <f>SUM(H86,K86,N86,Q86,T86)</f>
        <v>-2979</v>
      </c>
      <c r="X86" s="275">
        <f>SUM(I86,L86,O86,R86,U86)</f>
        <v>337915.27912405384</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11" t="s">
        <v>273</v>
      </c>
      <c r="B88" s="512"/>
      <c r="C88" s="512"/>
      <c r="D88" s="512"/>
      <c r="E88" s="512"/>
      <c r="F88" s="512"/>
      <c r="G88" s="512"/>
      <c r="H88" s="512"/>
      <c r="I88" s="512"/>
      <c r="J88" s="512"/>
      <c r="K88" s="512"/>
      <c r="L88" s="512"/>
      <c r="M88" s="512"/>
      <c r="N88" s="512"/>
      <c r="O88" s="512"/>
      <c r="P88" s="512"/>
      <c r="Q88" s="512"/>
      <c r="R88" s="512"/>
      <c r="S88" s="512"/>
      <c r="T88" s="512"/>
      <c r="U88" s="512"/>
      <c r="V88" s="512"/>
      <c r="W88" s="512"/>
      <c r="X88" s="513"/>
      <c r="Y88" s="140"/>
    </row>
    <row r="89" spans="1:25" s="22" customFormat="1" x14ac:dyDescent="0.35">
      <c r="A89" s="155">
        <v>55</v>
      </c>
      <c r="B89" s="514" t="s">
        <v>274</v>
      </c>
      <c r="C89" s="517"/>
      <c r="D89" s="517"/>
      <c r="E89" s="517"/>
      <c r="F89" s="515"/>
      <c r="G89" s="165">
        <f>-'As-Filed Schedule 1C'!F62</f>
        <v>0</v>
      </c>
      <c r="H89" s="160"/>
      <c r="I89" s="277">
        <f>-'Adjusted Schedule 1C'!F64</f>
        <v>0</v>
      </c>
      <c r="J89" s="165">
        <f>-'As-Filed Schedule 1C'!F63</f>
        <v>0</v>
      </c>
      <c r="K89" s="160"/>
      <c r="L89" s="277">
        <f>-'Adjusted Schedule 1C'!F65</f>
        <v>0</v>
      </c>
      <c r="M89" s="165">
        <f>-'As-Filed Schedule 1C'!F64</f>
        <v>0</v>
      </c>
      <c r="N89" s="160"/>
      <c r="O89" s="277">
        <f>-'Adjusted Schedule 1C'!F66</f>
        <v>0</v>
      </c>
      <c r="P89" s="165">
        <f>-'As-Filed Schedule 1C'!F65</f>
        <v>0</v>
      </c>
      <c r="Q89" s="160"/>
      <c r="R89" s="277">
        <f>-'Adjusted Schedule 1C'!F67</f>
        <v>0</v>
      </c>
      <c r="S89" s="165">
        <f>SUM(G89,J89,M89,P89)</f>
        <v>0</v>
      </c>
      <c r="T89" s="160"/>
      <c r="U89" s="277">
        <f>SUM(I89,L89,O89,R89)</f>
        <v>0</v>
      </c>
      <c r="V89" s="160">
        <f>SUM(G89,J89,M89,P89,S89)</f>
        <v>0</v>
      </c>
      <c r="W89" s="266"/>
      <c r="X89" s="275">
        <f>SUM(I89,L89,O89,R89,U89)</f>
        <v>0</v>
      </c>
      <c r="Y89" s="140"/>
    </row>
    <row r="90" spans="1:25" s="22" customFormat="1" x14ac:dyDescent="0.35">
      <c r="A90" s="155">
        <v>56</v>
      </c>
      <c r="B90" s="508" t="s">
        <v>270</v>
      </c>
      <c r="C90" s="516"/>
      <c r="D90" s="516"/>
      <c r="E90" s="516"/>
      <c r="F90" s="509"/>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08" t="s">
        <v>241</v>
      </c>
      <c r="C92" s="516"/>
      <c r="D92" s="516"/>
      <c r="E92" s="516"/>
      <c r="F92" s="509"/>
      <c r="G92" s="160">
        <f t="shared" ref="G92:U92" si="112">G79+G68+G58+G51+G41+G90+G86</f>
        <v>9121546.2345092092</v>
      </c>
      <c r="H92" s="160">
        <f t="shared" si="112"/>
        <v>451867</v>
      </c>
      <c r="I92" s="160">
        <f>I79+I68+I58+I51+I41+I90+I86</f>
        <v>9573413.2345092092</v>
      </c>
      <c r="J92" s="160">
        <f>J79+J68+J58+J51+J41+J90+J86</f>
        <v>11150732.444322091</v>
      </c>
      <c r="K92" s="160">
        <f t="shared" si="112"/>
        <v>0</v>
      </c>
      <c r="L92" s="160">
        <f t="shared" si="112"/>
        <v>11150732.444322091</v>
      </c>
      <c r="M92" s="160">
        <f t="shared" si="112"/>
        <v>214656.93402367301</v>
      </c>
      <c r="N92" s="160">
        <f t="shared" si="112"/>
        <v>0</v>
      </c>
      <c r="O92" s="160">
        <f t="shared" si="112"/>
        <v>214656.93402367301</v>
      </c>
      <c r="P92" s="160">
        <f t="shared" si="112"/>
        <v>3166391.7784607117</v>
      </c>
      <c r="Q92" s="160">
        <f t="shared" si="112"/>
        <v>0</v>
      </c>
      <c r="R92" s="160">
        <f t="shared" si="112"/>
        <v>3166391.7784607117</v>
      </c>
      <c r="S92" s="160">
        <f t="shared" si="112"/>
        <v>3235749.9506954821</v>
      </c>
      <c r="T92" s="160">
        <f t="shared" si="112"/>
        <v>-446844</v>
      </c>
      <c r="U92" s="160">
        <f t="shared" si="112"/>
        <v>2788905.9506954821</v>
      </c>
      <c r="V92" s="160">
        <f>SUM(G92,J92,M92,P92,S92)</f>
        <v>26889077.342011169</v>
      </c>
      <c r="W92" s="266">
        <f>SUM(H92,K92,N92,Q92,T92)</f>
        <v>5023</v>
      </c>
      <c r="X92" s="275">
        <f>SUM(I92,L92,O92,R92,U92)</f>
        <v>26894100.342011169</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514" t="s">
        <v>2</v>
      </c>
      <c r="C94" s="517"/>
      <c r="D94" s="517"/>
      <c r="E94" s="517"/>
      <c r="F94" s="515"/>
      <c r="G94" s="158">
        <f>G92*-1</f>
        <v>-9121546.2345092092</v>
      </c>
      <c r="H94" s="158">
        <f>H92*-1</f>
        <v>-451867</v>
      </c>
      <c r="I94" s="149">
        <f>I92*-1</f>
        <v>-9573413.2345092092</v>
      </c>
      <c r="J94" s="157">
        <f>'As-Filed Schedule 1'!F93</f>
        <v>8289035.8561279466</v>
      </c>
      <c r="K94" s="263">
        <f>SUMIFS(Adjustments!$G:$G,Adjustments!$H:$H,"1",Adjustments!$I:$I,$J$9,Adjustments!$J:$J,$A94)</f>
        <v>838526.6452223761</v>
      </c>
      <c r="L94" s="274">
        <f>SUM(J94:K94)</f>
        <v>9127562.5013503227</v>
      </c>
      <c r="M94" s="157">
        <f>'As-Filed Schedule 1'!G93</f>
        <v>159567.90567553512</v>
      </c>
      <c r="N94" s="263">
        <f>SUMIFS(Adjustments!$G:$G,Adjustments!$H:$H,"1",Adjustments!$I:$I,$M$9,Adjustments!$J:$J,$A94)</f>
        <v>-75557.947112226218</v>
      </c>
      <c r="O94" s="274">
        <f>SUM(M94:N94)</f>
        <v>84009.958563308901</v>
      </c>
      <c r="P94" s="157">
        <f>'As-Filed Schedule 1'!H93</f>
        <v>238552.6147555756</v>
      </c>
      <c r="Q94" s="263">
        <f>SUMIFS(Adjustments!$G:$G,Adjustments!$H:$H,"1",Adjustments!$I:$I,$P$9,Adjustments!$J:$J,$A94)</f>
        <v>10724.390152601554</v>
      </c>
      <c r="R94" s="274">
        <f>SUM(P94:Q94)</f>
        <v>249277.00490817716</v>
      </c>
      <c r="S94" s="157">
        <f>'As-Filed Schedule 1'!I93</f>
        <v>434389.85795015196</v>
      </c>
      <c r="T94" s="263">
        <f>SUMIFS(Adjustments!$G:$G,Adjustments!$H:$H,"1",Adjustments!$I:$I,$S$9,Adjustments!$J:$J,$A94)</f>
        <v>-321826.08826275199</v>
      </c>
      <c r="U94" s="274">
        <f t="shared" ref="U94" si="113">SUM(S94:T94)</f>
        <v>112563.76968739997</v>
      </c>
      <c r="V94" s="160">
        <f>SUM(,G94,J94,M94,P94,S94)</f>
        <v>0</v>
      </c>
      <c r="W94" s="266">
        <f>SUM(H94,K94,N94,Q94,T94)</f>
        <v>-5.2386894822120667E-10</v>
      </c>
      <c r="X94" s="275">
        <f>SUM(I94,L94,O94,R94,U94)</f>
        <v>-3.7834979593753815E-10</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08" t="s">
        <v>242</v>
      </c>
      <c r="C96" s="516"/>
      <c r="D96" s="516"/>
      <c r="E96" s="516"/>
      <c r="F96" s="509"/>
      <c r="G96" s="160">
        <f>G94+G92</f>
        <v>0</v>
      </c>
      <c r="H96" s="160">
        <f t="shared" ref="H96:I96" si="114">H94+H92</f>
        <v>0</v>
      </c>
      <c r="I96" s="160">
        <f t="shared" si="114"/>
        <v>0</v>
      </c>
      <c r="J96" s="160">
        <f>J94+J92</f>
        <v>19439768.300450038</v>
      </c>
      <c r="K96" s="160">
        <f t="shared" ref="K96" si="115">K94+K92</f>
        <v>838526.6452223761</v>
      </c>
      <c r="L96" s="160">
        <f>L94+L92</f>
        <v>20278294.945672415</v>
      </c>
      <c r="M96" s="160">
        <f t="shared" ref="M96:R96" si="116">M94+M92</f>
        <v>374224.83969920815</v>
      </c>
      <c r="N96" s="160">
        <f t="shared" si="116"/>
        <v>-75557.947112226218</v>
      </c>
      <c r="O96" s="160">
        <f t="shared" si="116"/>
        <v>298666.89258698188</v>
      </c>
      <c r="P96" s="160">
        <f t="shared" si="116"/>
        <v>3404944.3932162873</v>
      </c>
      <c r="Q96" s="160">
        <f t="shared" si="116"/>
        <v>10724.390152601554</v>
      </c>
      <c r="R96" s="160">
        <f t="shared" si="116"/>
        <v>3415668.7833688888</v>
      </c>
      <c r="S96" s="160">
        <f>S94+S92</f>
        <v>3670139.808645634</v>
      </c>
      <c r="T96" s="160">
        <f t="shared" ref="T96:U96" si="117">T94+T92</f>
        <v>-768670.08826275193</v>
      </c>
      <c r="U96" s="160">
        <f t="shared" si="117"/>
        <v>2901469.7203828823</v>
      </c>
      <c r="V96" s="160">
        <f>SUM(G96,J96,M96,P96,S96)</f>
        <v>26889077.342011169</v>
      </c>
      <c r="W96" s="266">
        <f>SUM(H96,K96,N96,Q96,T96)</f>
        <v>5022.9999999995343</v>
      </c>
      <c r="X96" s="275">
        <f>SUM(I96,L96,O96,R96,U96)</f>
        <v>26894100.342011169</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519" t="s">
        <v>4</v>
      </c>
      <c r="C98" s="519"/>
      <c r="D98" s="170"/>
      <c r="E98" s="265"/>
      <c r="F98" s="140"/>
      <c r="G98" s="170"/>
      <c r="H98" s="265"/>
      <c r="I98" s="140"/>
      <c r="J98" s="150">
        <f>'As-Filed Schedule 1'!F97</f>
        <v>0</v>
      </c>
      <c r="K98" s="263">
        <f>SUMIFS(Adjustments!$G:$G,Adjustments!$H:$H,"1",Adjustments!$I:$I,$J$9,Adjustments!$J:$J,$A98)</f>
        <v>0</v>
      </c>
      <c r="L98" s="274">
        <f>SUM(J98:K98)</f>
        <v>0</v>
      </c>
      <c r="M98" s="170"/>
      <c r="N98" s="265"/>
      <c r="O98" s="140"/>
      <c r="P98" s="170"/>
      <c r="Q98" s="265"/>
      <c r="R98" s="140"/>
      <c r="S98" s="170"/>
      <c r="T98" s="265"/>
      <c r="U98" s="140"/>
      <c r="V98" s="170"/>
      <c r="W98" s="265"/>
      <c r="X98" s="140"/>
      <c r="Y98" s="140"/>
    </row>
    <row r="99" spans="1:25" s="22" customFormat="1" x14ac:dyDescent="0.35">
      <c r="A99" s="155">
        <v>61</v>
      </c>
      <c r="B99" s="519" t="s">
        <v>5</v>
      </c>
      <c r="C99" s="519"/>
      <c r="D99" s="170"/>
      <c r="E99" s="265"/>
      <c r="F99" s="140"/>
      <c r="G99" s="170"/>
      <c r="H99" s="265"/>
      <c r="I99" s="140"/>
      <c r="J99" s="158" t="str">
        <f>IFERROR(J96/J98,"")</f>
        <v/>
      </c>
      <c r="K99" s="158" t="str">
        <f t="shared" ref="K99" si="118">IFERROR(K96/K98,"")</f>
        <v/>
      </c>
      <c r="L99" s="158" t="str">
        <f>IFERROR(L96/L98,"")</f>
        <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519" t="s">
        <v>307</v>
      </c>
      <c r="C101" s="519"/>
      <c r="D101" s="170"/>
      <c r="E101" s="265"/>
      <c r="F101" s="140"/>
      <c r="G101" s="170"/>
      <c r="H101" s="265"/>
      <c r="I101" s="140"/>
      <c r="J101" s="170"/>
      <c r="K101" s="265"/>
      <c r="L101" s="140"/>
      <c r="M101" s="170"/>
      <c r="N101" s="265"/>
      <c r="O101" s="140"/>
      <c r="P101" s="170"/>
      <c r="Q101" s="265"/>
      <c r="R101" s="140"/>
      <c r="S101" s="170"/>
      <c r="T101" s="265"/>
      <c r="U101" s="140"/>
      <c r="V101" s="157">
        <f>'As-Filed Schedule 1'!J100</f>
        <v>26889077</v>
      </c>
      <c r="W101"/>
      <c r="X101" s="494">
        <v>26894100.342011165</v>
      </c>
      <c r="Y101" s="140"/>
    </row>
    <row r="102" spans="1:25" s="22" customFormat="1" x14ac:dyDescent="0.35">
      <c r="A102" s="155">
        <v>63</v>
      </c>
      <c r="B102" s="519" t="s">
        <v>10</v>
      </c>
      <c r="C102" s="519"/>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519" t="s">
        <v>202</v>
      </c>
      <c r="C104" s="519"/>
      <c r="D104" s="100"/>
      <c r="G104" s="172">
        <f>IFERROR(G92/SUM(J92,M92,P92,S92),"")</f>
        <v>0.51338287685101236</v>
      </c>
      <c r="H104" s="172">
        <f>IFERROR(H92/SUM(K92,N92,Q92,T92),"")</f>
        <v>-1.0112410595196535</v>
      </c>
      <c r="I104" s="172">
        <f>IFERROR(I92/SUM(L92,O92,R92,U92),"")</f>
        <v>0.55271555770802883</v>
      </c>
      <c r="J104" s="100"/>
      <c r="M104" s="100"/>
      <c r="P104" s="100"/>
      <c r="S104" s="100"/>
      <c r="V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5" customHeight="1" x14ac:dyDescent="0.5">
      <c r="A3" s="524" t="s">
        <v>597</v>
      </c>
      <c r="B3" s="524"/>
      <c r="C3" s="524"/>
      <c r="D3" s="524"/>
      <c r="E3" s="524"/>
      <c r="F3" s="524"/>
      <c r="G3" s="524"/>
      <c r="H3" s="524"/>
      <c r="I3" s="524"/>
      <c r="J3" s="524"/>
      <c r="K3" s="524"/>
      <c r="L3" s="524"/>
    </row>
    <row r="4" spans="1:14" x14ac:dyDescent="0.35">
      <c r="J4" s="61"/>
      <c r="L4" s="130"/>
      <c r="M4" s="130"/>
      <c r="N4" s="130"/>
    </row>
    <row r="5" spans="1:14" x14ac:dyDescent="0.35">
      <c r="A5" s="1" t="s">
        <v>773</v>
      </c>
      <c r="C5" s="421" t="str">
        <f>Results!$C$6</f>
        <v>Eagle Valley Behavioral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25" t="s">
        <v>488</v>
      </c>
      <c r="B13" s="525"/>
      <c r="C13" s="525"/>
      <c r="D13" s="525"/>
      <c r="E13" s="525"/>
      <c r="F13" s="525"/>
      <c r="G13" s="525"/>
      <c r="H13" s="525"/>
      <c r="I13" s="525"/>
      <c r="J13" s="525"/>
      <c r="K13" s="525"/>
      <c r="L13" s="62"/>
    </row>
    <row r="14" spans="1:14" ht="15" customHeight="1" x14ac:dyDescent="0.35">
      <c r="A14" s="525"/>
      <c r="B14" s="525"/>
      <c r="C14" s="525"/>
      <c r="D14" s="525"/>
      <c r="E14" s="525"/>
      <c r="F14" s="525"/>
      <c r="G14" s="525"/>
      <c r="H14" s="525"/>
      <c r="I14" s="525"/>
      <c r="J14" s="525"/>
      <c r="K14" s="525"/>
      <c r="L14" s="62"/>
    </row>
    <row r="15" spans="1:14" ht="15" customHeight="1" x14ac:dyDescent="0.35">
      <c r="A15" s="525"/>
      <c r="B15" s="525"/>
      <c r="C15" s="525"/>
      <c r="D15" s="525"/>
      <c r="E15" s="525"/>
      <c r="F15" s="525"/>
      <c r="G15" s="525"/>
      <c r="H15" s="525"/>
      <c r="I15" s="525"/>
      <c r="J15" s="525"/>
      <c r="K15" s="525"/>
      <c r="L15" s="62"/>
    </row>
    <row r="16" spans="1:14" x14ac:dyDescent="0.35">
      <c r="A16" s="525"/>
      <c r="B16" s="525"/>
      <c r="C16" s="525"/>
      <c r="D16" s="525"/>
      <c r="E16" s="525"/>
      <c r="F16" s="525"/>
      <c r="G16" s="525"/>
      <c r="H16" s="525"/>
      <c r="I16" s="525"/>
      <c r="J16" s="525"/>
      <c r="K16" s="525"/>
    </row>
    <row r="17" spans="1:27" x14ac:dyDescent="0.35">
      <c r="A17" s="174"/>
      <c r="B17" s="174"/>
      <c r="C17" s="174"/>
      <c r="D17" s="174"/>
      <c r="E17" s="174"/>
      <c r="F17" s="174"/>
      <c r="G17" s="174"/>
      <c r="H17" s="174"/>
      <c r="I17" s="174"/>
      <c r="J17" s="174"/>
      <c r="K17" s="127"/>
    </row>
    <row r="18" spans="1:27" x14ac:dyDescent="0.35">
      <c r="A18" s="174"/>
      <c r="B18" s="526">
        <v>1</v>
      </c>
      <c r="C18" s="527"/>
      <c r="D18" s="175">
        <v>2</v>
      </c>
      <c r="E18" s="175">
        <v>3</v>
      </c>
      <c r="F18" s="175">
        <v>4</v>
      </c>
      <c r="G18" s="175">
        <v>5</v>
      </c>
      <c r="H18" s="256" t="s">
        <v>566</v>
      </c>
      <c r="I18" s="257" t="s">
        <v>567</v>
      </c>
      <c r="J18" s="175">
        <v>6</v>
      </c>
      <c r="K18" s="257" t="s">
        <v>571</v>
      </c>
    </row>
    <row r="19" spans="1:27" s="4" customFormat="1" ht="58" x14ac:dyDescent="0.35">
      <c r="A19" s="176"/>
      <c r="B19" s="528" t="s">
        <v>599</v>
      </c>
      <c r="C19" s="528"/>
      <c r="D19" s="151" t="s">
        <v>600</v>
      </c>
      <c r="E19" s="151" t="s">
        <v>603</v>
      </c>
      <c r="F19" s="151" t="s">
        <v>604</v>
      </c>
      <c r="G19" s="151" t="s">
        <v>489</v>
      </c>
      <c r="H19" s="258" t="s">
        <v>601</v>
      </c>
      <c r="I19" s="259" t="s">
        <v>602</v>
      </c>
      <c r="J19" s="151" t="s">
        <v>490</v>
      </c>
      <c r="K19" s="259" t="s">
        <v>595</v>
      </c>
    </row>
    <row r="20" spans="1:27" x14ac:dyDescent="0.35">
      <c r="A20" s="177">
        <v>1</v>
      </c>
      <c r="B20" s="523" t="str">
        <f>IF('As-Filed Schedule 1A'!B20:C20=0,"",'As-Filed Schedule 1A'!B20:C20)</f>
        <v>Sr Director Community Behavioral Health</v>
      </c>
      <c r="C20" s="523"/>
      <c r="D20" s="178">
        <f>IF('As-Filed Schedule 1A'!D20=0,"",'As-Filed Schedule 1A'!D20)</f>
        <v>2</v>
      </c>
      <c r="E20" s="179">
        <f>IF('As-Filed Schedule 1A'!E20=0,"",'As-Filed Schedule 1A'!E20)</f>
        <v>12</v>
      </c>
      <c r="F20" s="179">
        <f>IF('As-Filed Schedule 1A'!F20=0,"",'As-Filed Schedule 1A'!F20)</f>
        <v>1</v>
      </c>
      <c r="G20" s="180">
        <f>'As-Filed Schedule 1A'!G20</f>
        <v>303252</v>
      </c>
      <c r="H20" s="314">
        <f>SUMIFS(Adjustments!$G:$G,Adjustments!$H:$H,"1A",Adjustments!$I:$I,'Schedule 1A Adjustments'!$G$18,Adjustments!$J:$J,'Schedule 1A Adjustments'!A20)</f>
        <v>0</v>
      </c>
      <c r="I20" s="310">
        <f>SUM(G20:H20)</f>
        <v>303252</v>
      </c>
      <c r="J20" s="181">
        <f>IF(G20-$D$8&gt;0,G20-$D$8,0)</f>
        <v>0</v>
      </c>
      <c r="K20" s="181">
        <f>IF(I20-$E$8&gt;0,I20-$E$8,0)</f>
        <v>0</v>
      </c>
    </row>
    <row r="21" spans="1:27" x14ac:dyDescent="0.35">
      <c r="A21" s="177">
        <f>A20+1</f>
        <v>2</v>
      </c>
      <c r="B21" s="523" t="str">
        <f>IF('As-Filed Schedule 1A'!B21:C21=0,"",'As-Filed Schedule 1A'!B21:C21)</f>
        <v>Chief Population Officier/EVBH Executive Director</v>
      </c>
      <c r="C21" s="523"/>
      <c r="D21" s="178">
        <f>IF('As-Filed Schedule 1A'!D21=0,"",'As-Filed Schedule 1A'!D21)</f>
        <v>2</v>
      </c>
      <c r="E21" s="179">
        <f>IF('As-Filed Schedule 1A'!E21=0,"",'As-Filed Schedule 1A'!E21)</f>
        <v>12</v>
      </c>
      <c r="F21" s="179">
        <f>IF('As-Filed Schedule 1A'!F21=0,"",'As-Filed Schedule 1A'!F21)</f>
        <v>0.39</v>
      </c>
      <c r="G21" s="180">
        <f>'As-Filed Schedule 1A'!G21</f>
        <v>254995.90715719611</v>
      </c>
      <c r="H21" s="314">
        <f>SUMIFS(Adjustments!$G:$G,Adjustments!$H:$H,"1A",Adjustments!$I:$I,'Schedule 1A Adjustments'!$G$18,Adjustments!$J:$J,'Schedule 1A Adjustments'!A21)</f>
        <v>0</v>
      </c>
      <c r="I21" s="310">
        <f t="shared" ref="I21:I24" si="0">SUM(G21:H21)</f>
        <v>254995.90715719611</v>
      </c>
      <c r="J21" s="181">
        <f>IF(G21-$D$8&gt;0,G21-$D$8,0)</f>
        <v>0</v>
      </c>
      <c r="K21" s="181">
        <f>IF(I21-$E$8&gt;0,I21-$E$8,0)</f>
        <v>0</v>
      </c>
    </row>
    <row r="22" spans="1:27" x14ac:dyDescent="0.35">
      <c r="A22" s="177">
        <f t="shared" ref="A22:A30" si="1">A21+1</f>
        <v>3</v>
      </c>
      <c r="B22" s="523" t="str">
        <f>IF('As-Filed Schedule 1A'!B22:C22=0,"",'As-Filed Schedule 1A'!B22:C22)</f>
        <v>Director Outpatient Services</v>
      </c>
      <c r="C22" s="523"/>
      <c r="D22" s="178">
        <f>IF('As-Filed Schedule 1A'!D22=0,"",'As-Filed Schedule 1A'!D22)</f>
        <v>2</v>
      </c>
      <c r="E22" s="179">
        <f>IF('As-Filed Schedule 1A'!E22=0,"",'As-Filed Schedule 1A'!E22)</f>
        <v>12</v>
      </c>
      <c r="F22" s="179">
        <f>IF('As-Filed Schedule 1A'!F22=0,"",'As-Filed Schedule 1A'!F22)</f>
        <v>1</v>
      </c>
      <c r="G22" s="180">
        <f>'As-Filed Schedule 1A'!G22</f>
        <v>231488</v>
      </c>
      <c r="H22" s="314">
        <f>SUMIFS(Adjustments!$G:$G,Adjustments!$H:$H,"1A",Adjustments!$I:$I,'Schedule 1A Adjustments'!$G$18,Adjustments!$J:$J,'Schedule 1A Adjustments'!A22)</f>
        <v>0</v>
      </c>
      <c r="I22" s="310">
        <f t="shared" si="0"/>
        <v>231488</v>
      </c>
      <c r="J22" s="181">
        <f>IF(G22-$D$8&gt;0,G22-$D$8,0)</f>
        <v>0</v>
      </c>
      <c r="K22" s="181">
        <f>IF(I22-$E$8&gt;0,I22-$E$8,0)</f>
        <v>0</v>
      </c>
    </row>
    <row r="23" spans="1:27" x14ac:dyDescent="0.35">
      <c r="A23" s="177">
        <f t="shared" si="1"/>
        <v>4</v>
      </c>
      <c r="B23" s="523" t="str">
        <f>IF('As-Filed Schedule 1A'!B23:C23=0,"",'As-Filed Schedule 1A'!B23:C23)</f>
        <v>Director Finance EVBH</v>
      </c>
      <c r="C23" s="523"/>
      <c r="D23" s="178">
        <f>IF('As-Filed Schedule 1A'!D23=0,"",'As-Filed Schedule 1A'!D23)</f>
        <v>2</v>
      </c>
      <c r="E23" s="179">
        <f>IF('As-Filed Schedule 1A'!E23=0,"",'As-Filed Schedule 1A'!E23)</f>
        <v>12</v>
      </c>
      <c r="F23" s="179">
        <f>IF('As-Filed Schedule 1A'!F23=0,"",'As-Filed Schedule 1A'!F23)</f>
        <v>0.75</v>
      </c>
      <c r="G23" s="180">
        <f>'As-Filed Schedule 1A'!G23</f>
        <v>166595</v>
      </c>
      <c r="H23" s="314">
        <f>SUMIFS(Adjustments!$G:$G,Adjustments!$H:$H,"1A",Adjustments!$I:$I,'Schedule 1A Adjustments'!$G$18,Adjustments!$J:$J,'Schedule 1A Adjustments'!A23)</f>
        <v>0</v>
      </c>
      <c r="I23" s="310">
        <f t="shared" si="0"/>
        <v>166595</v>
      </c>
      <c r="J23" s="181">
        <f>IF(G23-$D$8&gt;0,G23-$D$8,0)</f>
        <v>0</v>
      </c>
      <c r="K23" s="181">
        <f>IF(I23-$E$8&gt;0,I23-$E$8,0)</f>
        <v>0</v>
      </c>
    </row>
    <row r="24" spans="1:27" x14ac:dyDescent="0.35">
      <c r="A24" s="177">
        <f t="shared" si="1"/>
        <v>5</v>
      </c>
      <c r="B24" s="523" t="str">
        <f>IF('As-Filed Schedule 1A'!B24:C24=0,"",'As-Filed Schedule 1A'!B24:C24)</f>
        <v>YHC Executive Director</v>
      </c>
      <c r="C24" s="523"/>
      <c r="D24" s="178">
        <f>IF('As-Filed Schedule 1A'!D24=0,"",'As-Filed Schedule 1A'!D24)</f>
        <v>2</v>
      </c>
      <c r="E24" s="179">
        <f>IF('As-Filed Schedule 1A'!E24=0,"",'As-Filed Schedule 1A'!E24)</f>
        <v>12</v>
      </c>
      <c r="F24" s="179">
        <f>IF('As-Filed Schedule 1A'!F24=0,"",'As-Filed Schedule 1A'!F24)</f>
        <v>1</v>
      </c>
      <c r="G24" s="180">
        <f>'As-Filed Schedule 1A'!G24</f>
        <v>160963</v>
      </c>
      <c r="H24" s="314">
        <f>SUMIFS(Adjustments!$G:$G,Adjustments!$H:$H,"1A",Adjustments!$I:$I,'Schedule 1A Adjustments'!$G$18,Adjustments!$J:$J,'Schedule 1A Adjustments'!A24)</f>
        <v>0</v>
      </c>
      <c r="I24" s="310">
        <f t="shared" si="0"/>
        <v>160963</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0</v>
      </c>
      <c r="K27" s="185">
        <f>SUMIF($D$20:$D$24,2,$K$20:$K$24)</f>
        <v>0</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135"/>
  <sheetViews>
    <sheetView topLeftCell="A31"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774</v>
      </c>
      <c r="B1" s="3"/>
      <c r="C1" s="3"/>
    </row>
    <row r="2" spans="1:29" ht="21" x14ac:dyDescent="0.5">
      <c r="A2" s="2" t="s">
        <v>772</v>
      </c>
      <c r="B2" s="2"/>
      <c r="C2" s="2"/>
    </row>
    <row r="3" spans="1:29" ht="25" customHeight="1" x14ac:dyDescent="0.5">
      <c r="A3" s="5" t="s">
        <v>757</v>
      </c>
    </row>
    <row r="5" spans="1:29" x14ac:dyDescent="0.35">
      <c r="A5" s="1" t="s">
        <v>773</v>
      </c>
      <c r="C5" s="421" t="str">
        <f>Results!$C$6</f>
        <v>Eagle Valley Behavioral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31" t="s">
        <v>922</v>
      </c>
      <c r="B9" s="531"/>
      <c r="C9" s="531"/>
      <c r="D9" s="531"/>
      <c r="E9" s="531"/>
      <c r="F9" s="531"/>
      <c r="G9" s="531"/>
      <c r="H9" s="531"/>
      <c r="I9" s="531"/>
      <c r="J9" s="531"/>
      <c r="K9" s="531"/>
      <c r="L9" s="531"/>
      <c r="M9" s="531"/>
      <c r="N9" s="531"/>
      <c r="O9" s="64"/>
      <c r="P9" s="40"/>
      <c r="Q9" s="40"/>
      <c r="R9" s="40"/>
      <c r="Y9" s="65"/>
      <c r="Z9" s="65"/>
      <c r="AA9" s="65"/>
      <c r="AB9" s="65"/>
      <c r="AC9" s="65"/>
    </row>
    <row r="10" spans="1:29" ht="15" customHeight="1" x14ac:dyDescent="0.35">
      <c r="A10" s="531"/>
      <c r="B10" s="531"/>
      <c r="C10" s="531"/>
      <c r="D10" s="531"/>
      <c r="E10" s="531"/>
      <c r="F10" s="531"/>
      <c r="G10" s="531"/>
      <c r="H10" s="531"/>
      <c r="I10" s="531"/>
      <c r="J10" s="531"/>
      <c r="K10" s="531"/>
      <c r="L10" s="531"/>
      <c r="M10" s="531"/>
      <c r="N10" s="531"/>
      <c r="O10" s="64"/>
      <c r="P10" s="40"/>
      <c r="Q10" s="40"/>
      <c r="R10" s="40"/>
      <c r="Y10" s="65"/>
      <c r="Z10" s="65"/>
      <c r="AA10" s="65"/>
      <c r="AB10" s="65"/>
      <c r="AC10" s="65"/>
    </row>
    <row r="11" spans="1:29" x14ac:dyDescent="0.35">
      <c r="A11" s="531"/>
      <c r="B11" s="531"/>
      <c r="C11" s="531"/>
      <c r="D11" s="531"/>
      <c r="E11" s="531"/>
      <c r="F11" s="531"/>
      <c r="G11" s="531"/>
      <c r="H11" s="531"/>
      <c r="I11" s="531"/>
      <c r="J11" s="531"/>
      <c r="K11" s="531"/>
      <c r="L11" s="531"/>
      <c r="M11" s="531"/>
      <c r="N11" s="531"/>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32">
        <v>1</v>
      </c>
      <c r="C13" s="532"/>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28" t="s">
        <v>606</v>
      </c>
      <c r="C14" s="533"/>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523" t="str">
        <f>IF('As-Filed Schedule 1C'!B15:C15=0,"",'As-Filed Schedule 1C'!B15:C15)</f>
        <v>22 - 5024 - Billing Fees And Adj</v>
      </c>
      <c r="C15" s="523"/>
      <c r="D15" s="180">
        <f>'As-Filed Schedule 1C'!D15</f>
        <v>-446766.80067362112</v>
      </c>
      <c r="E15" s="314">
        <f>SUMIFS(Adjustments!$G:$G,Adjustments!$H:$H,"1C",Adjustments!$I:$I,'Schedule 1C Adjustments'!$D$13,Adjustments!$J:$J,'Schedule 1C Adjustments'!A15)</f>
        <v>0</v>
      </c>
      <c r="F15" s="310">
        <f>SUM(D15:E15)</f>
        <v>-446766.80067362112</v>
      </c>
      <c r="G15" s="180">
        <f>'As-Filed Schedule 1C'!E15</f>
        <v>-7519860.0599999987</v>
      </c>
      <c r="H15" s="314">
        <f>SUMIFS(Adjustments!$G:$G,Adjustments!$H:$H,"1C",Adjustments!$I:$I,'Schedule 1C Adjustments'!$G$13,Adjustments!$J:$J,'Schedule 1C Adjustments'!A15)</f>
        <v>0</v>
      </c>
      <c r="I15" s="310">
        <f>SUM(G15:H15)</f>
        <v>-7519860.0599999987</v>
      </c>
      <c r="J15" s="194">
        <f>IF(G15-D15&lt;0,0,G15-D15)</f>
        <v>0</v>
      </c>
      <c r="K15" s="194">
        <f>IF(I15-F15&lt;0,0,I15-F15)</f>
        <v>0</v>
      </c>
      <c r="L15" s="195">
        <f>IF('As-Filed Schedule 1C'!G15=0,"",'As-Filed Schedule 1C'!G15)</f>
        <v>2</v>
      </c>
      <c r="M15" s="178" t="str">
        <f>IF('As-Filed Schedule 1C'!H15=0,"",'As-Filed Schedule 1C'!H15)</f>
        <v/>
      </c>
      <c r="N15" s="196" t="str">
        <f>IF('As-Filed Schedule 1C'!I15=0,"",'As-Filed Schedule 1C'!I15)</f>
        <v>Vail Health SS Alloc</v>
      </c>
      <c r="O15" s="66"/>
      <c r="Y15" s="67"/>
      <c r="Z15" s="67"/>
      <c r="AA15" s="67"/>
      <c r="AB15" s="67"/>
      <c r="AC15" s="67"/>
    </row>
    <row r="16" spans="1:29" s="4" customFormat="1" ht="15" customHeight="1" x14ac:dyDescent="0.35">
      <c r="A16" s="182">
        <f>A15+1</f>
        <v>2</v>
      </c>
      <c r="B16" s="523" t="str">
        <f>IF('As-Filed Schedule 1C'!B16:C16=0,"",'As-Filed Schedule 1C'!B16:C16)</f>
        <v>22 - 7180 - Revenue Integrity</v>
      </c>
      <c r="C16" s="523"/>
      <c r="D16" s="180">
        <f>'As-Filed Schedule 1C'!D16</f>
        <v>9430.7355256330338</v>
      </c>
      <c r="E16" s="314">
        <f>SUMIFS(Adjustments!$G:$G,Adjustments!$H:$H,"1C",Adjustments!$I:$I,'Schedule 1C Adjustments'!$D$13,Adjustments!$J:$J,'Schedule 1C Adjustments'!A16)</f>
        <v>0</v>
      </c>
      <c r="F16" s="310">
        <f t="shared" ref="F16:F60" si="0">SUM(D16:E16)</f>
        <v>9430.7355256330338</v>
      </c>
      <c r="G16" s="180">
        <f>'As-Filed Schedule 1C'!E16</f>
        <v>579229.83000000007</v>
      </c>
      <c r="H16" s="314">
        <f>SUMIFS(Adjustments!$G:$G,Adjustments!$H:$H,"1C",Adjustments!$I:$I,'Schedule 1C Adjustments'!$G$13,Adjustments!$J:$J,'Schedule 1C Adjustments'!A16)</f>
        <v>0</v>
      </c>
      <c r="I16" s="310">
        <f t="shared" ref="I16:I60" si="1">SUM(G16:H16)</f>
        <v>579229.83000000007</v>
      </c>
      <c r="J16" s="194">
        <f t="shared" ref="J16:J60" si="2">IF(D16-G16&lt;0,0,D16-G16)</f>
        <v>0</v>
      </c>
      <c r="K16" s="194">
        <f t="shared" ref="K16:K60" si="3">IF(F16-I16&lt;0,0,F16-I16)</f>
        <v>0</v>
      </c>
      <c r="L16" s="195">
        <f>IF('As-Filed Schedule 1C'!G16=0,"",'As-Filed Schedule 1C'!G16)</f>
        <v>2</v>
      </c>
      <c r="M16" s="178" t="str">
        <f>IF('As-Filed Schedule 1C'!H16=0,"",'As-Filed Schedule 1C'!H16)</f>
        <v/>
      </c>
      <c r="N16" s="196" t="str">
        <f>IF('As-Filed Schedule 1C'!I16=0,"",'As-Filed Schedule 1C'!I16)</f>
        <v>Vail Health SS Alloc</v>
      </c>
      <c r="O16" s="142"/>
      <c r="Y16" s="67"/>
      <c r="Z16" s="67"/>
      <c r="AA16" s="67"/>
      <c r="AB16" s="67"/>
      <c r="AC16" s="67"/>
    </row>
    <row r="17" spans="1:29" s="4" customFormat="1" ht="15" customHeight="1" x14ac:dyDescent="0.35">
      <c r="A17" s="182">
        <f t="shared" ref="A17:A66" si="4">A16+1</f>
        <v>3</v>
      </c>
      <c r="B17" s="523" t="str">
        <f>IF('As-Filed Schedule 1C'!B17:C17=0,"",'As-Filed Schedule 1C'!B17:C17)</f>
        <v>22 - 7181 - Health Information Management</v>
      </c>
      <c r="C17" s="523"/>
      <c r="D17" s="180">
        <f>'As-Filed Schedule 1C'!D17</f>
        <v>50128.168255132849</v>
      </c>
      <c r="E17" s="314">
        <f>SUMIFS(Adjustments!$G:$G,Adjustments!$H:$H,"1C",Adjustments!$I:$I,'Schedule 1C Adjustments'!$D$13,Adjustments!$J:$J,'Schedule 1C Adjustments'!A17)</f>
        <v>0</v>
      </c>
      <c r="F17" s="310">
        <f t="shared" si="0"/>
        <v>50128.168255132849</v>
      </c>
      <c r="G17" s="180">
        <f>'As-Filed Schedule 1C'!E17</f>
        <v>3068500.5100000007</v>
      </c>
      <c r="H17" s="314">
        <f>SUMIFS(Adjustments!$G:$G,Adjustments!$H:$H,"1C",Adjustments!$I:$I,'Schedule 1C Adjustments'!$G$13,Adjustments!$J:$J,'Schedule 1C Adjustments'!A17)</f>
        <v>0</v>
      </c>
      <c r="I17" s="310">
        <f t="shared" si="1"/>
        <v>3068500.5100000007</v>
      </c>
      <c r="J17" s="194">
        <f t="shared" si="2"/>
        <v>0</v>
      </c>
      <c r="K17" s="194">
        <f t="shared" si="3"/>
        <v>0</v>
      </c>
      <c r="L17" s="195">
        <f>IF('As-Filed Schedule 1C'!G17=0,"",'As-Filed Schedule 1C'!G17)</f>
        <v>2</v>
      </c>
      <c r="M17" s="178" t="str">
        <f>IF('As-Filed Schedule 1C'!H17=0,"",'As-Filed Schedule 1C'!H17)</f>
        <v/>
      </c>
      <c r="N17" s="196" t="str">
        <f>IF('As-Filed Schedule 1C'!I17=0,"",'As-Filed Schedule 1C'!I17)</f>
        <v>Vail Health SS Alloc</v>
      </c>
      <c r="O17" s="66"/>
      <c r="Y17" s="67"/>
      <c r="Z17" s="67"/>
      <c r="AA17" s="67"/>
      <c r="AB17" s="67"/>
      <c r="AC17" s="67"/>
    </row>
    <row r="18" spans="1:29" s="4" customFormat="1" ht="15" customHeight="1" x14ac:dyDescent="0.35">
      <c r="A18" s="182">
        <f t="shared" si="4"/>
        <v>4</v>
      </c>
      <c r="B18" s="523" t="str">
        <f>IF('As-Filed Schedule 1C'!B18:C18=0,"",'As-Filed Schedule 1C'!B18:C18)</f>
        <v>22 - 7250 - Patient Experience</v>
      </c>
      <c r="C18" s="523"/>
      <c r="D18" s="180">
        <f>'As-Filed Schedule 1C'!D18</f>
        <v>41497.787067212703</v>
      </c>
      <c r="E18" s="314">
        <f>SUMIFS(Adjustments!$G:$G,Adjustments!$H:$H,"1C",Adjustments!$I:$I,'Schedule 1C Adjustments'!$D$13,Adjustments!$J:$J,'Schedule 1C Adjustments'!A18)</f>
        <v>0</v>
      </c>
      <c r="F18" s="310">
        <f t="shared" si="0"/>
        <v>41497.787067212703</v>
      </c>
      <c r="G18" s="180">
        <f>'As-Filed Schedule 1C'!E18</f>
        <v>1008823.81</v>
      </c>
      <c r="H18" s="314">
        <f>SUMIFS(Adjustments!$G:$G,Adjustments!$H:$H,"1C",Adjustments!$I:$I,'Schedule 1C Adjustments'!$G$13,Adjustments!$J:$J,'Schedule 1C Adjustments'!A18)</f>
        <v>0</v>
      </c>
      <c r="I18" s="310">
        <f t="shared" si="1"/>
        <v>1008823.81</v>
      </c>
      <c r="J18" s="194">
        <f t="shared" si="2"/>
        <v>0</v>
      </c>
      <c r="K18" s="194">
        <f t="shared" si="3"/>
        <v>0</v>
      </c>
      <c r="L18" s="195">
        <f>IF('As-Filed Schedule 1C'!G18=0,"",'As-Filed Schedule 1C'!G18)</f>
        <v>2</v>
      </c>
      <c r="M18" s="178" t="str">
        <f>IF('As-Filed Schedule 1C'!H18=0,"",'As-Filed Schedule 1C'!H18)</f>
        <v/>
      </c>
      <c r="N18" s="196" t="str">
        <f>IF('As-Filed Schedule 1C'!I18=0,"",'As-Filed Schedule 1C'!I18)</f>
        <v>Vail Health SS Alloc</v>
      </c>
      <c r="O18" s="66"/>
      <c r="Y18" s="67"/>
      <c r="Z18" s="67"/>
      <c r="AA18" s="67"/>
      <c r="AB18" s="67"/>
      <c r="AC18" s="67"/>
    </row>
    <row r="19" spans="1:29" s="4" customFormat="1" ht="15" customHeight="1" x14ac:dyDescent="0.35">
      <c r="A19" s="182">
        <f t="shared" si="4"/>
        <v>5</v>
      </c>
      <c r="B19" s="523" t="str">
        <f>IF('As-Filed Schedule 1C'!B19:C19=0,"",'As-Filed Schedule 1C'!B19:C19)</f>
        <v>22 - 8010 - Medical Staff Office</v>
      </c>
      <c r="C19" s="523"/>
      <c r="D19" s="180">
        <f>'As-Filed Schedule 1C'!D19</f>
        <v>12933.845486028064</v>
      </c>
      <c r="E19" s="314">
        <f>SUMIFS(Adjustments!$G:$G,Adjustments!$H:$H,"1C",Adjustments!$I:$I,'Schedule 1C Adjustments'!$D$13,Adjustments!$J:$J,'Schedule 1C Adjustments'!A19)</f>
        <v>0</v>
      </c>
      <c r="F19" s="310">
        <f t="shared" si="0"/>
        <v>12933.845486028064</v>
      </c>
      <c r="G19" s="180">
        <f>'As-Filed Schedule 1C'!E19</f>
        <v>805286.4500000003</v>
      </c>
      <c r="H19" s="314">
        <f>SUMIFS(Adjustments!$G:$G,Adjustments!$H:$H,"1C",Adjustments!$I:$I,'Schedule 1C Adjustments'!$G$13,Adjustments!$J:$J,'Schedule 1C Adjustments'!A19)</f>
        <v>0</v>
      </c>
      <c r="I19" s="310">
        <f t="shared" si="1"/>
        <v>805286.4500000003</v>
      </c>
      <c r="J19" s="194">
        <f t="shared" si="2"/>
        <v>0</v>
      </c>
      <c r="K19" s="194">
        <f t="shared" si="3"/>
        <v>0</v>
      </c>
      <c r="L19" s="195">
        <f>IF('As-Filed Schedule 1C'!G19=0,"",'As-Filed Schedule 1C'!G19)</f>
        <v>2</v>
      </c>
      <c r="M19" s="178" t="str">
        <f>IF('As-Filed Schedule 1C'!H19=0,"",'As-Filed Schedule 1C'!H19)</f>
        <v/>
      </c>
      <c r="N19" s="196" t="str">
        <f>IF('As-Filed Schedule 1C'!I19=0,"",'As-Filed Schedule 1C'!I19)</f>
        <v>Vail Health SS Alloc</v>
      </c>
      <c r="O19" s="66"/>
      <c r="Y19" s="67"/>
      <c r="Z19" s="67"/>
      <c r="AA19" s="67"/>
      <c r="AB19" s="67"/>
      <c r="AC19" s="67"/>
    </row>
    <row r="20" spans="1:29" s="4" customFormat="1" ht="15" customHeight="1" x14ac:dyDescent="0.35">
      <c r="A20" s="182">
        <f t="shared" si="4"/>
        <v>6</v>
      </c>
      <c r="B20" s="523" t="str">
        <f>IF('As-Filed Schedule 1C'!B20:C20=0,"",'As-Filed Schedule 1C'!B20:C20)</f>
        <v>22 - 8031 - Quality Resource Management</v>
      </c>
      <c r="C20" s="523"/>
      <c r="D20" s="180">
        <f>'As-Filed Schedule 1C'!D20</f>
        <v>47267.446812485439</v>
      </c>
      <c r="E20" s="314">
        <f>SUMIFS(Adjustments!$G:$G,Adjustments!$H:$H,"1C",Adjustments!$I:$I,'Schedule 1C Adjustments'!$D$13,Adjustments!$J:$J,'Schedule 1C Adjustments'!A20)</f>
        <v>0</v>
      </c>
      <c r="F20" s="310">
        <f t="shared" si="0"/>
        <v>47267.446812485439</v>
      </c>
      <c r="G20" s="180">
        <f>'As-Filed Schedule 1C'!E20</f>
        <v>1063747.7</v>
      </c>
      <c r="H20" s="314">
        <f>SUMIFS(Adjustments!$G:$G,Adjustments!$H:$H,"1C",Adjustments!$I:$I,'Schedule 1C Adjustments'!$G$13,Adjustments!$J:$J,'Schedule 1C Adjustments'!A20)</f>
        <v>0</v>
      </c>
      <c r="I20" s="310">
        <f t="shared" si="1"/>
        <v>1063747.7</v>
      </c>
      <c r="J20" s="194">
        <f t="shared" si="2"/>
        <v>0</v>
      </c>
      <c r="K20" s="194">
        <f t="shared" si="3"/>
        <v>0</v>
      </c>
      <c r="L20" s="195">
        <f>IF('As-Filed Schedule 1C'!G20=0,"",'As-Filed Schedule 1C'!G20)</f>
        <v>2</v>
      </c>
      <c r="M20" s="178" t="str">
        <f>IF('As-Filed Schedule 1C'!H20=0,"",'As-Filed Schedule 1C'!H20)</f>
        <v/>
      </c>
      <c r="N20" s="196" t="str">
        <f>IF('As-Filed Schedule 1C'!I20=0,"",'As-Filed Schedule 1C'!I20)</f>
        <v>Vail Health SS Alloc</v>
      </c>
      <c r="O20" s="66"/>
      <c r="Y20" s="67"/>
      <c r="Z20" s="67"/>
      <c r="AA20" s="67"/>
      <c r="AB20" s="67"/>
      <c r="AC20" s="67"/>
    </row>
    <row r="21" spans="1:29" s="4" customFormat="1" ht="15" customHeight="1" x14ac:dyDescent="0.35">
      <c r="A21" s="182">
        <f t="shared" si="4"/>
        <v>7</v>
      </c>
      <c r="B21" s="523" t="str">
        <f>IF('As-Filed Schedule 1C'!B21:C21=0,"",'As-Filed Schedule 1C'!B21:C21)</f>
        <v>22 - 8040 - Employee Health</v>
      </c>
      <c r="C21" s="523"/>
      <c r="D21" s="180">
        <f>'As-Filed Schedule 1C'!D21</f>
        <v>33980.231225469608</v>
      </c>
      <c r="E21" s="314">
        <f>SUMIFS(Adjustments!$G:$G,Adjustments!$H:$H,"1C",Adjustments!$I:$I,'Schedule 1C Adjustments'!$D$13,Adjustments!$J:$J,'Schedule 1C Adjustments'!A21)</f>
        <v>0</v>
      </c>
      <c r="F21" s="310">
        <f t="shared" si="0"/>
        <v>33980.231225469608</v>
      </c>
      <c r="G21" s="180">
        <f>'As-Filed Schedule 1C'!E21</f>
        <v>505584.74</v>
      </c>
      <c r="H21" s="314">
        <f>SUMIFS(Adjustments!$G:$G,Adjustments!$H:$H,"1C",Adjustments!$I:$I,'Schedule 1C Adjustments'!$G$13,Adjustments!$J:$J,'Schedule 1C Adjustments'!A21)</f>
        <v>0</v>
      </c>
      <c r="I21" s="310">
        <f t="shared" si="1"/>
        <v>505584.74</v>
      </c>
      <c r="J21" s="194">
        <f t="shared" si="2"/>
        <v>0</v>
      </c>
      <c r="K21" s="194">
        <f t="shared" si="3"/>
        <v>0</v>
      </c>
      <c r="L21" s="195">
        <f>IF('As-Filed Schedule 1C'!G21=0,"",'As-Filed Schedule 1C'!G21)</f>
        <v>2</v>
      </c>
      <c r="M21" s="178" t="str">
        <f>IF('As-Filed Schedule 1C'!H21=0,"",'As-Filed Schedule 1C'!H21)</f>
        <v/>
      </c>
      <c r="N21" s="196" t="str">
        <f>IF('As-Filed Schedule 1C'!I21=0,"",'As-Filed Schedule 1C'!I21)</f>
        <v>Vail Health SS Alloc</v>
      </c>
      <c r="O21" s="66"/>
      <c r="Y21" s="67"/>
      <c r="Z21" s="67"/>
      <c r="AA21" s="67"/>
      <c r="AB21" s="67"/>
      <c r="AC21" s="67"/>
    </row>
    <row r="22" spans="1:29" s="4" customFormat="1" ht="15" customHeight="1" x14ac:dyDescent="0.35">
      <c r="A22" s="182">
        <f t="shared" si="4"/>
        <v>8</v>
      </c>
      <c r="B22" s="523" t="str">
        <f>IF('As-Filed Schedule 1C'!B22:C22=0,"",'As-Filed Schedule 1C'!B22:C22)</f>
        <v>22 - 8041 - Infection Control</v>
      </c>
      <c r="C22" s="523"/>
      <c r="D22" s="180">
        <f>'As-Filed Schedule 1C'!D22</f>
        <v>7153.0154720395803</v>
      </c>
      <c r="E22" s="314">
        <f>SUMIFS(Adjustments!$G:$G,Adjustments!$H:$H,"1C",Adjustments!$I:$I,'Schedule 1C Adjustments'!$D$13,Adjustments!$J:$J,'Schedule 1C Adjustments'!A22)</f>
        <v>0</v>
      </c>
      <c r="F22" s="310">
        <f t="shared" si="0"/>
        <v>7153.0154720395803</v>
      </c>
      <c r="G22" s="180">
        <f>'As-Filed Schedule 1C'!E22</f>
        <v>165003.23000000001</v>
      </c>
      <c r="H22" s="314">
        <f>SUMIFS(Adjustments!$G:$G,Adjustments!$H:$H,"1C",Adjustments!$I:$I,'Schedule 1C Adjustments'!$G$13,Adjustments!$J:$J,'Schedule 1C Adjustments'!A22)</f>
        <v>0</v>
      </c>
      <c r="I22" s="310">
        <f t="shared" si="1"/>
        <v>165003.23000000001</v>
      </c>
      <c r="J22" s="194">
        <f t="shared" si="2"/>
        <v>0</v>
      </c>
      <c r="K22" s="194">
        <f t="shared" si="3"/>
        <v>0</v>
      </c>
      <c r="L22" s="195">
        <f>IF('As-Filed Schedule 1C'!G22=0,"",'As-Filed Schedule 1C'!G22)</f>
        <v>5</v>
      </c>
      <c r="M22" s="178" t="str">
        <f>IF('As-Filed Schedule 1C'!H22=0,"",'As-Filed Schedule 1C'!H22)</f>
        <v/>
      </c>
      <c r="N22" s="196" t="str">
        <f>IF('As-Filed Schedule 1C'!I22=0,"",'As-Filed Schedule 1C'!I22)</f>
        <v>Vail Health SS Alloc</v>
      </c>
      <c r="O22" s="66"/>
      <c r="Y22" s="67"/>
      <c r="Z22" s="67"/>
      <c r="AA22" s="67"/>
      <c r="AB22" s="67"/>
      <c r="AC22" s="67"/>
    </row>
    <row r="23" spans="1:29" s="4" customFormat="1" ht="15" customHeight="1" x14ac:dyDescent="0.35">
      <c r="A23" s="182">
        <f t="shared" si="4"/>
        <v>9</v>
      </c>
      <c r="B23" s="523" t="str">
        <f>IF('As-Filed Schedule 1C'!B23:C23=0,"",'As-Filed Schedule 1C'!B23:C23)</f>
        <v>22 - 8042 - Population Health</v>
      </c>
      <c r="C23" s="523"/>
      <c r="D23" s="180">
        <f>'As-Filed Schedule 1C'!D23</f>
        <v>44555.641522849328</v>
      </c>
      <c r="E23" s="314">
        <f>SUMIFS(Adjustments!$G:$G,Adjustments!$H:$H,"1C",Adjustments!$I:$I,'Schedule 1C Adjustments'!$D$13,Adjustments!$J:$J,'Schedule 1C Adjustments'!A23)</f>
        <v>0</v>
      </c>
      <c r="F23" s="310">
        <f t="shared" si="0"/>
        <v>44555.641522849328</v>
      </c>
      <c r="G23" s="180">
        <f>'As-Filed Schedule 1C'!E23</f>
        <v>1001087.7100000004</v>
      </c>
      <c r="H23" s="314">
        <f>SUMIFS(Adjustments!$G:$G,Adjustments!$H:$H,"1C",Adjustments!$I:$I,'Schedule 1C Adjustments'!$G$13,Adjustments!$J:$J,'Schedule 1C Adjustments'!A23)</f>
        <v>0</v>
      </c>
      <c r="I23" s="310">
        <f t="shared" si="1"/>
        <v>1001087.7100000004</v>
      </c>
      <c r="J23" s="194">
        <f t="shared" si="2"/>
        <v>0</v>
      </c>
      <c r="K23" s="194">
        <f t="shared" si="3"/>
        <v>0</v>
      </c>
      <c r="L23" s="195">
        <f>IF('As-Filed Schedule 1C'!G23=0,"",'As-Filed Schedule 1C'!G23)</f>
        <v>2</v>
      </c>
      <c r="M23" s="178" t="str">
        <f>IF('As-Filed Schedule 1C'!H23=0,"",'As-Filed Schedule 1C'!H23)</f>
        <v/>
      </c>
      <c r="N23" s="196" t="str">
        <f>IF('As-Filed Schedule 1C'!I23=0,"",'As-Filed Schedule 1C'!I23)</f>
        <v>Vail Health SS Alloc</v>
      </c>
      <c r="O23" s="66"/>
      <c r="Y23" s="67"/>
      <c r="Z23" s="67"/>
      <c r="AA23" s="67"/>
      <c r="AB23" s="67"/>
      <c r="AC23" s="67"/>
    </row>
    <row r="24" spans="1:29" s="4" customFormat="1" ht="15" customHeight="1" x14ac:dyDescent="0.35">
      <c r="A24" s="182">
        <f t="shared" si="4"/>
        <v>10</v>
      </c>
      <c r="B24" s="523" t="str">
        <f>IF('As-Filed Schedule 1C'!B24:C24=0,"",'As-Filed Schedule 1C'!B24:C24)</f>
        <v>22 - 8071 - Facilities Department</v>
      </c>
      <c r="C24" s="523"/>
      <c r="D24" s="180">
        <f>'As-Filed Schedule 1C'!D24</f>
        <v>132064.30303375449</v>
      </c>
      <c r="E24" s="314">
        <f>SUMIFS(Adjustments!$G:$G,Adjustments!$H:$H,"1C",Adjustments!$I:$I,'Schedule 1C Adjustments'!$D$13,Adjustments!$J:$J,'Schedule 1C Adjustments'!A24)</f>
        <v>0</v>
      </c>
      <c r="F24" s="310">
        <f t="shared" si="0"/>
        <v>132064.30303375449</v>
      </c>
      <c r="G24" s="180">
        <f>'As-Filed Schedule 1C'!E24</f>
        <v>2092119.5100000002</v>
      </c>
      <c r="H24" s="314">
        <f>SUMIFS(Adjustments!$G:$G,Adjustments!$H:$H,"1C",Adjustments!$I:$I,'Schedule 1C Adjustments'!$G$13,Adjustments!$J:$J,'Schedule 1C Adjustments'!A24)</f>
        <v>0</v>
      </c>
      <c r="I24" s="310">
        <f t="shared" si="1"/>
        <v>2092119.5100000002</v>
      </c>
      <c r="J24" s="194">
        <f t="shared" si="2"/>
        <v>0</v>
      </c>
      <c r="K24" s="194">
        <f t="shared" si="3"/>
        <v>0</v>
      </c>
      <c r="L24" s="195">
        <f>IF('As-Filed Schedule 1C'!G24=0,"",'As-Filed Schedule 1C'!G24)</f>
        <v>2</v>
      </c>
      <c r="M24" s="178" t="str">
        <f>IF('As-Filed Schedule 1C'!H24=0,"",'As-Filed Schedule 1C'!H24)</f>
        <v/>
      </c>
      <c r="N24" s="196" t="str">
        <f>IF('As-Filed Schedule 1C'!I24=0,"",'As-Filed Schedule 1C'!I24)</f>
        <v>Vail Health SS Alloc</v>
      </c>
      <c r="O24" s="66"/>
      <c r="Y24" s="67"/>
      <c r="Z24" s="67"/>
      <c r="AA24" s="67"/>
      <c r="AB24" s="67"/>
      <c r="AC24" s="67"/>
    </row>
    <row r="25" spans="1:29" s="4" customFormat="1" ht="15" customHeight="1" x14ac:dyDescent="0.35">
      <c r="A25" s="182">
        <f t="shared" si="4"/>
        <v>11</v>
      </c>
      <c r="B25" s="523" t="str">
        <f>IF('As-Filed Schedule 1C'!B25:C25=0,"",'As-Filed Schedule 1C'!B25:C25)</f>
        <v>22 - 8072 - Transportation</v>
      </c>
      <c r="C25" s="523"/>
      <c r="D25" s="180">
        <f>'As-Filed Schedule 1C'!D25</f>
        <v>142764.98742379269</v>
      </c>
      <c r="E25" s="314">
        <f>SUMIFS(Adjustments!$G:$G,Adjustments!$H:$H,"1C",Adjustments!$I:$I,'Schedule 1C Adjustments'!$D$13,Adjustments!$J:$J,'Schedule 1C Adjustments'!A25)</f>
        <v>0</v>
      </c>
      <c r="F25" s="310">
        <f t="shared" si="0"/>
        <v>142764.98742379269</v>
      </c>
      <c r="G25" s="180">
        <f>'As-Filed Schedule 1C'!E25</f>
        <v>2227903.11</v>
      </c>
      <c r="H25" s="314">
        <f>SUMIFS(Adjustments!$G:$G,Adjustments!$H:$H,"1C",Adjustments!$I:$I,'Schedule 1C Adjustments'!$G$13,Adjustments!$J:$J,'Schedule 1C Adjustments'!A25)</f>
        <v>0</v>
      </c>
      <c r="I25" s="310">
        <f t="shared" si="1"/>
        <v>2227903.11</v>
      </c>
      <c r="J25" s="194">
        <f t="shared" si="2"/>
        <v>0</v>
      </c>
      <c r="K25" s="194">
        <f t="shared" si="3"/>
        <v>0</v>
      </c>
      <c r="L25" s="195">
        <f>IF('As-Filed Schedule 1C'!G25=0,"",'As-Filed Schedule 1C'!G25)</f>
        <v>2</v>
      </c>
      <c r="M25" s="178" t="str">
        <f>IF('As-Filed Schedule 1C'!H25=0,"",'As-Filed Schedule 1C'!H25)</f>
        <v/>
      </c>
      <c r="N25" s="196" t="str">
        <f>IF('As-Filed Schedule 1C'!I25=0,"",'As-Filed Schedule 1C'!I25)</f>
        <v>Vail Health SS Alloc</v>
      </c>
      <c r="O25" s="66"/>
      <c r="Y25" s="67"/>
      <c r="Z25" s="67"/>
      <c r="AA25" s="67"/>
      <c r="AB25" s="67"/>
      <c r="AC25" s="67"/>
    </row>
    <row r="26" spans="1:29" s="4" customFormat="1" ht="15" customHeight="1" x14ac:dyDescent="0.35">
      <c r="A26" s="182">
        <f t="shared" si="4"/>
        <v>12</v>
      </c>
      <c r="B26" s="523" t="str">
        <f>IF('As-Filed Schedule 1C'!B26:C26=0,"",'As-Filed Schedule 1C'!B26:C26)</f>
        <v>22 - 8075 - Facilities Support</v>
      </c>
      <c r="C26" s="523"/>
      <c r="D26" s="180">
        <f>'As-Filed Schedule 1C'!D26</f>
        <v>22666.56554156464</v>
      </c>
      <c r="E26" s="314">
        <f>SUMIFS(Adjustments!$G:$G,Adjustments!$H:$H,"1C",Adjustments!$I:$I,'Schedule 1C Adjustments'!$D$13,Adjustments!$J:$J,'Schedule 1C Adjustments'!A26)</f>
        <v>0</v>
      </c>
      <c r="F26" s="310">
        <f t="shared" si="0"/>
        <v>22666.56554156464</v>
      </c>
      <c r="G26" s="180">
        <f>'As-Filed Schedule 1C'!E26</f>
        <v>359144.91999999993</v>
      </c>
      <c r="H26" s="314">
        <f>SUMIFS(Adjustments!$G:$G,Adjustments!$H:$H,"1C",Adjustments!$I:$I,'Schedule 1C Adjustments'!$G$13,Adjustments!$J:$J,'Schedule 1C Adjustments'!A26)</f>
        <v>0</v>
      </c>
      <c r="I26" s="310">
        <f t="shared" si="1"/>
        <v>359144.91999999993</v>
      </c>
      <c r="J26" s="194">
        <f t="shared" si="2"/>
        <v>0</v>
      </c>
      <c r="K26" s="194">
        <f t="shared" si="3"/>
        <v>0</v>
      </c>
      <c r="L26" s="195">
        <f>IF('As-Filed Schedule 1C'!G26=0,"",'As-Filed Schedule 1C'!G26)</f>
        <v>2</v>
      </c>
      <c r="M26" s="178" t="str">
        <f>IF('As-Filed Schedule 1C'!H26=0,"",'As-Filed Schedule 1C'!H26)</f>
        <v/>
      </c>
      <c r="N26" s="196" t="str">
        <f>IF('As-Filed Schedule 1C'!I26=0,"",'As-Filed Schedule 1C'!I26)</f>
        <v>Vail Health SS Alloc</v>
      </c>
      <c r="O26" s="66"/>
      <c r="Y26" s="67"/>
      <c r="Z26" s="67"/>
      <c r="AA26" s="67"/>
      <c r="AB26" s="67"/>
      <c r="AC26" s="67"/>
    </row>
    <row r="27" spans="1:29" s="4" customFormat="1" ht="15" customHeight="1" x14ac:dyDescent="0.35">
      <c r="A27" s="182">
        <f t="shared" si="4"/>
        <v>13</v>
      </c>
      <c r="B27" s="523" t="str">
        <f>IF('As-Filed Schedule 1C'!B27:C27=0,"",'As-Filed Schedule 1C'!B27:C27)</f>
        <v>22 - 8076 - Hospital Security</v>
      </c>
      <c r="C27" s="523"/>
      <c r="D27" s="180">
        <f>'As-Filed Schedule 1C'!D27</f>
        <v>96005.913992472371</v>
      </c>
      <c r="E27" s="314">
        <f>SUMIFS(Adjustments!$G:$G,Adjustments!$H:$H,"1C",Adjustments!$I:$I,'Schedule 1C Adjustments'!$D$13,Adjustments!$J:$J,'Schedule 1C Adjustments'!A27)</f>
        <v>0</v>
      </c>
      <c r="F27" s="310">
        <f t="shared" si="0"/>
        <v>96005.913992472371</v>
      </c>
      <c r="G27" s="180">
        <f>'As-Filed Schedule 1C'!E27</f>
        <v>1508577.2200000002</v>
      </c>
      <c r="H27" s="314">
        <f>SUMIFS(Adjustments!$G:$G,Adjustments!$H:$H,"1C",Adjustments!$I:$I,'Schedule 1C Adjustments'!$G$13,Adjustments!$J:$J,'Schedule 1C Adjustments'!A27)</f>
        <v>0</v>
      </c>
      <c r="I27" s="310">
        <f t="shared" si="1"/>
        <v>1508577.2200000002</v>
      </c>
      <c r="J27" s="194">
        <f t="shared" si="2"/>
        <v>0</v>
      </c>
      <c r="K27" s="194">
        <f t="shared" si="3"/>
        <v>0</v>
      </c>
      <c r="L27" s="195">
        <f>IF('As-Filed Schedule 1C'!G27=0,"",'As-Filed Schedule 1C'!G27)</f>
        <v>2</v>
      </c>
      <c r="M27" s="178" t="str">
        <f>IF('As-Filed Schedule 1C'!H27=0,"",'As-Filed Schedule 1C'!H27)</f>
        <v/>
      </c>
      <c r="N27" s="196" t="str">
        <f>IF('As-Filed Schedule 1C'!I27=0,"",'As-Filed Schedule 1C'!I27)</f>
        <v>Vail Health SS Alloc</v>
      </c>
      <c r="O27" s="66"/>
      <c r="Y27" s="67"/>
      <c r="Z27" s="67"/>
      <c r="AA27" s="67"/>
      <c r="AB27" s="67"/>
      <c r="AC27" s="67"/>
    </row>
    <row r="28" spans="1:29" s="4" customFormat="1" ht="15" customHeight="1" x14ac:dyDescent="0.35">
      <c r="A28" s="182">
        <f t="shared" si="4"/>
        <v>14</v>
      </c>
      <c r="B28" s="523" t="str">
        <f>IF('As-Filed Schedule 1C'!B28:C28=0,"",'As-Filed Schedule 1C'!B28:C28)</f>
        <v>22 - 8085 - Construction</v>
      </c>
      <c r="C28" s="523"/>
      <c r="D28" s="180">
        <f>'As-Filed Schedule 1C'!D28</f>
        <v>68713.733942920197</v>
      </c>
      <c r="E28" s="314">
        <f>SUMIFS(Adjustments!$G:$G,Adjustments!$H:$H,"1C",Adjustments!$I:$I,'Schedule 1C Adjustments'!$D$13,Adjustments!$J:$J,'Schedule 1C Adjustments'!A28)</f>
        <v>0</v>
      </c>
      <c r="F28" s="310">
        <f t="shared" si="0"/>
        <v>68713.733942920197</v>
      </c>
      <c r="G28" s="180">
        <f>'As-Filed Schedule 1C'!E28</f>
        <v>1167907.4599999997</v>
      </c>
      <c r="H28" s="314">
        <f>SUMIFS(Adjustments!$G:$G,Adjustments!$H:$H,"1C",Adjustments!$I:$I,'Schedule 1C Adjustments'!$G$13,Adjustments!$J:$J,'Schedule 1C Adjustments'!A28)</f>
        <v>0</v>
      </c>
      <c r="I28" s="310">
        <f t="shared" si="1"/>
        <v>1167907.4599999997</v>
      </c>
      <c r="J28" s="194">
        <f t="shared" si="2"/>
        <v>0</v>
      </c>
      <c r="K28" s="194">
        <f t="shared" si="3"/>
        <v>0</v>
      </c>
      <c r="L28" s="195">
        <f>IF('As-Filed Schedule 1C'!G28=0,"",'As-Filed Schedule 1C'!G28)</f>
        <v>2</v>
      </c>
      <c r="M28" s="178" t="str">
        <f>IF('As-Filed Schedule 1C'!H28=0,"",'As-Filed Schedule 1C'!H28)</f>
        <v/>
      </c>
      <c r="N28" s="196" t="str">
        <f>IF('As-Filed Schedule 1C'!I28=0,"",'As-Filed Schedule 1C'!I28)</f>
        <v>Vail Health SS Alloc</v>
      </c>
      <c r="O28" s="66"/>
      <c r="Y28" s="67"/>
      <c r="Z28" s="67"/>
      <c r="AA28" s="67"/>
      <c r="AB28" s="67"/>
      <c r="AC28" s="67"/>
    </row>
    <row r="29" spans="1:29" s="4" customFormat="1" ht="15" customHeight="1" x14ac:dyDescent="0.35">
      <c r="A29" s="182">
        <f t="shared" si="4"/>
        <v>15</v>
      </c>
      <c r="B29" s="523" t="str">
        <f>IF('As-Filed Schedule 1C'!B29:C29=0,"",'As-Filed Schedule 1C'!B29:C29)</f>
        <v>22 - 8097 - Sustainability</v>
      </c>
      <c r="C29" s="523"/>
      <c r="D29" s="180">
        <f>'As-Filed Schedule 1C'!D29</f>
        <v>37340.402677522288</v>
      </c>
      <c r="E29" s="314">
        <f>SUMIFS(Adjustments!$G:$G,Adjustments!$H:$H,"1C",Adjustments!$I:$I,'Schedule 1C Adjustments'!$D$13,Adjustments!$J:$J,'Schedule 1C Adjustments'!A29)</f>
        <v>0</v>
      </c>
      <c r="F29" s="310">
        <f t="shared" si="0"/>
        <v>37340.402677522288</v>
      </c>
      <c r="G29" s="180">
        <f>'As-Filed Schedule 1C'!E29</f>
        <v>635553.11</v>
      </c>
      <c r="H29" s="314">
        <f>SUMIFS(Adjustments!$G:$G,Adjustments!$H:$H,"1C",Adjustments!$I:$I,'Schedule 1C Adjustments'!$G$13,Adjustments!$J:$J,'Schedule 1C Adjustments'!A29)</f>
        <v>0</v>
      </c>
      <c r="I29" s="310">
        <f t="shared" si="1"/>
        <v>635553.11</v>
      </c>
      <c r="J29" s="194">
        <f t="shared" si="2"/>
        <v>0</v>
      </c>
      <c r="K29" s="194">
        <f t="shared" si="3"/>
        <v>0</v>
      </c>
      <c r="L29" s="195">
        <f>IF('As-Filed Schedule 1C'!G29=0,"",'As-Filed Schedule 1C'!G29)</f>
        <v>2</v>
      </c>
      <c r="M29" s="178" t="str">
        <f>IF('As-Filed Schedule 1C'!H29=0,"",'As-Filed Schedule 1C'!H29)</f>
        <v/>
      </c>
      <c r="N29" s="196" t="str">
        <f>IF('As-Filed Schedule 1C'!I29=0,"",'As-Filed Schedule 1C'!I29)</f>
        <v>Vail Health SS Alloc</v>
      </c>
      <c r="O29" s="66"/>
      <c r="Y29" s="67"/>
      <c r="Z29" s="67"/>
      <c r="AA29" s="67"/>
      <c r="AB29" s="67"/>
      <c r="AC29" s="67"/>
    </row>
    <row r="30" spans="1:29" s="4" customFormat="1" ht="15" customHeight="1" x14ac:dyDescent="0.35">
      <c r="A30" s="182">
        <f t="shared" si="4"/>
        <v>16</v>
      </c>
      <c r="B30" s="523" t="str">
        <f>IF('As-Filed Schedule 1C'!B30:C30=0,"",'As-Filed Schedule 1C'!B30:C30)</f>
        <v>22 - 8200 - Decision Support</v>
      </c>
      <c r="C30" s="523"/>
      <c r="D30" s="180">
        <f>'As-Filed Schedule 1C'!D30</f>
        <v>99997.531514668037</v>
      </c>
      <c r="E30" s="314">
        <f>SUMIFS(Adjustments!$G:$G,Adjustments!$H:$H,"1C",Adjustments!$I:$I,'Schedule 1C Adjustments'!$D$13,Adjustments!$J:$J,'Schedule 1C Adjustments'!A30)</f>
        <v>0</v>
      </c>
      <c r="F30" s="310">
        <f t="shared" si="0"/>
        <v>99997.531514668037</v>
      </c>
      <c r="G30" s="180">
        <f>'As-Filed Schedule 1C'!E30</f>
        <v>1579696.7599999998</v>
      </c>
      <c r="H30" s="314">
        <f>SUMIFS(Adjustments!$G:$G,Adjustments!$H:$H,"1C",Adjustments!$I:$I,'Schedule 1C Adjustments'!$G$13,Adjustments!$J:$J,'Schedule 1C Adjustments'!A30)</f>
        <v>0</v>
      </c>
      <c r="I30" s="310">
        <f t="shared" si="1"/>
        <v>1579696.7599999998</v>
      </c>
      <c r="J30" s="194">
        <f t="shared" si="2"/>
        <v>0</v>
      </c>
      <c r="K30" s="194">
        <f t="shared" si="3"/>
        <v>0</v>
      </c>
      <c r="L30" s="195">
        <f>IF('As-Filed Schedule 1C'!G30=0,"",'As-Filed Schedule 1C'!G30)</f>
        <v>2</v>
      </c>
      <c r="M30" s="178" t="str">
        <f>IF('As-Filed Schedule 1C'!H30=0,"",'As-Filed Schedule 1C'!H30)</f>
        <v/>
      </c>
      <c r="N30" s="196" t="str">
        <f>IF('As-Filed Schedule 1C'!I30=0,"",'As-Filed Schedule 1C'!I30)</f>
        <v>Vail Health SS Alloc</v>
      </c>
      <c r="O30" s="66"/>
      <c r="Y30" s="67"/>
      <c r="Z30" s="67"/>
      <c r="AA30" s="67"/>
      <c r="AB30" s="67"/>
      <c r="AC30" s="67"/>
    </row>
    <row r="31" spans="1:29" s="4" customFormat="1" ht="15" customHeight="1" x14ac:dyDescent="0.35">
      <c r="A31" s="182">
        <f t="shared" si="4"/>
        <v>17</v>
      </c>
      <c r="B31" s="523" t="str">
        <f>IF('As-Filed Schedule 1C'!B31:C31=0,"",'As-Filed Schedule 1C'!B31:C31)</f>
        <v>22 - 8212 - Accounting</v>
      </c>
      <c r="C31" s="523"/>
      <c r="D31" s="180">
        <f>'As-Filed Schedule 1C'!D31</f>
        <v>172143.58670998507</v>
      </c>
      <c r="E31" s="314">
        <f>SUMIFS(Adjustments!$G:$G,Adjustments!$H:$H,"1C",Adjustments!$I:$I,'Schedule 1C Adjustments'!$D$13,Adjustments!$J:$J,'Schedule 1C Adjustments'!A31)</f>
        <v>0</v>
      </c>
      <c r="F31" s="310">
        <f t="shared" si="0"/>
        <v>172143.58670998507</v>
      </c>
      <c r="G31" s="180">
        <f>'As-Filed Schedule 1C'!E31</f>
        <v>2717233.9500000007</v>
      </c>
      <c r="H31" s="314">
        <f>SUMIFS(Adjustments!$G:$G,Adjustments!$H:$H,"1C",Adjustments!$I:$I,'Schedule 1C Adjustments'!$G$13,Adjustments!$J:$J,'Schedule 1C Adjustments'!A31)</f>
        <v>0</v>
      </c>
      <c r="I31" s="310">
        <f t="shared" si="1"/>
        <v>2717233.9500000007</v>
      </c>
      <c r="J31" s="194">
        <f t="shared" si="2"/>
        <v>0</v>
      </c>
      <c r="K31" s="194">
        <f t="shared" si="3"/>
        <v>0</v>
      </c>
      <c r="L31" s="195">
        <f>IF('As-Filed Schedule 1C'!G31=0,"",'As-Filed Schedule 1C'!G31)</f>
        <v>2</v>
      </c>
      <c r="M31" s="178" t="str">
        <f>IF('As-Filed Schedule 1C'!H31=0,"",'As-Filed Schedule 1C'!H31)</f>
        <v/>
      </c>
      <c r="N31" s="196" t="str">
        <f>IF('As-Filed Schedule 1C'!I31=0,"",'As-Filed Schedule 1C'!I31)</f>
        <v>Vail Health SS Alloc</v>
      </c>
      <c r="O31" s="66"/>
      <c r="Y31" s="67"/>
      <c r="Z31" s="67"/>
      <c r="AA31" s="67"/>
      <c r="AB31" s="67"/>
      <c r="AC31" s="67"/>
    </row>
    <row r="32" spans="1:29" s="4" customFormat="1" ht="15" customHeight="1" x14ac:dyDescent="0.35">
      <c r="A32" s="182">
        <f t="shared" si="4"/>
        <v>18</v>
      </c>
      <c r="B32" s="523" t="str">
        <f>IF('As-Filed Schedule 1C'!B32:C32=0,"",'As-Filed Schedule 1C'!B32:C32)</f>
        <v>22 - 8215 - Compliance</v>
      </c>
      <c r="C32" s="523"/>
      <c r="D32" s="180">
        <f>'As-Filed Schedule 1C'!D32</f>
        <v>47681.417245874167</v>
      </c>
      <c r="E32" s="314">
        <f>SUMIFS(Adjustments!$G:$G,Adjustments!$H:$H,"1C",Adjustments!$I:$I,'Schedule 1C Adjustments'!$D$13,Adjustments!$J:$J,'Schedule 1C Adjustments'!A32)</f>
        <v>0</v>
      </c>
      <c r="F32" s="310">
        <f t="shared" si="0"/>
        <v>47681.417245874167</v>
      </c>
      <c r="G32" s="180">
        <f>'As-Filed Schedule 1C'!E32</f>
        <v>805128.25000000012</v>
      </c>
      <c r="H32" s="314">
        <f>SUMIFS(Adjustments!$G:$G,Adjustments!$H:$H,"1C",Adjustments!$I:$I,'Schedule 1C Adjustments'!$G$13,Adjustments!$J:$J,'Schedule 1C Adjustments'!A32)</f>
        <v>0</v>
      </c>
      <c r="I32" s="310">
        <f t="shared" si="1"/>
        <v>805128.25000000012</v>
      </c>
      <c r="J32" s="194">
        <f t="shared" si="2"/>
        <v>0</v>
      </c>
      <c r="K32" s="194">
        <f t="shared" si="3"/>
        <v>0</v>
      </c>
      <c r="L32" s="195">
        <f>IF('As-Filed Schedule 1C'!G32=0,"",'As-Filed Schedule 1C'!G32)</f>
        <v>2</v>
      </c>
      <c r="M32" s="178" t="str">
        <f>IF('As-Filed Schedule 1C'!H32=0,"",'As-Filed Schedule 1C'!H32)</f>
        <v/>
      </c>
      <c r="N32" s="196" t="str">
        <f>IF('As-Filed Schedule 1C'!I32=0,"",'As-Filed Schedule 1C'!I32)</f>
        <v>Vail Health SS Alloc</v>
      </c>
      <c r="O32" s="66"/>
      <c r="Y32" s="67"/>
      <c r="Z32" s="67"/>
      <c r="AA32" s="67"/>
      <c r="AB32" s="67"/>
      <c r="AC32" s="67"/>
    </row>
    <row r="33" spans="1:29" s="4" customFormat="1" ht="15" customHeight="1" x14ac:dyDescent="0.35">
      <c r="A33" s="182">
        <f t="shared" si="4"/>
        <v>19</v>
      </c>
      <c r="B33" s="523" t="str">
        <f>IF('As-Filed Schedule 1C'!B33:C33=0,"",'As-Filed Schedule 1C'!B33:C33)</f>
        <v>22 - 8216 - Risk Management (includes BH Insurance)</v>
      </c>
      <c r="C33" s="523"/>
      <c r="D33" s="180">
        <f>'As-Filed Schedule 1C'!D33</f>
        <v>435954</v>
      </c>
      <c r="E33" s="314">
        <f>SUMIFS(Adjustments!$G:$G,Adjustments!$H:$H,"1C",Adjustments!$I:$I,'Schedule 1C Adjustments'!$D$13,Adjustments!$J:$J,'Schedule 1C Adjustments'!A33)</f>
        <v>0</v>
      </c>
      <c r="F33" s="310">
        <f t="shared" si="0"/>
        <v>435954</v>
      </c>
      <c r="G33" s="180">
        <f>'As-Filed Schedule 1C'!E33</f>
        <v>7498183.4299999978</v>
      </c>
      <c r="H33" s="314">
        <f>SUMIFS(Adjustments!$G:$G,Adjustments!$H:$H,"1C",Adjustments!$I:$I,'Schedule 1C Adjustments'!$G$13,Adjustments!$J:$J,'Schedule 1C Adjustments'!A33)</f>
        <v>0</v>
      </c>
      <c r="I33" s="310">
        <f t="shared" si="1"/>
        <v>7498183.4299999978</v>
      </c>
      <c r="J33" s="194">
        <f t="shared" si="2"/>
        <v>0</v>
      </c>
      <c r="K33" s="194">
        <f t="shared" si="3"/>
        <v>0</v>
      </c>
      <c r="L33" s="195">
        <f>IF('As-Filed Schedule 1C'!G33=0,"",'As-Filed Schedule 1C'!G33)</f>
        <v>2</v>
      </c>
      <c r="M33" s="178" t="str">
        <f>IF('As-Filed Schedule 1C'!H33=0,"",'As-Filed Schedule 1C'!H33)</f>
        <v/>
      </c>
      <c r="N33" s="196" t="str">
        <f>IF('As-Filed Schedule 1C'!I33=0,"",'As-Filed Schedule 1C'!I33)</f>
        <v>Vail Health SS Alloc</v>
      </c>
      <c r="O33" s="66"/>
      <c r="Y33" s="67"/>
      <c r="Z33" s="67"/>
      <c r="AA33" s="67"/>
      <c r="AB33" s="67"/>
      <c r="AC33" s="67"/>
    </row>
    <row r="34" spans="1:29" s="4" customFormat="1" ht="15" customHeight="1" x14ac:dyDescent="0.35">
      <c r="A34" s="182">
        <f t="shared" si="4"/>
        <v>20</v>
      </c>
      <c r="B34" s="523" t="str">
        <f>IF('As-Filed Schedule 1C'!B34:C34=0,"",'As-Filed Schedule 1C'!B34:C34)</f>
        <v>22 - 8217 - Human Research Protection Program</v>
      </c>
      <c r="C34" s="523"/>
      <c r="D34" s="180">
        <f>'As-Filed Schedule 1C'!D34</f>
        <v>20900.276441616199</v>
      </c>
      <c r="E34" s="314">
        <f>SUMIFS(Adjustments!$G:$G,Adjustments!$H:$H,"1C",Adjustments!$I:$I,'Schedule 1C Adjustments'!$D$13,Adjustments!$J:$J,'Schedule 1C Adjustments'!A34)</f>
        <v>0</v>
      </c>
      <c r="F34" s="310">
        <f t="shared" si="0"/>
        <v>20900.276441616199</v>
      </c>
      <c r="G34" s="180">
        <f>'As-Filed Schedule 1C'!E34</f>
        <v>482461.52000000014</v>
      </c>
      <c r="H34" s="314">
        <f>SUMIFS(Adjustments!$G:$G,Adjustments!$H:$H,"1C",Adjustments!$I:$I,'Schedule 1C Adjustments'!$G$13,Adjustments!$J:$J,'Schedule 1C Adjustments'!A34)</f>
        <v>0</v>
      </c>
      <c r="I34" s="310">
        <f t="shared" si="1"/>
        <v>482461.52000000014</v>
      </c>
      <c r="J34" s="194">
        <f t="shared" si="2"/>
        <v>0</v>
      </c>
      <c r="K34" s="194">
        <f t="shared" si="3"/>
        <v>0</v>
      </c>
      <c r="L34" s="195">
        <f>IF('As-Filed Schedule 1C'!G34=0,"",'As-Filed Schedule 1C'!G34)</f>
        <v>5</v>
      </c>
      <c r="M34" s="178" t="str">
        <f>IF('As-Filed Schedule 1C'!H34=0,"",'As-Filed Schedule 1C'!H34)</f>
        <v/>
      </c>
      <c r="N34" s="196" t="str">
        <f>IF('As-Filed Schedule 1C'!I34=0,"",'As-Filed Schedule 1C'!I34)</f>
        <v>Vail Health SS Alloc</v>
      </c>
      <c r="O34" s="66"/>
      <c r="Y34" s="67"/>
      <c r="Z34" s="67"/>
      <c r="AA34" s="67"/>
      <c r="AB34" s="67"/>
      <c r="AC34" s="67"/>
    </row>
    <row r="35" spans="1:29" s="4" customFormat="1" ht="15" customHeight="1" x14ac:dyDescent="0.35">
      <c r="A35" s="182">
        <f t="shared" si="4"/>
        <v>21</v>
      </c>
      <c r="B35" s="523" t="str">
        <f>IF('As-Filed Schedule 1C'!B35:C35=0,"",'As-Filed Schedule 1C'!B35:C35)</f>
        <v>22 - 8218 - ASC Mgmt Services</v>
      </c>
      <c r="C35" s="523"/>
      <c r="D35" s="180">
        <f>'As-Filed Schedule 1C'!D35</f>
        <v>0</v>
      </c>
      <c r="E35" s="314">
        <f>SUMIFS(Adjustments!$G:$G,Adjustments!$H:$H,"1C",Adjustments!$I:$I,'Schedule 1C Adjustments'!$D$13,Adjustments!$J:$J,'Schedule 1C Adjustments'!A35)</f>
        <v>0</v>
      </c>
      <c r="F35" s="310">
        <f t="shared" si="0"/>
        <v>0</v>
      </c>
      <c r="G35" s="180">
        <f>'As-Filed Schedule 1C'!E35</f>
        <v>0</v>
      </c>
      <c r="H35" s="314">
        <f>SUMIFS(Adjustments!$G:$G,Adjustments!$H:$H,"1C",Adjustments!$I:$I,'Schedule 1C Adjustments'!$G$13,Adjustments!$J:$J,'Schedule 1C Adjustments'!A35)</f>
        <v>0</v>
      </c>
      <c r="I35" s="310">
        <f t="shared" si="1"/>
        <v>0</v>
      </c>
      <c r="J35" s="194">
        <f t="shared" si="2"/>
        <v>0</v>
      </c>
      <c r="K35" s="194">
        <f t="shared" si="3"/>
        <v>0</v>
      </c>
      <c r="L35" s="195">
        <f>IF('As-Filed Schedule 1C'!G35=0,"",'As-Filed Schedule 1C'!G35)</f>
        <v>2</v>
      </c>
      <c r="M35" s="178" t="str">
        <f>IF('As-Filed Schedule 1C'!H35=0,"",'As-Filed Schedule 1C'!H35)</f>
        <v/>
      </c>
      <c r="N35" s="196" t="str">
        <f>IF('As-Filed Schedule 1C'!I35=0,"",'As-Filed Schedule 1C'!I35)</f>
        <v>Vail Health SS Alloc</v>
      </c>
      <c r="O35" s="66"/>
      <c r="Y35" s="67"/>
      <c r="Z35" s="67"/>
      <c r="AA35" s="67"/>
      <c r="AB35" s="67"/>
      <c r="AC35" s="67"/>
    </row>
    <row r="36" spans="1:29" s="4" customFormat="1" ht="15" customHeight="1" x14ac:dyDescent="0.35">
      <c r="A36" s="182">
        <f t="shared" si="4"/>
        <v>22</v>
      </c>
      <c r="B36" s="523" t="str">
        <f>IF('As-Filed Schedule 1C'!B36:C36=0,"",'As-Filed Schedule 1C'!B36:C36)</f>
        <v>22 - 8219 - Legal</v>
      </c>
      <c r="C36" s="523"/>
      <c r="D36" s="180">
        <f>'As-Filed Schedule 1C'!D36</f>
        <v>15098.747384341446</v>
      </c>
      <c r="E36" s="314">
        <f>SUMIFS(Adjustments!$G:$G,Adjustments!$H:$H,"1C",Adjustments!$I:$I,'Schedule 1C Adjustments'!$D$13,Adjustments!$J:$J,'Schedule 1C Adjustments'!A36)</f>
        <v>0</v>
      </c>
      <c r="F36" s="310">
        <f t="shared" si="0"/>
        <v>15098.747384341446</v>
      </c>
      <c r="G36" s="180">
        <f>'As-Filed Schedule 1C'!E36</f>
        <v>262389.53000000003</v>
      </c>
      <c r="H36" s="314">
        <f>SUMIFS(Adjustments!$G:$G,Adjustments!$H:$H,"1C",Adjustments!$I:$I,'Schedule 1C Adjustments'!$G$13,Adjustments!$J:$J,'Schedule 1C Adjustments'!A36)</f>
        <v>0</v>
      </c>
      <c r="I36" s="310">
        <f t="shared" si="1"/>
        <v>262389.53000000003</v>
      </c>
      <c r="J36" s="194">
        <f t="shared" si="2"/>
        <v>0</v>
      </c>
      <c r="K36" s="194">
        <f t="shared" si="3"/>
        <v>0</v>
      </c>
      <c r="L36" s="195">
        <f>IF('As-Filed Schedule 1C'!G36=0,"",'As-Filed Schedule 1C'!G36)</f>
        <v>2</v>
      </c>
      <c r="M36" s="178" t="str">
        <f>IF('As-Filed Schedule 1C'!H36=0,"",'As-Filed Schedule 1C'!H36)</f>
        <v/>
      </c>
      <c r="N36" s="196" t="str">
        <f>IF('As-Filed Schedule 1C'!I36=0,"",'As-Filed Schedule 1C'!I36)</f>
        <v>Vail Health SS Alloc</v>
      </c>
      <c r="O36" s="66"/>
      <c r="Y36" s="67"/>
      <c r="Z36" s="67"/>
      <c r="AA36" s="67"/>
      <c r="AB36" s="67"/>
      <c r="AC36" s="67"/>
    </row>
    <row r="37" spans="1:29" s="4" customFormat="1" ht="15" customHeight="1" x14ac:dyDescent="0.35">
      <c r="A37" s="182">
        <f t="shared" si="4"/>
        <v>23</v>
      </c>
      <c r="B37" s="523" t="str">
        <f>IF('As-Filed Schedule 1C'!B37:C37=0,"",'As-Filed Schedule 1C'!B37:C37)</f>
        <v>22 - 8221 - Patient Financial Services</v>
      </c>
      <c r="C37" s="523"/>
      <c r="D37" s="180">
        <f>'As-Filed Schedule 1C'!D37</f>
        <v>98748.179091005746</v>
      </c>
      <c r="E37" s="314">
        <f>SUMIFS(Adjustments!$G:$G,Adjustments!$H:$H,"1C",Adjustments!$I:$I,'Schedule 1C Adjustments'!$D$13,Adjustments!$J:$J,'Schedule 1C Adjustments'!A37)</f>
        <v>0</v>
      </c>
      <c r="F37" s="310">
        <f t="shared" si="0"/>
        <v>98748.179091005746</v>
      </c>
      <c r="G37" s="180">
        <f>'As-Filed Schedule 1C'!E37</f>
        <v>6149231.9000000004</v>
      </c>
      <c r="H37" s="314">
        <f>SUMIFS(Adjustments!$G:$G,Adjustments!$H:$H,"1C",Adjustments!$I:$I,'Schedule 1C Adjustments'!$G$13,Adjustments!$J:$J,'Schedule 1C Adjustments'!A37)</f>
        <v>0</v>
      </c>
      <c r="I37" s="310">
        <f t="shared" si="1"/>
        <v>6149231.9000000004</v>
      </c>
      <c r="J37" s="194">
        <f t="shared" si="2"/>
        <v>0</v>
      </c>
      <c r="K37" s="194">
        <f t="shared" si="3"/>
        <v>0</v>
      </c>
      <c r="L37" s="195">
        <f>IF('As-Filed Schedule 1C'!G37=0,"",'As-Filed Schedule 1C'!G37)</f>
        <v>2</v>
      </c>
      <c r="M37" s="178" t="str">
        <f>IF('As-Filed Schedule 1C'!H37=0,"",'As-Filed Schedule 1C'!H37)</f>
        <v/>
      </c>
      <c r="N37" s="196" t="str">
        <f>IF('As-Filed Schedule 1C'!I37=0,"",'As-Filed Schedule 1C'!I37)</f>
        <v>Vail Health SS Alloc</v>
      </c>
      <c r="O37" s="66"/>
      <c r="Y37" s="67"/>
      <c r="Z37" s="67"/>
      <c r="AA37" s="67"/>
      <c r="AB37" s="67"/>
      <c r="AC37" s="67"/>
    </row>
    <row r="38" spans="1:29" s="4" customFormat="1" ht="15" customHeight="1" x14ac:dyDescent="0.35">
      <c r="A38" s="182">
        <f t="shared" si="4"/>
        <v>24</v>
      </c>
      <c r="B38" s="523" t="str">
        <f>IF('As-Filed Schedule 1C'!B38:C38=0,"",'As-Filed Schedule 1C'!B38:C38)</f>
        <v>22 - 8231 - Information Services</v>
      </c>
      <c r="C38" s="523"/>
      <c r="D38" s="180">
        <f>'As-Filed Schedule 1C'!D38</f>
        <v>1023380.8810798817</v>
      </c>
      <c r="E38" s="314">
        <f>SUMIFS(Adjustments!$G:$G,Adjustments!$H:$H,"1C",Adjustments!$I:$I,'Schedule 1C Adjustments'!$D$13,Adjustments!$J:$J,'Schedule 1C Adjustments'!A38)</f>
        <v>0</v>
      </c>
      <c r="F38" s="310">
        <f t="shared" si="0"/>
        <v>1023380.8810798817</v>
      </c>
      <c r="G38" s="180">
        <f>'As-Filed Schedule 1C'!E38</f>
        <v>17115508.789999999</v>
      </c>
      <c r="H38" s="314">
        <f>SUMIFS(Adjustments!$G:$G,Adjustments!$H:$H,"1C",Adjustments!$I:$I,'Schedule 1C Adjustments'!$G$13,Adjustments!$J:$J,'Schedule 1C Adjustments'!A38)</f>
        <v>0</v>
      </c>
      <c r="I38" s="310">
        <f t="shared" si="1"/>
        <v>17115508.789999999</v>
      </c>
      <c r="J38" s="194">
        <f t="shared" si="2"/>
        <v>0</v>
      </c>
      <c r="K38" s="194">
        <f t="shared" si="3"/>
        <v>0</v>
      </c>
      <c r="L38" s="195">
        <f>IF('As-Filed Schedule 1C'!G38=0,"",'As-Filed Schedule 1C'!G38)</f>
        <v>2</v>
      </c>
      <c r="M38" s="178" t="str">
        <f>IF('As-Filed Schedule 1C'!H38=0,"",'As-Filed Schedule 1C'!H38)</f>
        <v/>
      </c>
      <c r="N38" s="196" t="str">
        <f>IF('As-Filed Schedule 1C'!I38=0,"",'As-Filed Schedule 1C'!I38)</f>
        <v>Vail Health SS Alloc</v>
      </c>
      <c r="O38" s="66"/>
      <c r="Y38" s="67"/>
      <c r="Z38" s="67"/>
      <c r="AA38" s="67"/>
      <c r="AB38" s="67"/>
      <c r="AC38" s="67"/>
    </row>
    <row r="39" spans="1:29" s="4" customFormat="1" ht="15" customHeight="1" x14ac:dyDescent="0.35">
      <c r="A39" s="182">
        <f t="shared" si="4"/>
        <v>25</v>
      </c>
      <c r="B39" s="523" t="str">
        <f>IF('As-Filed Schedule 1C'!B39:C39=0,"",'As-Filed Schedule 1C'!B39:C39)</f>
        <v>22 - 8232 - IT Applications</v>
      </c>
      <c r="C39" s="523"/>
      <c r="D39" s="180">
        <f>'As-Filed Schedule 1C'!D39</f>
        <v>129225.20015560267</v>
      </c>
      <c r="E39" s="314">
        <f>SUMIFS(Adjustments!$G:$G,Adjustments!$H:$H,"1C",Adjustments!$I:$I,'Schedule 1C Adjustments'!$D$13,Adjustments!$J:$J,'Schedule 1C Adjustments'!A39)</f>
        <v>0</v>
      </c>
      <c r="F39" s="310">
        <f t="shared" si="0"/>
        <v>129225.20015560267</v>
      </c>
      <c r="G39" s="180">
        <f>'As-Filed Schedule 1C'!E39</f>
        <v>7167603.46</v>
      </c>
      <c r="H39" s="314">
        <f>SUMIFS(Adjustments!$G:$G,Adjustments!$H:$H,"1C",Adjustments!$I:$I,'Schedule 1C Adjustments'!$G$13,Adjustments!$J:$J,'Schedule 1C Adjustments'!A39)</f>
        <v>0</v>
      </c>
      <c r="I39" s="310">
        <f t="shared" si="1"/>
        <v>7167603.46</v>
      </c>
      <c r="J39" s="194">
        <f t="shared" si="2"/>
        <v>0</v>
      </c>
      <c r="K39" s="194">
        <f t="shared" si="3"/>
        <v>0</v>
      </c>
      <c r="L39" s="195">
        <f>IF('As-Filed Schedule 1C'!G39=0,"",'As-Filed Schedule 1C'!G39)</f>
        <v>2</v>
      </c>
      <c r="M39" s="178" t="str">
        <f>IF('As-Filed Schedule 1C'!H39=0,"",'As-Filed Schedule 1C'!H39)</f>
        <v/>
      </c>
      <c r="N39" s="196" t="str">
        <f>IF('As-Filed Schedule 1C'!I39=0,"",'As-Filed Schedule 1C'!I39)</f>
        <v>Vail Health SS Alloc</v>
      </c>
      <c r="O39" s="66"/>
      <c r="Y39" s="67"/>
      <c r="Z39" s="67"/>
      <c r="AA39" s="67"/>
      <c r="AB39" s="67"/>
      <c r="AC39" s="67"/>
    </row>
    <row r="40" spans="1:29" s="4" customFormat="1" ht="15" customHeight="1" x14ac:dyDescent="0.35">
      <c r="A40" s="182">
        <f t="shared" si="4"/>
        <v>26</v>
      </c>
      <c r="B40" s="523" t="str">
        <f>IF('As-Filed Schedule 1C'!B40:C40=0,"",'As-Filed Schedule 1C'!B40:C40)</f>
        <v>22 - 8233 - Enterprise Project Management</v>
      </c>
      <c r="C40" s="523"/>
      <c r="D40" s="180">
        <f>'As-Filed Schedule 1C'!D40</f>
        <v>50992.383847364879</v>
      </c>
      <c r="E40" s="314">
        <f>SUMIFS(Adjustments!$G:$G,Adjustments!$H:$H,"1C",Adjustments!$I:$I,'Schedule 1C Adjustments'!$D$13,Adjustments!$J:$J,'Schedule 1C Adjustments'!A40)</f>
        <v>0</v>
      </c>
      <c r="F40" s="310">
        <f t="shared" si="0"/>
        <v>50992.383847364879</v>
      </c>
      <c r="G40" s="180">
        <f>'As-Filed Schedule 1C'!E40</f>
        <v>886157.46</v>
      </c>
      <c r="H40" s="314">
        <f>SUMIFS(Adjustments!$G:$G,Adjustments!$H:$H,"1C",Adjustments!$I:$I,'Schedule 1C Adjustments'!$G$13,Adjustments!$J:$J,'Schedule 1C Adjustments'!A40)</f>
        <v>0</v>
      </c>
      <c r="I40" s="310">
        <f t="shared" si="1"/>
        <v>886157.46</v>
      </c>
      <c r="J40" s="194">
        <f t="shared" si="2"/>
        <v>0</v>
      </c>
      <c r="K40" s="194">
        <f t="shared" si="3"/>
        <v>0</v>
      </c>
      <c r="L40" s="195">
        <f>IF('As-Filed Schedule 1C'!G40=0,"",'As-Filed Schedule 1C'!G40)</f>
        <v>2</v>
      </c>
      <c r="M40" s="178" t="str">
        <f>IF('As-Filed Schedule 1C'!H40=0,"",'As-Filed Schedule 1C'!H40)</f>
        <v/>
      </c>
      <c r="N40" s="196" t="str">
        <f>IF('As-Filed Schedule 1C'!I40=0,"",'As-Filed Schedule 1C'!I40)</f>
        <v>Vail Health SS Alloc</v>
      </c>
      <c r="O40" s="66"/>
      <c r="Y40" s="67"/>
      <c r="Z40" s="67"/>
      <c r="AA40" s="67"/>
      <c r="AB40" s="67"/>
      <c r="AC40" s="67"/>
    </row>
    <row r="41" spans="1:29" s="4" customFormat="1" ht="15" customHeight="1" x14ac:dyDescent="0.35">
      <c r="A41" s="182">
        <f t="shared" si="4"/>
        <v>27</v>
      </c>
      <c r="B41" s="523" t="str">
        <f>IF('As-Filed Schedule 1C'!B41:C41=0,"",'As-Filed Schedule 1C'!B41:C41)</f>
        <v>22 - 8241 - Admitting Department</v>
      </c>
      <c r="C41" s="523"/>
      <c r="D41" s="180">
        <f>'As-Filed Schedule 1C'!D41</f>
        <v>44846.930606788017</v>
      </c>
      <c r="E41" s="314">
        <f>SUMIFS(Adjustments!$G:$G,Adjustments!$H:$H,"1C",Adjustments!$I:$I,'Schedule 1C Adjustments'!$D$13,Adjustments!$J:$J,'Schedule 1C Adjustments'!A41)</f>
        <v>0</v>
      </c>
      <c r="F41" s="310">
        <f t="shared" si="0"/>
        <v>44846.930606788017</v>
      </c>
      <c r="G41" s="180">
        <f>'As-Filed Schedule 1C'!E41</f>
        <v>2754852.7699999996</v>
      </c>
      <c r="H41" s="314">
        <f>SUMIFS(Adjustments!$G:$G,Adjustments!$H:$H,"1C",Adjustments!$I:$I,'Schedule 1C Adjustments'!$G$13,Adjustments!$J:$J,'Schedule 1C Adjustments'!A41)</f>
        <v>0</v>
      </c>
      <c r="I41" s="310">
        <f t="shared" si="1"/>
        <v>2754852.7699999996</v>
      </c>
      <c r="J41" s="194">
        <f t="shared" si="2"/>
        <v>0</v>
      </c>
      <c r="K41" s="194">
        <f t="shared" si="3"/>
        <v>0</v>
      </c>
      <c r="L41" s="195">
        <f>IF('As-Filed Schedule 1C'!G41=0,"",'As-Filed Schedule 1C'!G41)</f>
        <v>2</v>
      </c>
      <c r="M41" s="178" t="str">
        <f>IF('As-Filed Schedule 1C'!H41=0,"",'As-Filed Schedule 1C'!H41)</f>
        <v/>
      </c>
      <c r="N41" s="196" t="str">
        <f>IF('As-Filed Schedule 1C'!I41=0,"",'As-Filed Schedule 1C'!I41)</f>
        <v>Vail Health SS Alloc</v>
      </c>
      <c r="O41" s="66"/>
      <c r="Y41" s="67"/>
      <c r="Z41" s="67"/>
      <c r="AA41" s="67"/>
      <c r="AB41" s="67"/>
      <c r="AC41" s="67"/>
    </row>
    <row r="42" spans="1:29" s="4" customFormat="1" ht="15" customHeight="1" x14ac:dyDescent="0.35">
      <c r="A42" s="182">
        <f t="shared" si="4"/>
        <v>28</v>
      </c>
      <c r="B42" s="523" t="str">
        <f>IF('As-Filed Schedule 1C'!B42:C42=0,"",'As-Filed Schedule 1C'!B42:C42)</f>
        <v>22 - 8242 - Insurance Verfication</v>
      </c>
      <c r="C42" s="523"/>
      <c r="D42" s="180">
        <f>'As-Filed Schedule 1C'!D42</f>
        <v>11939.792941856862</v>
      </c>
      <c r="E42" s="314">
        <f>SUMIFS(Adjustments!$G:$G,Adjustments!$H:$H,"1C",Adjustments!$I:$I,'Schedule 1C Adjustments'!$D$13,Adjustments!$J:$J,'Schedule 1C Adjustments'!A42)</f>
        <v>0</v>
      </c>
      <c r="F42" s="310">
        <f t="shared" si="0"/>
        <v>11939.792941856862</v>
      </c>
      <c r="G42" s="180">
        <f>'As-Filed Schedule 1C'!E42</f>
        <v>593137.52999999991</v>
      </c>
      <c r="H42" s="314">
        <f>SUMIFS(Adjustments!$G:$G,Adjustments!$H:$H,"1C",Adjustments!$I:$I,'Schedule 1C Adjustments'!$G$13,Adjustments!$J:$J,'Schedule 1C Adjustments'!A42)</f>
        <v>0</v>
      </c>
      <c r="I42" s="310">
        <f t="shared" si="1"/>
        <v>593137.52999999991</v>
      </c>
      <c r="J42" s="194">
        <f t="shared" si="2"/>
        <v>0</v>
      </c>
      <c r="K42" s="194">
        <f t="shared" si="3"/>
        <v>0</v>
      </c>
      <c r="L42" s="195">
        <f>IF('As-Filed Schedule 1C'!G42=0,"",'As-Filed Schedule 1C'!G42)</f>
        <v>2</v>
      </c>
      <c r="M42" s="178" t="str">
        <f>IF('As-Filed Schedule 1C'!H42=0,"",'As-Filed Schedule 1C'!H42)</f>
        <v/>
      </c>
      <c r="N42" s="196" t="str">
        <f>IF('As-Filed Schedule 1C'!I42=0,"",'As-Filed Schedule 1C'!I42)</f>
        <v>Vail Health SS Alloc</v>
      </c>
      <c r="O42" s="66"/>
      <c r="Y42" s="67"/>
      <c r="Z42" s="67"/>
      <c r="AA42" s="67"/>
      <c r="AB42" s="67"/>
      <c r="AC42" s="67"/>
    </row>
    <row r="43" spans="1:29" s="4" customFormat="1" ht="15" customHeight="1" x14ac:dyDescent="0.35">
      <c r="A43" s="182">
        <f t="shared" si="4"/>
        <v>29</v>
      </c>
      <c r="B43" s="523" t="str">
        <f>IF('As-Filed Schedule 1C'!B43:C43=0,"",'As-Filed Schedule 1C'!B43:C43)</f>
        <v>22 - 8311 - Administration</v>
      </c>
      <c r="C43" s="523"/>
      <c r="D43" s="180">
        <f>'As-Filed Schedule 1C'!D43</f>
        <v>889441.21</v>
      </c>
      <c r="E43" s="314">
        <f>SUMIFS(Adjustments!$G:$G,Adjustments!$H:$H,"1C",Adjustments!$I:$I,'Schedule 1C Adjustments'!$D$13,Adjustments!$J:$J,'Schedule 1C Adjustments'!A43)</f>
        <v>-16827</v>
      </c>
      <c r="F43" s="310">
        <f t="shared" si="0"/>
        <v>872614.21</v>
      </c>
      <c r="G43" s="180">
        <f>'As-Filed Schedule 1C'!E43</f>
        <v>15547654.580000004</v>
      </c>
      <c r="H43" s="314">
        <f>SUMIFS(Adjustments!$G:$G,Adjustments!$H:$H,"1C",Adjustments!$I:$I,'Schedule 1C Adjustments'!$G$13,Adjustments!$J:$J,'Schedule 1C Adjustments'!A43)</f>
        <v>0</v>
      </c>
      <c r="I43" s="310">
        <f t="shared" si="1"/>
        <v>15547654.580000004</v>
      </c>
      <c r="J43" s="194">
        <f t="shared" si="2"/>
        <v>0</v>
      </c>
      <c r="K43" s="194">
        <f t="shared" si="3"/>
        <v>0</v>
      </c>
      <c r="L43" s="195">
        <f>IF('As-Filed Schedule 1C'!G43=0,"",'As-Filed Schedule 1C'!G43)</f>
        <v>2</v>
      </c>
      <c r="M43" s="178" t="str">
        <f>IF('As-Filed Schedule 1C'!H43=0,"",'As-Filed Schedule 1C'!H43)</f>
        <v/>
      </c>
      <c r="N43" s="196" t="str">
        <f>IF('As-Filed Schedule 1C'!I43=0,"",'As-Filed Schedule 1C'!I43)</f>
        <v>Vail Health SS Alloc</v>
      </c>
      <c r="O43" s="66"/>
      <c r="Y43" s="67"/>
      <c r="Z43" s="67"/>
      <c r="AA43" s="67"/>
      <c r="AB43" s="67"/>
      <c r="AC43" s="67"/>
    </row>
    <row r="44" spans="1:29" s="4" customFormat="1" ht="15" customHeight="1" x14ac:dyDescent="0.35">
      <c r="A44" s="182">
        <f t="shared" si="4"/>
        <v>30</v>
      </c>
      <c r="B44" s="523" t="str">
        <f>IF('As-Filed Schedule 1C'!B44:C44=0,"",'As-Filed Schedule 1C'!B44:C44)</f>
        <v>22 - 8315 - Marketing Public Relations</v>
      </c>
      <c r="C44" s="523"/>
      <c r="D44" s="180">
        <f>'As-Filed Schedule 1C'!D44</f>
        <v>84391.335740351496</v>
      </c>
      <c r="E44" s="314">
        <f>SUMIFS(Adjustments!$G:$G,Adjustments!$H:$H,"1C",Adjustments!$I:$I,'Schedule 1C Adjustments'!$D$13,Adjustments!$J:$J,'Schedule 1C Adjustments'!A44)</f>
        <v>0</v>
      </c>
      <c r="F44" s="310">
        <f t="shared" si="0"/>
        <v>84391.335740351496</v>
      </c>
      <c r="G44" s="180">
        <f>'As-Filed Schedule 1C'!E44</f>
        <v>1918099.7099999997</v>
      </c>
      <c r="H44" s="314">
        <f>SUMIFS(Adjustments!$G:$G,Adjustments!$H:$H,"1C",Adjustments!$I:$I,'Schedule 1C Adjustments'!$G$13,Adjustments!$J:$J,'Schedule 1C Adjustments'!A44)</f>
        <v>0</v>
      </c>
      <c r="I44" s="310">
        <f t="shared" si="1"/>
        <v>1918099.7099999997</v>
      </c>
      <c r="J44" s="194">
        <f t="shared" si="2"/>
        <v>0</v>
      </c>
      <c r="K44" s="194">
        <f t="shared" si="3"/>
        <v>0</v>
      </c>
      <c r="L44" s="195">
        <f>IF('As-Filed Schedule 1C'!G44=0,"",'As-Filed Schedule 1C'!G44)</f>
        <v>5</v>
      </c>
      <c r="M44" s="178" t="str">
        <f>IF('As-Filed Schedule 1C'!H44=0,"",'As-Filed Schedule 1C'!H44)</f>
        <v/>
      </c>
      <c r="N44" s="196" t="str">
        <f>IF('As-Filed Schedule 1C'!I44=0,"",'As-Filed Schedule 1C'!I44)</f>
        <v>Vail Health SS Alloc</v>
      </c>
      <c r="O44" s="66"/>
      <c r="Y44" s="67"/>
      <c r="Z44" s="67"/>
      <c r="AA44" s="67"/>
      <c r="AB44" s="67"/>
      <c r="AC44" s="67"/>
    </row>
    <row r="45" spans="1:29" s="4" customFormat="1" ht="15" customHeight="1" x14ac:dyDescent="0.35">
      <c r="A45" s="182">
        <f t="shared" si="4"/>
        <v>31</v>
      </c>
      <c r="B45" s="523" t="str">
        <f>IF('As-Filed Schedule 1C'!B45:C45=0,"",'As-Filed Schedule 1C'!B45:C45)</f>
        <v>22 - 8316 - Development Department</v>
      </c>
      <c r="C45" s="523"/>
      <c r="D45" s="180">
        <f>'As-Filed Schedule 1C'!D45</f>
        <v>0</v>
      </c>
      <c r="E45" s="314">
        <f>SUMIFS(Adjustments!$G:$G,Adjustments!$H:$H,"1C",Adjustments!$I:$I,'Schedule 1C Adjustments'!$D$13,Adjustments!$J:$J,'Schedule 1C Adjustments'!A45)</f>
        <v>0</v>
      </c>
      <c r="F45" s="310">
        <f t="shared" si="0"/>
        <v>0</v>
      </c>
      <c r="G45" s="180">
        <f>'As-Filed Schedule 1C'!E45</f>
        <v>540566.77</v>
      </c>
      <c r="H45" s="314">
        <f>SUMIFS(Adjustments!$G:$G,Adjustments!$H:$H,"1C",Adjustments!$I:$I,'Schedule 1C Adjustments'!$G$13,Adjustments!$J:$J,'Schedule 1C Adjustments'!A45)</f>
        <v>0</v>
      </c>
      <c r="I45" s="310">
        <f t="shared" si="1"/>
        <v>540566.77</v>
      </c>
      <c r="J45" s="194">
        <f t="shared" si="2"/>
        <v>0</v>
      </c>
      <c r="K45" s="194">
        <f t="shared" si="3"/>
        <v>0</v>
      </c>
      <c r="L45" s="195">
        <f>IF('As-Filed Schedule 1C'!G45=0,"",'As-Filed Schedule 1C'!G45)</f>
        <v>2</v>
      </c>
      <c r="M45" s="178" t="str">
        <f>IF('As-Filed Schedule 1C'!H45=0,"",'As-Filed Schedule 1C'!H45)</f>
        <v/>
      </c>
      <c r="N45" s="196" t="str">
        <f>IF('As-Filed Schedule 1C'!I45=0,"",'As-Filed Schedule 1C'!I45)</f>
        <v>Vail Health SS Alloc</v>
      </c>
      <c r="O45" s="66"/>
      <c r="Y45" s="67"/>
      <c r="Z45" s="67"/>
      <c r="AA45" s="67"/>
      <c r="AB45" s="67"/>
      <c r="AC45" s="67"/>
    </row>
    <row r="46" spans="1:29" s="4" customFormat="1" ht="15" customHeight="1" x14ac:dyDescent="0.35">
      <c r="A46" s="182">
        <f t="shared" si="4"/>
        <v>32</v>
      </c>
      <c r="B46" s="523" t="str">
        <f>IF('As-Filed Schedule 1C'!B46:C46=0,"",'As-Filed Schedule 1C'!B46:C46)</f>
        <v>22 - 8331 - Materials Management</v>
      </c>
      <c r="C46" s="523"/>
      <c r="D46" s="180">
        <f>'As-Filed Schedule 1C'!D46</f>
        <v>10929.889176652785</v>
      </c>
      <c r="E46" s="314">
        <f>SUMIFS(Adjustments!$G:$G,Adjustments!$H:$H,"1C",Adjustments!$I:$I,'Schedule 1C Adjustments'!$D$13,Adjustments!$J:$J,'Schedule 1C Adjustments'!A46)</f>
        <v>0</v>
      </c>
      <c r="F46" s="310">
        <f t="shared" si="0"/>
        <v>10929.889176652785</v>
      </c>
      <c r="G46" s="180">
        <f>'As-Filed Schedule 1C'!E46</f>
        <v>3311317.9200000009</v>
      </c>
      <c r="H46" s="314">
        <f>SUMIFS(Adjustments!$G:$G,Adjustments!$H:$H,"1C",Adjustments!$I:$I,'Schedule 1C Adjustments'!$G$13,Adjustments!$J:$J,'Schedule 1C Adjustments'!A46)</f>
        <v>0</v>
      </c>
      <c r="I46" s="310">
        <f t="shared" si="1"/>
        <v>3311317.9200000009</v>
      </c>
      <c r="J46" s="194">
        <f t="shared" si="2"/>
        <v>0</v>
      </c>
      <c r="K46" s="194">
        <f t="shared" si="3"/>
        <v>0</v>
      </c>
      <c r="L46" s="195">
        <f>IF('As-Filed Schedule 1C'!G46=0,"",'As-Filed Schedule 1C'!G46)</f>
        <v>2</v>
      </c>
      <c r="M46" s="178" t="str">
        <f>IF('As-Filed Schedule 1C'!H46=0,"",'As-Filed Schedule 1C'!H46)</f>
        <v/>
      </c>
      <c r="N46" s="196" t="str">
        <f>IF('As-Filed Schedule 1C'!I46=0,"",'As-Filed Schedule 1C'!I46)</f>
        <v>Vail Health SS Alloc</v>
      </c>
      <c r="O46" s="66"/>
      <c r="Y46" s="67"/>
      <c r="Z46" s="67"/>
      <c r="AA46" s="67"/>
      <c r="AB46" s="67"/>
      <c r="AC46" s="67"/>
    </row>
    <row r="47" spans="1:29" s="4" customFormat="1" ht="15" customHeight="1" x14ac:dyDescent="0.35">
      <c r="A47" s="182">
        <f t="shared" si="4"/>
        <v>33</v>
      </c>
      <c r="B47" s="523" t="str">
        <f>IF('As-Filed Schedule 1C'!B47:C47=0,"",'As-Filed Schedule 1C'!B47:C47)</f>
        <v>22 - 8371 - Human Resources</v>
      </c>
      <c r="C47" s="523"/>
      <c r="D47" s="180">
        <f>'As-Filed Schedule 1C'!D47</f>
        <v>351929.33096154855</v>
      </c>
      <c r="E47" s="314">
        <f>SUMIFS(Adjustments!$G:$G,Adjustments!$H:$H,"1C",Adjustments!$I:$I,'Schedule 1C Adjustments'!$D$13,Adjustments!$J:$J,'Schedule 1C Adjustments'!A47)</f>
        <v>0</v>
      </c>
      <c r="F47" s="310">
        <f t="shared" si="0"/>
        <v>351929.33096154855</v>
      </c>
      <c r="G47" s="180">
        <f>'As-Filed Schedule 1C'!E47</f>
        <v>4861850.919999999</v>
      </c>
      <c r="H47" s="314">
        <f>SUMIFS(Adjustments!$G:$G,Adjustments!$H:$H,"1C",Adjustments!$I:$I,'Schedule 1C Adjustments'!$G$13,Adjustments!$J:$J,'Schedule 1C Adjustments'!A47)</f>
        <v>0</v>
      </c>
      <c r="I47" s="310">
        <f t="shared" si="1"/>
        <v>4861850.919999999</v>
      </c>
      <c r="J47" s="194">
        <f t="shared" si="2"/>
        <v>0</v>
      </c>
      <c r="K47" s="194">
        <f t="shared" si="3"/>
        <v>0</v>
      </c>
      <c r="L47" s="195">
        <f>IF('As-Filed Schedule 1C'!G47=0,"",'As-Filed Schedule 1C'!G47)</f>
        <v>2</v>
      </c>
      <c r="M47" s="178" t="str">
        <f>IF('As-Filed Schedule 1C'!H47=0,"",'As-Filed Schedule 1C'!H47)</f>
        <v/>
      </c>
      <c r="N47" s="196" t="str">
        <f>IF('As-Filed Schedule 1C'!I47=0,"",'As-Filed Schedule 1C'!I47)</f>
        <v>Vail Health SS Alloc</v>
      </c>
      <c r="O47" s="66"/>
      <c r="Y47" s="67"/>
      <c r="Z47" s="67"/>
      <c r="AA47" s="67"/>
      <c r="AB47" s="67"/>
      <c r="AC47" s="67"/>
    </row>
    <row r="48" spans="1:29" s="4" customFormat="1" ht="15" customHeight="1" x14ac:dyDescent="0.35">
      <c r="A48" s="182">
        <f t="shared" si="4"/>
        <v>34</v>
      </c>
      <c r="B48" s="523" t="str">
        <f>IF('As-Filed Schedule 1C'!B48:C48=0,"",'As-Filed Schedule 1C'!B48:C48)</f>
        <v>22 - 8372 - Property Management</v>
      </c>
      <c r="C48" s="523"/>
      <c r="D48" s="180">
        <f>'As-Filed Schedule 1C'!D48</f>
        <v>88983.460894614007</v>
      </c>
      <c r="E48" s="314">
        <f>SUMIFS(Adjustments!$G:$G,Adjustments!$H:$H,"1C",Adjustments!$I:$I,'Schedule 1C Adjustments'!$D$13,Adjustments!$J:$J,'Schedule 1C Adjustments'!A48)</f>
        <v>0</v>
      </c>
      <c r="F48" s="310">
        <f t="shared" si="0"/>
        <v>88983.460894614007</v>
      </c>
      <c r="G48" s="180">
        <f>'As-Filed Schedule 1C'!E48</f>
        <v>1553733.4900000002</v>
      </c>
      <c r="H48" s="314">
        <f>SUMIFS(Adjustments!$G:$G,Adjustments!$H:$H,"1C",Adjustments!$I:$I,'Schedule 1C Adjustments'!$G$13,Adjustments!$J:$J,'Schedule 1C Adjustments'!A48)</f>
        <v>0</v>
      </c>
      <c r="I48" s="310">
        <f t="shared" si="1"/>
        <v>1553733.4900000002</v>
      </c>
      <c r="J48" s="194">
        <f t="shared" si="2"/>
        <v>0</v>
      </c>
      <c r="K48" s="194">
        <f t="shared" si="3"/>
        <v>0</v>
      </c>
      <c r="L48" s="195">
        <f>IF('As-Filed Schedule 1C'!G48=0,"",'As-Filed Schedule 1C'!G48)</f>
        <v>5</v>
      </c>
      <c r="M48" s="178" t="str">
        <f>IF('As-Filed Schedule 1C'!H48=0,"",'As-Filed Schedule 1C'!H48)</f>
        <v/>
      </c>
      <c r="N48" s="196" t="str">
        <f>IF('As-Filed Schedule 1C'!I48=0,"",'As-Filed Schedule 1C'!I48)</f>
        <v>Vail Health SS Alloc</v>
      </c>
      <c r="O48" s="66"/>
      <c r="Y48" s="67"/>
      <c r="Z48" s="67"/>
      <c r="AA48" s="67"/>
      <c r="AB48" s="67"/>
      <c r="AC48" s="67"/>
    </row>
    <row r="49" spans="1:29" s="4" customFormat="1" ht="15" customHeight="1" x14ac:dyDescent="0.35">
      <c r="A49" s="182">
        <f t="shared" si="4"/>
        <v>35</v>
      </c>
      <c r="B49" s="523" t="str">
        <f>IF('As-Filed Schedule 1C'!B49:C49=0,"",'As-Filed Schedule 1C'!B49:C49)</f>
        <v>22 - 8379 - Property Management Dillon</v>
      </c>
      <c r="C49" s="523"/>
      <c r="D49" s="180">
        <f>'As-Filed Schedule 1C'!D49</f>
        <v>4486.4616833330811</v>
      </c>
      <c r="E49" s="314">
        <f>SUMIFS(Adjustments!$G:$G,Adjustments!$H:$H,"1C",Adjustments!$I:$I,'Schedule 1C Adjustments'!$D$13,Adjustments!$J:$J,'Schedule 1C Adjustments'!A49)</f>
        <v>0</v>
      </c>
      <c r="F49" s="310">
        <f t="shared" si="0"/>
        <v>4486.4616833330811</v>
      </c>
      <c r="G49" s="180">
        <f>'As-Filed Schedule 1C'!E49</f>
        <v>69697.179999999993</v>
      </c>
      <c r="H49" s="314">
        <f>SUMIFS(Adjustments!$G:$G,Adjustments!$H:$H,"1C",Adjustments!$I:$I,'Schedule 1C Adjustments'!$G$13,Adjustments!$J:$J,'Schedule 1C Adjustments'!A49)</f>
        <v>0</v>
      </c>
      <c r="I49" s="310">
        <f t="shared" si="1"/>
        <v>69697.179999999993</v>
      </c>
      <c r="J49" s="194">
        <f t="shared" si="2"/>
        <v>0</v>
      </c>
      <c r="K49" s="194">
        <f t="shared" si="3"/>
        <v>0</v>
      </c>
      <c r="L49" s="195">
        <f>IF('As-Filed Schedule 1C'!G49=0,"",'As-Filed Schedule 1C'!G49)</f>
        <v>2</v>
      </c>
      <c r="M49" s="178" t="str">
        <f>IF('As-Filed Schedule 1C'!H49=0,"",'As-Filed Schedule 1C'!H49)</f>
        <v/>
      </c>
      <c r="N49" s="196" t="str">
        <f>IF('As-Filed Schedule 1C'!I49=0,"",'As-Filed Schedule 1C'!I49)</f>
        <v>Vail Health SS Alloc</v>
      </c>
      <c r="O49" s="66"/>
      <c r="Y49" s="67"/>
      <c r="Z49" s="67"/>
      <c r="AA49" s="67"/>
      <c r="AB49" s="67"/>
      <c r="AC49" s="67"/>
    </row>
    <row r="50" spans="1:29" s="4" customFormat="1" ht="15" customHeight="1" x14ac:dyDescent="0.35">
      <c r="A50" s="182">
        <f t="shared" si="4"/>
        <v>36</v>
      </c>
      <c r="B50" s="523" t="str">
        <f>IF('As-Filed Schedule 1C'!B50:C50=0,"",'As-Filed Schedule 1C'!B50:C50)</f>
        <v>22 - 8380 - Benefits Department</v>
      </c>
      <c r="C50" s="523"/>
      <c r="D50" s="180">
        <f>'As-Filed Schedule 1C'!D50</f>
        <v>-37991.806491262752</v>
      </c>
      <c r="E50" s="314">
        <f>SUMIFS(Adjustments!$G:$G,Adjustments!$H:$H,"1C",Adjustments!$I:$I,'Schedule 1C Adjustments'!$D$13,Adjustments!$J:$J,'Schedule 1C Adjustments'!A50)</f>
        <v>0</v>
      </c>
      <c r="F50" s="310">
        <f t="shared" si="0"/>
        <v>-37991.806491262752</v>
      </c>
      <c r="G50" s="180">
        <f>'As-Filed Schedule 1C'!E50</f>
        <v>-568055.21</v>
      </c>
      <c r="H50" s="314">
        <f>SUMIFS(Adjustments!$G:$G,Adjustments!$H:$H,"1C",Adjustments!$I:$I,'Schedule 1C Adjustments'!$G$13,Adjustments!$J:$J,'Schedule 1C Adjustments'!A50)</f>
        <v>0</v>
      </c>
      <c r="I50" s="310">
        <f t="shared" si="1"/>
        <v>-568055.21</v>
      </c>
      <c r="J50" s="194">
        <f t="shared" si="2"/>
        <v>530063.40350873722</v>
      </c>
      <c r="K50" s="194">
        <f t="shared" si="3"/>
        <v>530063.40350873722</v>
      </c>
      <c r="L50" s="195">
        <f>IF('As-Filed Schedule 1C'!G50=0,"",'As-Filed Schedule 1C'!G50)</f>
        <v>2</v>
      </c>
      <c r="M50" s="178" t="str">
        <f>IF('As-Filed Schedule 1C'!H50=0,"",'As-Filed Schedule 1C'!H50)</f>
        <v/>
      </c>
      <c r="N50" s="196" t="str">
        <f>IF('As-Filed Schedule 1C'!I50=0,"",'As-Filed Schedule 1C'!I50)</f>
        <v>Vail Health SS Alloc</v>
      </c>
      <c r="O50" s="66"/>
      <c r="Y50" s="67"/>
      <c r="Z50" s="67"/>
      <c r="AA50" s="67"/>
      <c r="AB50" s="67"/>
      <c r="AC50" s="67"/>
    </row>
    <row r="51" spans="1:29" s="4" customFormat="1" ht="15" customHeight="1" x14ac:dyDescent="0.35">
      <c r="A51" s="182">
        <f t="shared" si="4"/>
        <v>37</v>
      </c>
      <c r="B51" s="523" t="str">
        <f>IF('As-Filed Schedule 1C'!B51:C51=0,"",'As-Filed Schedule 1C'!B51:C51)</f>
        <v/>
      </c>
      <c r="C51" s="523"/>
      <c r="D51" s="180">
        <f>'As-Filed Schedule 1C'!D51</f>
        <v>0</v>
      </c>
      <c r="E51" s="314">
        <f>SUMIFS(Adjustments!$G:$G,Adjustments!$H:$H,"1C",Adjustments!$I:$I,'Schedule 1C Adjustments'!$D$13,Adjustments!$J:$J,'Schedule 1C Adjustments'!A51)</f>
        <v>0</v>
      </c>
      <c r="F51" s="310">
        <f t="shared" si="0"/>
        <v>0</v>
      </c>
      <c r="G51" s="180">
        <f>'As-Filed Schedule 1C'!E51</f>
        <v>0</v>
      </c>
      <c r="H51" s="314">
        <f>SUMIFS(Adjustments!$G:$G,Adjustments!$H:$H,"1C",Adjustments!$I:$I,'Schedule 1C Adjustments'!$G$13,Adjustments!$J:$J,'Schedule 1C Adjustments'!A51)</f>
        <v>0</v>
      </c>
      <c r="I51" s="310">
        <f t="shared" si="1"/>
        <v>0</v>
      </c>
      <c r="J51" s="194">
        <f t="shared" si="2"/>
        <v>0</v>
      </c>
      <c r="K51" s="194">
        <f t="shared" si="3"/>
        <v>0</v>
      </c>
      <c r="L51" s="195">
        <f>IF('As-Filed Schedule 1C'!G51=0,"",'As-Filed Schedule 1C'!G51)</f>
        <v>2</v>
      </c>
      <c r="M51" s="178" t="str">
        <f>IF('As-Filed Schedule 1C'!H51=0,"",'As-Filed Schedule 1C'!H51)</f>
        <v/>
      </c>
      <c r="N51" s="196" t="str">
        <f>IF('As-Filed Schedule 1C'!I51=0,"",'As-Filed Schedule 1C'!I51)</f>
        <v>Vail Health SS Alloc</v>
      </c>
      <c r="O51" s="66"/>
      <c r="Y51" s="67"/>
      <c r="Z51" s="67"/>
      <c r="AA51" s="67"/>
      <c r="AB51" s="67"/>
      <c r="AC51" s="67"/>
    </row>
    <row r="52" spans="1:29" s="4" customFormat="1" ht="15" customHeight="1" x14ac:dyDescent="0.35">
      <c r="A52" s="182">
        <f t="shared" si="4"/>
        <v>38</v>
      </c>
      <c r="B52" s="523" t="str">
        <f>IF('As-Filed Schedule 1C'!B52:C52=0,"",'As-Filed Schedule 1C'!B52:C52)</f>
        <v>EVBH Executive Director Salary Reallocation to Direct Pay</v>
      </c>
      <c r="C52" s="523"/>
      <c r="D52" s="180">
        <f>'As-Filed Schedule 1C'!D52</f>
        <v>23208</v>
      </c>
      <c r="E52" s="314">
        <f>SUMIFS(Adjustments!$G:$G,Adjustments!$H:$H,"1C",Adjustments!$I:$I,'Schedule 1C Adjustments'!$D$13,Adjustments!$J:$J,'Schedule 1C Adjustments'!A52)</f>
        <v>95495</v>
      </c>
      <c r="F52" s="310">
        <f t="shared" si="0"/>
        <v>118703</v>
      </c>
      <c r="G52" s="180">
        <f>'As-Filed Schedule 1C'!E52</f>
        <v>0</v>
      </c>
      <c r="H52" s="314">
        <f>SUMIFS(Adjustments!$G:$G,Adjustments!$H:$H,"1C",Adjustments!$I:$I,'Schedule 1C Adjustments'!$G$13,Adjustments!$J:$J,'Schedule 1C Adjustments'!A52)</f>
        <v>118703</v>
      </c>
      <c r="I52" s="310">
        <f t="shared" si="1"/>
        <v>118703</v>
      </c>
      <c r="J52" s="194">
        <f>IF(G52-D52&lt;0,0,G52-D52)</f>
        <v>0</v>
      </c>
      <c r="K52" s="194">
        <f t="shared" si="3"/>
        <v>0</v>
      </c>
      <c r="L52" s="195">
        <f>IF('As-Filed Schedule 1C'!G52=0,"",'As-Filed Schedule 1C'!G52)</f>
        <v>2</v>
      </c>
      <c r="M52" s="178" t="str">
        <f>IF('As-Filed Schedule 1C'!H52=0,"",'As-Filed Schedule 1C'!H52)</f>
        <v/>
      </c>
      <c r="N52" s="196" t="str">
        <f>IF('As-Filed Schedule 1C'!I52=0,"",'As-Filed Schedule 1C'!I52)</f>
        <v>Vail Health SS Alloc</v>
      </c>
      <c r="O52" s="66"/>
      <c r="Y52" s="67"/>
      <c r="Z52" s="67"/>
      <c r="AA52" s="67"/>
      <c r="AB52" s="67"/>
      <c r="AC52" s="67"/>
    </row>
    <row r="53" spans="1:29" s="4" customFormat="1" ht="15" customHeight="1" x14ac:dyDescent="0.35">
      <c r="A53" s="182">
        <f t="shared" si="4"/>
        <v>39</v>
      </c>
      <c r="B53" s="603" t="str">
        <f>IF('As-Filed Schedule 1C'!B53:C53=0,"",'As-Filed Schedule 1C'!B53:C53)</f>
        <v xml:space="preserve">Admin's Unallowed Portion </v>
      </c>
      <c r="C53" s="603"/>
      <c r="D53" s="180">
        <f>'As-Filed Schedule 1C'!D53</f>
        <v>78668</v>
      </c>
      <c r="E53" s="314">
        <f>SUMIFS(Adjustments!$G:$G,Adjustments!$H:$H,"1C",Adjustments!$I:$I,'Schedule 1C Adjustments'!$D$13,Adjustments!$J:$J,'Schedule 1C Adjustments'!A53)</f>
        <v>-78668</v>
      </c>
      <c r="F53" s="310">
        <f t="shared" si="0"/>
        <v>0</v>
      </c>
      <c r="G53" s="180">
        <f>'As-Filed Schedule 1C'!E53</f>
        <v>0</v>
      </c>
      <c r="H53" s="314">
        <f>SUMIFS(Adjustments!$G:$G,Adjustments!$H:$H,"1C",Adjustments!$I:$I,'Schedule 1C Adjustments'!$G$13,Adjustments!$J:$J,'Schedule 1C Adjustments'!A53)</f>
        <v>0</v>
      </c>
      <c r="I53" s="310">
        <f t="shared" si="1"/>
        <v>0</v>
      </c>
      <c r="J53" s="194">
        <f t="shared" si="2"/>
        <v>78668</v>
      </c>
      <c r="K53" s="194">
        <f t="shared" si="3"/>
        <v>0</v>
      </c>
      <c r="L53" s="195">
        <f>IF('As-Filed Schedule 1C'!G53=0,"",'As-Filed Schedule 1C'!G53)</f>
        <v>5</v>
      </c>
      <c r="M53" s="178" t="str">
        <f>IF('As-Filed Schedule 1C'!H53=0,"",'As-Filed Schedule 1C'!H53)</f>
        <v/>
      </c>
      <c r="N53" s="196" t="str">
        <f>IF('As-Filed Schedule 1C'!I53=0,"",'As-Filed Schedule 1C'!I53)</f>
        <v/>
      </c>
      <c r="O53" s="66"/>
      <c r="Y53" s="67"/>
      <c r="Z53" s="67"/>
      <c r="AA53" s="67"/>
      <c r="AB53" s="67"/>
      <c r="AC53" s="67"/>
    </row>
    <row r="54" spans="1:29" s="4" customFormat="1" ht="15" customHeight="1" x14ac:dyDescent="0.35">
      <c r="A54" s="182">
        <f t="shared" si="4"/>
        <v>40</v>
      </c>
      <c r="B54" s="523" t="str">
        <f>IF('As-Filed Schedule 1C'!B54:C54=0,"",'As-Filed Schedule 1C'!B54:C54)</f>
        <v/>
      </c>
      <c r="C54" s="523"/>
      <c r="D54" s="180">
        <f>'As-Filed Schedule 1C'!D54</f>
        <v>0</v>
      </c>
      <c r="E54" s="314">
        <f>SUMIFS(Adjustments!$G:$G,Adjustments!$H:$H,"1C",Adjustments!$I:$I,'Schedule 1C Adjustments'!$D$13,Adjustments!$J:$J,'Schedule 1C Adjustments'!A54)</f>
        <v>0</v>
      </c>
      <c r="F54" s="310">
        <f t="shared" si="0"/>
        <v>0</v>
      </c>
      <c r="G54" s="180">
        <f>'As-Filed Schedule 1C'!E54</f>
        <v>0</v>
      </c>
      <c r="H54" s="314">
        <f>SUMIFS(Adjustments!$G:$G,Adjustments!$H:$H,"1C",Adjustments!$I:$I,'Schedule 1C Adjustments'!$G$13,Adjustments!$J:$J,'Schedule 1C Adjustments'!A54)</f>
        <v>0</v>
      </c>
      <c r="I54" s="310">
        <f t="shared" si="1"/>
        <v>0</v>
      </c>
      <c r="J54" s="194">
        <f t="shared" si="2"/>
        <v>0</v>
      </c>
      <c r="K54" s="194">
        <f t="shared" si="3"/>
        <v>0</v>
      </c>
      <c r="L54" s="195" t="str">
        <f>IF('As-Filed Schedule 1C'!G54=0,"",'As-Filed Schedule 1C'!G54)</f>
        <v/>
      </c>
      <c r="M54" s="178" t="str">
        <f>IF('As-Filed Schedule 1C'!H54=0,"",'As-Filed Schedule 1C'!H54)</f>
        <v/>
      </c>
      <c r="N54" s="196" t="str">
        <f>IF('As-Filed Schedule 1C'!I54=0,"",'As-Filed Schedule 1C'!I54)</f>
        <v/>
      </c>
      <c r="O54" s="66"/>
      <c r="Y54" s="67"/>
      <c r="Z54" s="67"/>
      <c r="AA54" s="67"/>
      <c r="AB54" s="67"/>
      <c r="AC54" s="67"/>
    </row>
    <row r="55" spans="1:29" s="4" customFormat="1" ht="15" customHeight="1" x14ac:dyDescent="0.35">
      <c r="A55" s="182">
        <f t="shared" si="4"/>
        <v>41</v>
      </c>
      <c r="B55" s="523" t="str">
        <f>IF('As-Filed Schedule 1C'!B55:C55=0,"",'As-Filed Schedule 1C'!B55:C55)</f>
        <v/>
      </c>
      <c r="C55" s="523"/>
      <c r="D55" s="180">
        <f>'As-Filed Schedule 1C'!D55</f>
        <v>0</v>
      </c>
      <c r="E55" s="314">
        <f>SUMIFS(Adjustments!$G:$G,Adjustments!$H:$H,"1C",Adjustments!$I:$I,'Schedule 1C Adjustments'!$D$13,Adjustments!$J:$J,'Schedule 1C Adjustments'!A55)</f>
        <v>0</v>
      </c>
      <c r="F55" s="310">
        <f t="shared" si="0"/>
        <v>0</v>
      </c>
      <c r="G55" s="180">
        <f>'As-Filed Schedule 1C'!E55</f>
        <v>0</v>
      </c>
      <c r="H55" s="314">
        <f>SUMIFS(Adjustments!$G:$G,Adjustments!$H:$H,"1C",Adjustments!$I:$I,'Schedule 1C Adjustments'!$G$13,Adjustments!$J:$J,'Schedule 1C Adjustments'!A55)</f>
        <v>0</v>
      </c>
      <c r="I55" s="310">
        <f t="shared" si="1"/>
        <v>0</v>
      </c>
      <c r="J55" s="194">
        <f t="shared" si="2"/>
        <v>0</v>
      </c>
      <c r="K55" s="194">
        <f t="shared" si="3"/>
        <v>0</v>
      </c>
      <c r="L55" s="195" t="str">
        <f>IF('As-Filed Schedule 1C'!G55=0,"",'As-Filed Schedule 1C'!G55)</f>
        <v/>
      </c>
      <c r="M55" s="178" t="str">
        <f>IF('As-Filed Schedule 1C'!H55=0,"",'As-Filed Schedule 1C'!H55)</f>
        <v/>
      </c>
      <c r="N55" s="196" t="str">
        <f>IF('As-Filed Schedule 1C'!I55=0,"",'As-Filed Schedule 1C'!I55)</f>
        <v/>
      </c>
      <c r="O55" s="66"/>
      <c r="Y55" s="67"/>
      <c r="Z55" s="67"/>
      <c r="AA55" s="67"/>
      <c r="AB55" s="67"/>
      <c r="AC55" s="67"/>
    </row>
    <row r="56" spans="1:29" s="4" customFormat="1" ht="15" customHeight="1" x14ac:dyDescent="0.35">
      <c r="A56" s="182">
        <f t="shared" si="4"/>
        <v>42</v>
      </c>
      <c r="B56" s="523" t="str">
        <f>IF('As-Filed Schedule 1C'!B56:C56=0,"",'As-Filed Schedule 1C'!B56:C56)</f>
        <v/>
      </c>
      <c r="C56" s="523"/>
      <c r="D56" s="180">
        <f>'As-Filed Schedule 1C'!D56</f>
        <v>0</v>
      </c>
      <c r="E56" s="314">
        <f>SUMIFS(Adjustments!$G:$G,Adjustments!$H:$H,"1C",Adjustments!$I:$I,'Schedule 1C Adjustments'!$D$13,Adjustments!$J:$J,'Schedule 1C Adjustments'!A56)</f>
        <v>0</v>
      </c>
      <c r="F56" s="310">
        <f t="shared" si="0"/>
        <v>0</v>
      </c>
      <c r="G56" s="180">
        <f>'As-Filed Schedule 1C'!E56</f>
        <v>0</v>
      </c>
      <c r="H56" s="314">
        <f>SUMIFS(Adjustments!$G:$G,Adjustments!$H:$H,"1C",Adjustments!$I:$I,'Schedule 1C Adjustments'!$G$13,Adjustments!$J:$J,'Schedule 1C Adjustments'!A56)</f>
        <v>0</v>
      </c>
      <c r="I56" s="310">
        <f t="shared" si="1"/>
        <v>0</v>
      </c>
      <c r="J56" s="194">
        <f t="shared" si="2"/>
        <v>0</v>
      </c>
      <c r="K56" s="194">
        <f t="shared" si="3"/>
        <v>0</v>
      </c>
      <c r="L56" s="195" t="str">
        <f>IF('As-Filed Schedule 1C'!G56=0,"",'As-Filed Schedule 1C'!G56)</f>
        <v/>
      </c>
      <c r="M56" s="178" t="str">
        <f>IF('As-Filed Schedule 1C'!H56=0,"",'As-Filed Schedule 1C'!H56)</f>
        <v/>
      </c>
      <c r="N56" s="196" t="str">
        <f>IF('As-Filed Schedule 1C'!I56=0,"",'As-Filed Schedule 1C'!I56)</f>
        <v/>
      </c>
      <c r="O56" s="66"/>
      <c r="Y56" s="67"/>
      <c r="Z56" s="67"/>
      <c r="AA56" s="67"/>
      <c r="AB56" s="67"/>
      <c r="AC56" s="67"/>
    </row>
    <row r="57" spans="1:29" s="4" customFormat="1" ht="15" customHeight="1" x14ac:dyDescent="0.35">
      <c r="A57" s="182">
        <f t="shared" si="4"/>
        <v>43</v>
      </c>
      <c r="B57" s="523" t="str">
        <f>IF('As-Filed Schedule 1C'!B57:C57=0,"",'As-Filed Schedule 1C'!B57:C57)</f>
        <v/>
      </c>
      <c r="C57" s="523"/>
      <c r="D57" s="180">
        <f>'As-Filed Schedule 1C'!D57</f>
        <v>0</v>
      </c>
      <c r="E57" s="314">
        <f>SUMIFS(Adjustments!$G:$G,Adjustments!$H:$H,"1C",Adjustments!$I:$I,'Schedule 1C Adjustments'!$D$13,Adjustments!$J:$J,'Schedule 1C Adjustments'!A57)</f>
        <v>0</v>
      </c>
      <c r="F57" s="310">
        <f t="shared" si="0"/>
        <v>0</v>
      </c>
      <c r="G57" s="180">
        <f>'As-Filed Schedule 1C'!E57</f>
        <v>0</v>
      </c>
      <c r="H57" s="314">
        <f>SUMIFS(Adjustments!$G:$G,Adjustments!$H:$H,"1C",Adjustments!$I:$I,'Schedule 1C Adjustments'!$G$13,Adjustments!$J:$J,'Schedule 1C Adjustments'!A57)</f>
        <v>0</v>
      </c>
      <c r="I57" s="310">
        <f t="shared" si="1"/>
        <v>0</v>
      </c>
      <c r="J57" s="194">
        <f t="shared" si="2"/>
        <v>0</v>
      </c>
      <c r="K57" s="194">
        <f t="shared" si="3"/>
        <v>0</v>
      </c>
      <c r="L57" s="195" t="str">
        <f>IF('As-Filed Schedule 1C'!G57=0,"",'As-Filed Schedule 1C'!G57)</f>
        <v/>
      </c>
      <c r="M57" s="178" t="str">
        <f>IF('As-Filed Schedule 1C'!H57=0,"",'As-Filed Schedule 1C'!H57)</f>
        <v/>
      </c>
      <c r="N57" s="196" t="str">
        <f>IF('As-Filed Schedule 1C'!I57=0,"",'As-Filed Schedule 1C'!I57)</f>
        <v/>
      </c>
      <c r="O57" s="66"/>
      <c r="Y57" s="67"/>
      <c r="Z57" s="67"/>
      <c r="AA57" s="67"/>
      <c r="AB57" s="67"/>
      <c r="AC57" s="67"/>
    </row>
    <row r="58" spans="1:29" s="4" customFormat="1" ht="15" customHeight="1" x14ac:dyDescent="0.35">
      <c r="A58" s="182">
        <f t="shared" si="4"/>
        <v>44</v>
      </c>
      <c r="B58" s="523" t="str">
        <f>IF('As-Filed Schedule 1C'!B58:C58=0,"",'As-Filed Schedule 1C'!B58:C58)</f>
        <v/>
      </c>
      <c r="C58" s="523"/>
      <c r="D58" s="180">
        <f>'As-Filed Schedule 1C'!D58</f>
        <v>0</v>
      </c>
      <c r="E58" s="314">
        <f>SUMIFS(Adjustments!$G:$G,Adjustments!$H:$H,"1C",Adjustments!$I:$I,'Schedule 1C Adjustments'!$D$13,Adjustments!$J:$J,'Schedule 1C Adjustments'!A58)</f>
        <v>0</v>
      </c>
      <c r="F58" s="310">
        <f t="shared" si="0"/>
        <v>0</v>
      </c>
      <c r="G58" s="180">
        <f>'As-Filed Schedule 1C'!E58</f>
        <v>0</v>
      </c>
      <c r="H58" s="314">
        <f>SUMIFS(Adjustments!$G:$G,Adjustments!$H:$H,"1C",Adjustments!$I:$I,'Schedule 1C Adjustments'!$G$13,Adjustments!$J:$J,'Schedule 1C Adjustments'!A58)</f>
        <v>0</v>
      </c>
      <c r="I58" s="310">
        <f t="shared" si="1"/>
        <v>0</v>
      </c>
      <c r="J58" s="194">
        <f t="shared" si="2"/>
        <v>0</v>
      </c>
      <c r="K58" s="194">
        <f t="shared" si="3"/>
        <v>0</v>
      </c>
      <c r="L58" s="195" t="str">
        <f>IF('As-Filed Schedule 1C'!G58=0,"",'As-Filed Schedule 1C'!G58)</f>
        <v/>
      </c>
      <c r="M58" s="178" t="str">
        <f>IF('As-Filed Schedule 1C'!H58=0,"",'As-Filed Schedule 1C'!H58)</f>
        <v/>
      </c>
      <c r="N58" s="196" t="str">
        <f>IF('As-Filed Schedule 1C'!I58=0,"",'As-Filed Schedule 1C'!I58)</f>
        <v/>
      </c>
      <c r="O58" s="66"/>
      <c r="Y58" s="67"/>
      <c r="Z58" s="67"/>
      <c r="AA58" s="67"/>
      <c r="AB58" s="67"/>
      <c r="AC58" s="67"/>
    </row>
    <row r="59" spans="1:29" s="4" customFormat="1" ht="15" customHeight="1" x14ac:dyDescent="0.35">
      <c r="A59" s="182">
        <f t="shared" si="4"/>
        <v>45</v>
      </c>
      <c r="B59" s="523" t="str">
        <f>IF('As-Filed Schedule 1C'!B59:C59=0,"",'As-Filed Schedule 1C'!B59:C59)</f>
        <v/>
      </c>
      <c r="C59" s="523"/>
      <c r="D59" s="180">
        <f>'As-Filed Schedule 1C'!D59</f>
        <v>0</v>
      </c>
      <c r="E59" s="314">
        <f>SUMIFS(Adjustments!$G:$G,Adjustments!$H:$H,"1C",Adjustments!$I:$I,'Schedule 1C Adjustments'!$D$13,Adjustments!$J:$J,'Schedule 1C Adjustments'!A59)</f>
        <v>0</v>
      </c>
      <c r="F59" s="310">
        <f t="shared" si="0"/>
        <v>0</v>
      </c>
      <c r="G59" s="180">
        <f>'As-Filed Schedule 1C'!E59</f>
        <v>0</v>
      </c>
      <c r="H59" s="314">
        <f>SUMIFS(Adjustments!$G:$G,Adjustments!$H:$H,"1C",Adjustments!$I:$I,'Schedule 1C Adjustments'!$G$13,Adjustments!$J:$J,'Schedule 1C Adjustments'!A59)</f>
        <v>0</v>
      </c>
      <c r="I59" s="310">
        <f t="shared" si="1"/>
        <v>0</v>
      </c>
      <c r="J59" s="194">
        <f t="shared" si="2"/>
        <v>0</v>
      </c>
      <c r="K59" s="194">
        <f t="shared" si="3"/>
        <v>0</v>
      </c>
      <c r="L59" s="195" t="str">
        <f>IF('As-Filed Schedule 1C'!G59=0,"",'As-Filed Schedule 1C'!G59)</f>
        <v/>
      </c>
      <c r="M59" s="178" t="str">
        <f>IF('As-Filed Schedule 1C'!H59=0,"",'As-Filed Schedule 1C'!H59)</f>
        <v/>
      </c>
      <c r="N59" s="196" t="str">
        <f>IF('As-Filed Schedule 1C'!I59=0,"",'As-Filed Schedule 1C'!I59)</f>
        <v/>
      </c>
      <c r="O59" s="66"/>
      <c r="Y59" s="67"/>
      <c r="Z59" s="67"/>
      <c r="AA59" s="67"/>
      <c r="AB59" s="67"/>
      <c r="AC59" s="67"/>
    </row>
    <row r="60" spans="1:29" s="4" customFormat="1" ht="15" customHeight="1" x14ac:dyDescent="0.35">
      <c r="A60" s="182">
        <f t="shared" si="4"/>
        <v>46</v>
      </c>
      <c r="B60" s="523" t="str">
        <f>IF('As-Filed Schedule 1C'!B60:C60=0,"",'As-Filed Schedule 1C'!B60:C60)</f>
        <v>Net of Unallowed</v>
      </c>
      <c r="C60" s="523"/>
      <c r="D60" s="180">
        <f>'As-Filed Schedule 1C'!D60</f>
        <v>3944690.7862894782</v>
      </c>
      <c r="E60" s="314">
        <f>SUMIFS(Adjustments!$G:$G,Adjustments!$H:$H,"1C",Adjustments!$I:$I,'Schedule 1C Adjustments'!$D$13,Adjustments!$J:$J,'Schedule 1C Adjustments'!A60)</f>
        <v>0</v>
      </c>
      <c r="F60" s="310">
        <f t="shared" si="0"/>
        <v>3944690.7862894782</v>
      </c>
      <c r="G60" s="180">
        <f>'As-Filed Schedule 1C'!E60</f>
        <v>83915059.960000008</v>
      </c>
      <c r="H60" s="314">
        <f>SUMIFS(Adjustments!$G:$G,Adjustments!$H:$H,"1C",Adjustments!$I:$I,'Schedule 1C Adjustments'!$G$13,Adjustments!$J:$J,'Schedule 1C Adjustments'!A60)</f>
        <v>0</v>
      </c>
      <c r="I60" s="310">
        <f t="shared" si="1"/>
        <v>83915059.960000008</v>
      </c>
      <c r="J60" s="194">
        <f t="shared" si="2"/>
        <v>0</v>
      </c>
      <c r="K60" s="194">
        <f t="shared" si="3"/>
        <v>0</v>
      </c>
      <c r="L60" s="195" t="str">
        <f>IF('As-Filed Schedule 1C'!G60=0,"",'As-Filed Schedule 1C'!G60)</f>
        <v/>
      </c>
      <c r="M60" s="178" t="str">
        <f>IF('As-Filed Schedule 1C'!H60=0,"",'As-Filed Schedule 1C'!H60)</f>
        <v/>
      </c>
      <c r="N60" s="196" t="str">
        <f>IF('As-Filed Schedule 1C'!I60=0,"",'As-Filed Schedule 1C'!I60)</f>
        <v/>
      </c>
      <c r="O60" s="66"/>
      <c r="Y60" s="67"/>
      <c r="Z60" s="67"/>
      <c r="AA60" s="67"/>
      <c r="AB60" s="67"/>
      <c r="AC60" s="67"/>
    </row>
    <row r="61" spans="1:29" s="4" customFormat="1" ht="15" customHeight="1" x14ac:dyDescent="0.35">
      <c r="A61" s="182">
        <f t="shared" si="4"/>
        <v>47</v>
      </c>
      <c r="B61" s="315" t="s">
        <v>598</v>
      </c>
      <c r="C61" s="191"/>
      <c r="D61" s="197"/>
      <c r="E61" s="197"/>
      <c r="F61" s="197"/>
      <c r="G61" s="191"/>
      <c r="H61" s="191"/>
      <c r="I61" s="191"/>
      <c r="J61" s="185">
        <f>SUM(J15:J60)</f>
        <v>608731.40350873722</v>
      </c>
      <c r="K61" s="185">
        <f>SUM(K15:K60)</f>
        <v>530063.40350873722</v>
      </c>
      <c r="L61" s="191"/>
      <c r="M61" s="198"/>
      <c r="N61" s="191"/>
      <c r="O61" s="66"/>
      <c r="Y61" s="67"/>
      <c r="Z61" s="67"/>
      <c r="AA61" s="67"/>
      <c r="AB61" s="67"/>
      <c r="AC61" s="67"/>
    </row>
    <row r="62" spans="1:29" s="4" customFormat="1" ht="15" customHeight="1" x14ac:dyDescent="0.35">
      <c r="A62" s="199"/>
      <c r="B62" s="191"/>
      <c r="C62" s="191"/>
      <c r="D62" s="197"/>
      <c r="E62" s="197"/>
      <c r="F62" s="197"/>
      <c r="G62" s="191"/>
      <c r="H62" s="191"/>
      <c r="I62" s="191"/>
      <c r="J62" s="191"/>
      <c r="K62" s="317"/>
      <c r="L62" s="191"/>
      <c r="M62" s="198"/>
      <c r="N62" s="191"/>
      <c r="O62" s="66"/>
      <c r="Y62" s="67"/>
      <c r="Z62" s="67"/>
      <c r="AA62" s="67"/>
      <c r="AB62" s="67"/>
      <c r="AC62" s="67"/>
    </row>
    <row r="63" spans="1:29" x14ac:dyDescent="0.35">
      <c r="A63" s="182">
        <v>12</v>
      </c>
      <c r="B63" s="100"/>
      <c r="C63" s="100"/>
      <c r="D63" s="100"/>
      <c r="E63" s="100"/>
      <c r="F63" s="100"/>
      <c r="H63" s="184"/>
      <c r="I63" s="184" t="s">
        <v>184</v>
      </c>
      <c r="J63" s="185">
        <f>SUMIF($L$15:$L$60,2,$J$15:$J$60)</f>
        <v>530063.40350873722</v>
      </c>
      <c r="K63" s="185">
        <f>SUMIF($L$15:$L$60,2,$K$15:$K$60)</f>
        <v>530063.40350873722</v>
      </c>
      <c r="L63" s="191"/>
      <c r="M63" s="100"/>
      <c r="N63" s="100"/>
    </row>
    <row r="64" spans="1:29" x14ac:dyDescent="0.35">
      <c r="A64" s="182">
        <v>13</v>
      </c>
      <c r="B64" s="100"/>
      <c r="C64" s="100"/>
      <c r="D64" s="100"/>
      <c r="E64" s="100"/>
      <c r="F64" s="100"/>
      <c r="H64" s="184"/>
      <c r="I64" s="184" t="s">
        <v>182</v>
      </c>
      <c r="J64" s="185">
        <f>SUMIF($L$15:$L$60,3,$J$15:$J$60)</f>
        <v>0</v>
      </c>
      <c r="K64" s="185">
        <f>SUMIF($L$15:$L$60,3,$K$15:$K$60)</f>
        <v>0</v>
      </c>
      <c r="L64" s="191"/>
      <c r="M64" s="100"/>
      <c r="N64" s="100"/>
    </row>
    <row r="65" spans="1:29" x14ac:dyDescent="0.35">
      <c r="A65" s="182">
        <f t="shared" si="4"/>
        <v>14</v>
      </c>
      <c r="B65" s="100"/>
      <c r="C65" s="100"/>
      <c r="D65" s="100"/>
      <c r="E65" s="100"/>
      <c r="F65" s="100"/>
      <c r="H65" s="184"/>
      <c r="I65" s="184" t="s">
        <v>183</v>
      </c>
      <c r="J65" s="185">
        <f>SUMIF($L$15:$L$60,4,$J$15:$J$60)</f>
        <v>0</v>
      </c>
      <c r="K65" s="185">
        <f>SUMIF($L$15:$L$60,4,$K$15:$K$60)</f>
        <v>0</v>
      </c>
      <c r="L65" s="191"/>
      <c r="M65" s="100"/>
      <c r="N65" s="100"/>
    </row>
    <row r="66" spans="1:29" x14ac:dyDescent="0.35">
      <c r="A66" s="182">
        <f t="shared" si="4"/>
        <v>15</v>
      </c>
      <c r="B66" s="100"/>
      <c r="C66" s="100"/>
      <c r="D66" s="100"/>
      <c r="E66" s="100"/>
      <c r="F66" s="100"/>
      <c r="H66" s="184"/>
      <c r="I66" s="184" t="s">
        <v>185</v>
      </c>
      <c r="J66" s="185">
        <f>SUMIF($L$15:$L$60,5,$J$15:$J$60)</f>
        <v>78668</v>
      </c>
      <c r="K66" s="185">
        <f>SUMIF($L$15:$L$60,5,$K$15:$K$60)</f>
        <v>0</v>
      </c>
      <c r="L66" s="191"/>
      <c r="M66" s="100"/>
      <c r="N66" s="100"/>
    </row>
    <row r="67" spans="1:29" x14ac:dyDescent="0.35">
      <c r="A67" s="100"/>
      <c r="B67" s="100"/>
      <c r="C67" s="100"/>
      <c r="D67" s="100"/>
      <c r="E67" s="100"/>
      <c r="F67" s="100"/>
      <c r="G67" s="100"/>
      <c r="H67" s="100"/>
      <c r="I67" s="100"/>
      <c r="J67" s="186" t="str">
        <f>IF(SUM(J63:J66)&lt;&gt;J61,"error","")</f>
        <v/>
      </c>
      <c r="K67" s="186"/>
      <c r="L67" s="191"/>
      <c r="M67" s="100"/>
      <c r="N67" s="100"/>
    </row>
    <row r="68" spans="1:29" ht="15.65" customHeight="1" x14ac:dyDescent="0.35">
      <c r="A68" s="100"/>
      <c r="B68" s="187"/>
      <c r="C68" s="187"/>
      <c r="D68" s="187"/>
      <c r="E68" s="187"/>
      <c r="F68" s="187"/>
      <c r="G68" s="187"/>
      <c r="H68" s="187"/>
      <c r="I68" s="187"/>
      <c r="J68" s="188" t="s">
        <v>271</v>
      </c>
      <c r="K68" s="188"/>
      <c r="L68" s="188"/>
      <c r="M68" s="187"/>
      <c r="N68" s="187"/>
      <c r="O68" s="64"/>
      <c r="Y68" s="65"/>
      <c r="Z68" s="65"/>
      <c r="AA68" s="65"/>
      <c r="AB68" s="65"/>
      <c r="AC68" s="65"/>
    </row>
    <row r="69" spans="1:29" x14ac:dyDescent="0.35">
      <c r="A69" s="200"/>
      <c r="B69" s="201"/>
      <c r="C69" s="201"/>
      <c r="D69" s="202"/>
      <c r="E69" s="202"/>
      <c r="F69" s="202"/>
      <c r="G69" s="201"/>
      <c r="H69" s="201"/>
      <c r="I69" s="201"/>
      <c r="J69" s="201"/>
      <c r="K69" s="201"/>
      <c r="L69" s="201"/>
      <c r="M69" s="203"/>
      <c r="N69" s="201"/>
      <c r="O69" s="64"/>
      <c r="Y69" s="65"/>
      <c r="Z69" s="65"/>
      <c r="AA69" s="65"/>
      <c r="AB69" s="65"/>
      <c r="AC69" s="65"/>
    </row>
    <row r="70" spans="1:29" ht="15.65" customHeight="1" x14ac:dyDescent="0.35">
      <c r="A70" s="534" t="s">
        <v>923</v>
      </c>
      <c r="B70" s="534"/>
      <c r="C70" s="534"/>
      <c r="D70" s="534"/>
      <c r="E70" s="534"/>
      <c r="F70" s="534"/>
      <c r="G70" s="534"/>
      <c r="H70" s="534"/>
      <c r="I70" s="534"/>
      <c r="J70" s="534"/>
      <c r="K70" s="534"/>
      <c r="L70" s="534"/>
      <c r="M70" s="534"/>
      <c r="N70" s="534"/>
      <c r="O70" s="64"/>
      <c r="Y70" s="65"/>
      <c r="Z70" s="65"/>
      <c r="AA70" s="65"/>
      <c r="AB70" s="65"/>
      <c r="AC70" s="65"/>
    </row>
    <row r="71" spans="1:29" x14ac:dyDescent="0.35">
      <c r="A71" s="534"/>
      <c r="B71" s="534"/>
      <c r="C71" s="534"/>
      <c r="D71" s="534"/>
      <c r="E71" s="534"/>
      <c r="F71" s="534"/>
      <c r="G71" s="534"/>
      <c r="H71" s="534"/>
      <c r="I71" s="534"/>
      <c r="J71" s="534"/>
      <c r="K71" s="534"/>
      <c r="L71" s="534"/>
      <c r="M71" s="534"/>
      <c r="N71" s="534"/>
      <c r="O71" s="64"/>
      <c r="Y71" s="65"/>
      <c r="Z71" s="65"/>
      <c r="AA71" s="65"/>
      <c r="AB71" s="65"/>
      <c r="AC71" s="65"/>
    </row>
    <row r="72" spans="1:29" x14ac:dyDescent="0.35">
      <c r="A72" s="534"/>
      <c r="B72" s="534"/>
      <c r="C72" s="534"/>
      <c r="D72" s="534"/>
      <c r="E72" s="534"/>
      <c r="F72" s="534"/>
      <c r="G72" s="534"/>
      <c r="H72" s="534"/>
      <c r="I72" s="534"/>
      <c r="J72" s="534"/>
      <c r="K72" s="534"/>
      <c r="L72" s="534"/>
      <c r="M72" s="534"/>
      <c r="N72" s="534"/>
      <c r="O72" s="64"/>
      <c r="Y72" s="65"/>
      <c r="Z72" s="65"/>
      <c r="AA72" s="65"/>
      <c r="AB72" s="65"/>
      <c r="AC72" s="65"/>
    </row>
    <row r="73" spans="1:29" x14ac:dyDescent="0.35">
      <c r="A73" s="534"/>
      <c r="B73" s="534"/>
      <c r="C73" s="534"/>
      <c r="D73" s="534"/>
      <c r="E73" s="534"/>
      <c r="F73" s="534"/>
      <c r="G73" s="534"/>
      <c r="H73" s="534"/>
      <c r="I73" s="534"/>
      <c r="J73" s="534"/>
      <c r="K73" s="534"/>
      <c r="L73" s="534"/>
      <c r="M73" s="534"/>
      <c r="N73" s="534"/>
      <c r="O73" s="64"/>
      <c r="Y73" s="65"/>
      <c r="Z73" s="65"/>
      <c r="AA73" s="65"/>
      <c r="AB73" s="65"/>
      <c r="AC73" s="65"/>
    </row>
    <row r="74" spans="1:29" x14ac:dyDescent="0.35">
      <c r="A74" s="534"/>
      <c r="B74" s="534"/>
      <c r="C74" s="534"/>
      <c r="D74" s="534"/>
      <c r="E74" s="534"/>
      <c r="F74" s="534"/>
      <c r="G74" s="534"/>
      <c r="H74" s="534"/>
      <c r="I74" s="534"/>
      <c r="J74" s="534"/>
      <c r="K74" s="534"/>
      <c r="L74" s="534"/>
      <c r="M74" s="534"/>
      <c r="N74" s="534"/>
      <c r="O74" s="64"/>
      <c r="Y74" s="65"/>
      <c r="Z74" s="65"/>
      <c r="AA74" s="65"/>
      <c r="AB74" s="65"/>
      <c r="AC74" s="65"/>
    </row>
    <row r="75" spans="1:29" x14ac:dyDescent="0.35">
      <c r="A75" s="534"/>
      <c r="B75" s="534"/>
      <c r="C75" s="534"/>
      <c r="D75" s="534"/>
      <c r="E75" s="534"/>
      <c r="F75" s="534"/>
      <c r="G75" s="534"/>
      <c r="H75" s="534"/>
      <c r="I75" s="534"/>
      <c r="J75" s="534"/>
      <c r="K75" s="534"/>
      <c r="L75" s="534"/>
      <c r="M75" s="534"/>
      <c r="N75" s="534"/>
      <c r="O75" s="64"/>
      <c r="Y75" s="65"/>
      <c r="Z75" s="65"/>
      <c r="AA75" s="65"/>
      <c r="AB75" s="65"/>
      <c r="AC75" s="65"/>
    </row>
    <row r="76" spans="1:29" ht="14.25" customHeight="1" x14ac:dyDescent="0.35">
      <c r="A76" s="100"/>
      <c r="B76" s="100"/>
      <c r="C76" s="100"/>
      <c r="D76" s="100"/>
      <c r="E76" s="100"/>
      <c r="F76" s="100"/>
      <c r="G76" s="100"/>
      <c r="H76" s="100"/>
      <c r="I76" s="100"/>
      <c r="J76" s="100"/>
      <c r="K76" s="100"/>
      <c r="L76" s="100"/>
      <c r="M76" s="113"/>
      <c r="N76" s="100"/>
    </row>
    <row r="77" spans="1:29" x14ac:dyDescent="0.35">
      <c r="A77" s="100"/>
      <c r="B77" s="100"/>
      <c r="C77" s="100"/>
      <c r="D77" s="100"/>
      <c r="E77" s="100"/>
      <c r="F77" s="100"/>
      <c r="G77" s="100"/>
      <c r="H77" s="100"/>
      <c r="I77" s="100"/>
      <c r="J77" s="100"/>
      <c r="K77" s="100"/>
      <c r="L77" s="100"/>
      <c r="M77" s="113"/>
      <c r="N77" s="100"/>
    </row>
    <row r="78" spans="1:29" x14ac:dyDescent="0.35">
      <c r="A78" s="100"/>
      <c r="B78" s="100"/>
      <c r="C78" s="100"/>
      <c r="D78" s="100"/>
      <c r="E78" s="100"/>
      <c r="F78" s="100"/>
      <c r="G78" s="100"/>
      <c r="H78" s="100"/>
      <c r="I78" s="100"/>
      <c r="J78" s="100"/>
      <c r="K78" s="100"/>
      <c r="L78" s="100"/>
      <c r="M78" s="113"/>
      <c r="N78" s="100"/>
    </row>
    <row r="79" spans="1:29" x14ac:dyDescent="0.35">
      <c r="A79" s="100"/>
      <c r="B79" s="100"/>
      <c r="C79" s="100"/>
      <c r="D79" s="100"/>
      <c r="E79" s="100"/>
      <c r="F79" s="100"/>
      <c r="G79" s="100"/>
      <c r="H79" s="100"/>
      <c r="I79" s="100"/>
      <c r="J79" s="100"/>
      <c r="K79" s="100"/>
      <c r="L79" s="100"/>
      <c r="M79" s="113"/>
      <c r="N79" s="100"/>
    </row>
    <row r="80" spans="1:29"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88" spans="1:14" x14ac:dyDescent="0.35">
      <c r="A88" s="100"/>
      <c r="B88" s="100"/>
      <c r="C88" s="100"/>
      <c r="D88" s="100"/>
      <c r="E88" s="100"/>
      <c r="F88" s="100"/>
      <c r="G88" s="100"/>
      <c r="H88" s="100"/>
      <c r="I88" s="100"/>
      <c r="J88" s="100"/>
      <c r="K88" s="100"/>
      <c r="L88" s="100"/>
      <c r="M88" s="113"/>
      <c r="N88" s="100"/>
    </row>
    <row r="89" spans="1:14" x14ac:dyDescent="0.35">
      <c r="A89" s="100"/>
      <c r="B89" s="100"/>
      <c r="C89" s="100"/>
      <c r="D89" s="100"/>
      <c r="E89" s="100"/>
      <c r="F89" s="100"/>
      <c r="G89" s="100"/>
      <c r="H89" s="100"/>
      <c r="I89" s="100"/>
      <c r="J89" s="100"/>
      <c r="K89" s="100"/>
      <c r="L89" s="100"/>
      <c r="M89" s="113"/>
      <c r="N89" s="100"/>
    </row>
    <row r="90" spans="1:14" x14ac:dyDescent="0.35">
      <c r="A90" s="100"/>
      <c r="B90" s="100"/>
      <c r="C90" s="100"/>
      <c r="D90" s="100"/>
      <c r="E90" s="100"/>
      <c r="F90" s="100"/>
      <c r="G90" s="100"/>
      <c r="H90" s="100"/>
      <c r="I90" s="100"/>
      <c r="J90" s="100"/>
      <c r="K90" s="100"/>
      <c r="L90" s="100"/>
      <c r="M90" s="113"/>
      <c r="N90" s="100"/>
    </row>
    <row r="91" spans="1:14" x14ac:dyDescent="0.35">
      <c r="A91" s="100"/>
      <c r="B91" s="100"/>
      <c r="C91" s="100"/>
      <c r="D91" s="100"/>
      <c r="E91" s="100"/>
      <c r="F91" s="100"/>
      <c r="G91" s="100"/>
      <c r="H91" s="100"/>
      <c r="I91" s="100"/>
      <c r="J91" s="100"/>
      <c r="K91" s="100"/>
      <c r="L91" s="100"/>
      <c r="M91" s="113"/>
      <c r="N91" s="100"/>
    </row>
    <row r="92" spans="1:14" x14ac:dyDescent="0.35">
      <c r="A92" s="100"/>
      <c r="B92" s="100"/>
      <c r="C92" s="100"/>
      <c r="D92" s="100"/>
      <c r="E92" s="100"/>
      <c r="F92" s="100"/>
      <c r="G92" s="100"/>
      <c r="H92" s="100"/>
      <c r="I92" s="100"/>
      <c r="J92" s="100"/>
      <c r="K92" s="100"/>
      <c r="L92" s="100"/>
      <c r="M92" s="113"/>
      <c r="N92" s="100"/>
    </row>
    <row r="93" spans="1:14" x14ac:dyDescent="0.35">
      <c r="A93" s="100"/>
      <c r="B93" s="100"/>
      <c r="C93" s="100"/>
      <c r="D93" s="100"/>
      <c r="E93" s="100"/>
      <c r="F93" s="100"/>
      <c r="G93" s="100"/>
      <c r="H93" s="100"/>
      <c r="I93" s="100"/>
      <c r="J93" s="100"/>
      <c r="K93" s="100"/>
      <c r="L93" s="100"/>
      <c r="M93" s="113"/>
      <c r="N93" s="100"/>
    </row>
    <row r="94" spans="1:14" x14ac:dyDescent="0.35">
      <c r="A94" s="100"/>
      <c r="B94" s="100"/>
      <c r="C94" s="100"/>
      <c r="D94" s="100"/>
      <c r="E94" s="100"/>
      <c r="F94" s="100"/>
      <c r="G94" s="100"/>
      <c r="H94" s="100"/>
      <c r="I94" s="100"/>
      <c r="J94" s="100"/>
      <c r="K94" s="100"/>
      <c r="L94" s="100"/>
      <c r="M94" s="113"/>
      <c r="N94" s="100"/>
    </row>
    <row r="95" spans="1:14" x14ac:dyDescent="0.35">
      <c r="A95" s="100"/>
      <c r="B95" s="100"/>
      <c r="C95" s="100"/>
      <c r="D95" s="100"/>
      <c r="E95" s="100"/>
      <c r="F95" s="100"/>
      <c r="G95" s="100"/>
      <c r="H95" s="100"/>
      <c r="I95" s="100"/>
      <c r="J95" s="100"/>
      <c r="K95" s="100"/>
      <c r="L95" s="100"/>
      <c r="M95" s="113"/>
      <c r="N95" s="100"/>
    </row>
    <row r="96" spans="1:14" x14ac:dyDescent="0.35">
      <c r="A96" s="100"/>
      <c r="B96" s="100"/>
      <c r="C96" s="100"/>
      <c r="D96" s="100"/>
      <c r="E96" s="100"/>
      <c r="F96" s="100"/>
      <c r="G96" s="100"/>
      <c r="H96" s="100"/>
      <c r="I96" s="100"/>
      <c r="J96" s="100"/>
      <c r="K96" s="100"/>
      <c r="L96" s="100"/>
      <c r="M96" s="113"/>
      <c r="N96" s="100"/>
    </row>
    <row r="97" spans="1:14" x14ac:dyDescent="0.35">
      <c r="A97" s="100"/>
      <c r="B97" s="100"/>
      <c r="C97" s="100"/>
      <c r="D97" s="100"/>
      <c r="E97" s="100"/>
      <c r="F97" s="100"/>
      <c r="G97" s="100"/>
      <c r="H97" s="100"/>
      <c r="I97" s="100"/>
      <c r="J97" s="100"/>
      <c r="K97" s="100"/>
      <c r="L97" s="100"/>
      <c r="M97" s="113"/>
      <c r="N97" s="100"/>
    </row>
    <row r="98" spans="1:14" x14ac:dyDescent="0.35">
      <c r="A98" s="100"/>
      <c r="B98" s="100"/>
      <c r="C98" s="100"/>
      <c r="D98" s="100"/>
      <c r="E98" s="100"/>
      <c r="F98" s="100"/>
      <c r="G98" s="100"/>
      <c r="H98" s="100"/>
      <c r="I98" s="100"/>
      <c r="J98" s="100"/>
      <c r="K98" s="100"/>
      <c r="L98" s="100"/>
      <c r="M98" s="113"/>
      <c r="N98" s="100"/>
    </row>
    <row r="99" spans="1:14" x14ac:dyDescent="0.35">
      <c r="A99" s="100"/>
      <c r="B99" s="100"/>
      <c r="C99" s="100"/>
      <c r="D99" s="100"/>
      <c r="E99" s="100"/>
      <c r="F99" s="100"/>
      <c r="G99" s="100"/>
      <c r="H99" s="100"/>
      <c r="I99" s="100"/>
      <c r="J99" s="100"/>
      <c r="K99" s="100"/>
      <c r="L99" s="100"/>
      <c r="M99" s="113"/>
      <c r="N99" s="100"/>
    </row>
    <row r="100" spans="1:14" x14ac:dyDescent="0.35">
      <c r="A100" s="100"/>
      <c r="B100" s="100"/>
      <c r="C100" s="100"/>
      <c r="D100" s="100"/>
      <c r="E100" s="100"/>
      <c r="F100" s="100"/>
      <c r="G100" s="100"/>
      <c r="H100" s="100"/>
      <c r="I100" s="100"/>
      <c r="J100" s="100"/>
      <c r="K100" s="100"/>
      <c r="L100" s="100"/>
      <c r="M100" s="113"/>
      <c r="N100" s="100"/>
    </row>
    <row r="101" spans="1:14" x14ac:dyDescent="0.35">
      <c r="A101" s="100"/>
      <c r="B101" s="100"/>
      <c r="C101" s="100"/>
      <c r="D101" s="100"/>
      <c r="E101" s="100"/>
      <c r="F101" s="100"/>
      <c r="G101" s="100"/>
      <c r="H101" s="100"/>
      <c r="I101" s="100"/>
      <c r="J101" s="100"/>
      <c r="K101" s="100"/>
      <c r="L101" s="100"/>
      <c r="M101" s="113"/>
      <c r="N101" s="100"/>
    </row>
    <row r="102" spans="1:14" x14ac:dyDescent="0.35">
      <c r="A102" s="100"/>
      <c r="B102" s="100"/>
      <c r="C102" s="100"/>
      <c r="D102" s="100"/>
      <c r="E102" s="100"/>
      <c r="F102" s="100"/>
      <c r="G102" s="100"/>
      <c r="H102" s="100"/>
      <c r="I102" s="100"/>
      <c r="J102" s="100"/>
      <c r="K102" s="100"/>
      <c r="L102" s="100"/>
      <c r="M102" s="113"/>
      <c r="N102" s="100"/>
    </row>
    <row r="103" spans="1:14" x14ac:dyDescent="0.35">
      <c r="A103" s="100"/>
      <c r="B103" s="100"/>
      <c r="C103" s="100"/>
      <c r="D103" s="100"/>
      <c r="E103" s="100"/>
      <c r="F103" s="100"/>
      <c r="G103" s="100"/>
      <c r="H103" s="100"/>
      <c r="I103" s="100"/>
      <c r="J103" s="100"/>
      <c r="K103" s="100"/>
      <c r="L103" s="100"/>
      <c r="M103" s="113"/>
      <c r="N103" s="100"/>
    </row>
    <row r="104" spans="1:14" x14ac:dyDescent="0.35">
      <c r="A104" s="100"/>
      <c r="B104" s="100"/>
      <c r="C104" s="100"/>
      <c r="D104" s="100"/>
      <c r="E104" s="100"/>
      <c r="F104" s="100"/>
      <c r="G104" s="100"/>
      <c r="H104" s="100"/>
      <c r="I104" s="100"/>
      <c r="J104" s="100"/>
      <c r="K104" s="100"/>
      <c r="L104" s="100"/>
      <c r="M104" s="113"/>
      <c r="N104" s="100"/>
    </row>
    <row r="105" spans="1:14" x14ac:dyDescent="0.35">
      <c r="A105" s="100"/>
      <c r="B105" s="100"/>
      <c r="C105" s="100"/>
      <c r="D105" s="100"/>
      <c r="E105" s="100"/>
      <c r="F105" s="100"/>
      <c r="G105" s="100"/>
      <c r="H105" s="100"/>
      <c r="I105" s="100"/>
      <c r="J105" s="100"/>
      <c r="K105" s="100"/>
      <c r="L105" s="100"/>
      <c r="M105" s="113"/>
      <c r="N105" s="100"/>
    </row>
    <row r="106" spans="1:14" x14ac:dyDescent="0.35">
      <c r="A106" s="100"/>
      <c r="B106" s="100"/>
      <c r="C106" s="100"/>
      <c r="D106" s="100"/>
      <c r="E106" s="100"/>
      <c r="F106" s="100"/>
      <c r="G106" s="100"/>
      <c r="H106" s="100"/>
      <c r="I106" s="100"/>
      <c r="J106" s="100"/>
      <c r="K106" s="100"/>
      <c r="L106" s="100"/>
      <c r="M106" s="113"/>
      <c r="N106" s="100"/>
    </row>
    <row r="107" spans="1:14" x14ac:dyDescent="0.35">
      <c r="A107" s="100"/>
      <c r="B107" s="100"/>
      <c r="C107" s="100"/>
      <c r="D107" s="100"/>
      <c r="E107" s="100"/>
      <c r="F107" s="100"/>
      <c r="G107" s="100"/>
      <c r="H107" s="100"/>
      <c r="I107" s="100"/>
      <c r="J107" s="100"/>
      <c r="K107" s="100"/>
      <c r="L107" s="100"/>
      <c r="M107" s="113"/>
      <c r="N107" s="100"/>
    </row>
    <row r="108" spans="1:14" x14ac:dyDescent="0.35">
      <c r="A108" s="100"/>
      <c r="B108" s="100"/>
      <c r="C108" s="100"/>
      <c r="D108" s="100"/>
      <c r="E108" s="100"/>
      <c r="F108" s="100"/>
      <c r="G108" s="100"/>
      <c r="H108" s="100"/>
      <c r="I108" s="100"/>
      <c r="J108" s="100"/>
      <c r="K108" s="100"/>
      <c r="L108" s="100"/>
      <c r="M108" s="113"/>
      <c r="N108" s="100"/>
    </row>
    <row r="109" spans="1:14" x14ac:dyDescent="0.35">
      <c r="A109" s="100"/>
      <c r="B109" s="100"/>
      <c r="C109" s="100"/>
      <c r="D109" s="100"/>
      <c r="E109" s="100"/>
      <c r="F109" s="100"/>
      <c r="G109" s="100"/>
      <c r="H109" s="100"/>
      <c r="I109" s="100"/>
      <c r="J109" s="100"/>
      <c r="K109" s="100"/>
      <c r="L109" s="100"/>
      <c r="M109" s="113"/>
      <c r="N109" s="100"/>
    </row>
    <row r="110" spans="1:14" x14ac:dyDescent="0.35">
      <c r="A110" s="100"/>
      <c r="B110" s="100"/>
      <c r="C110" s="100"/>
      <c r="D110" s="100"/>
      <c r="E110" s="100"/>
      <c r="F110" s="100"/>
      <c r="G110" s="100"/>
      <c r="H110" s="100"/>
      <c r="I110" s="100"/>
      <c r="J110" s="100"/>
      <c r="K110" s="100"/>
      <c r="L110" s="100"/>
      <c r="M110" s="113"/>
      <c r="N110" s="100"/>
    </row>
    <row r="111" spans="1:14" x14ac:dyDescent="0.35">
      <c r="A111" s="100"/>
      <c r="B111" s="100"/>
      <c r="C111" s="100"/>
      <c r="D111" s="100"/>
      <c r="E111" s="100"/>
      <c r="F111" s="100"/>
      <c r="G111" s="100"/>
      <c r="H111" s="100"/>
      <c r="I111" s="100"/>
      <c r="J111" s="100"/>
      <c r="K111" s="100"/>
      <c r="L111" s="100"/>
      <c r="M111" s="113"/>
      <c r="N111" s="100"/>
    </row>
    <row r="112" spans="1:14" x14ac:dyDescent="0.35">
      <c r="A112" s="100"/>
      <c r="B112" s="100"/>
      <c r="C112" s="100"/>
      <c r="D112" s="100"/>
      <c r="E112" s="100"/>
      <c r="F112" s="100"/>
      <c r="G112" s="100"/>
      <c r="H112" s="100"/>
      <c r="I112" s="100"/>
      <c r="J112" s="100"/>
      <c r="K112" s="100"/>
      <c r="L112" s="100"/>
      <c r="M112" s="113"/>
      <c r="N112" s="100"/>
    </row>
    <row r="113" spans="1:14" x14ac:dyDescent="0.35">
      <c r="A113" s="100"/>
      <c r="B113" s="100"/>
      <c r="C113" s="100"/>
      <c r="D113" s="100"/>
      <c r="E113" s="100"/>
      <c r="F113" s="100"/>
      <c r="G113" s="100"/>
      <c r="H113" s="100"/>
      <c r="I113" s="100"/>
      <c r="J113" s="100"/>
      <c r="K113" s="100"/>
      <c r="L113" s="100"/>
      <c r="M113" s="113"/>
      <c r="N113" s="100"/>
    </row>
    <row r="114" spans="1:14" x14ac:dyDescent="0.35">
      <c r="A114" s="100"/>
      <c r="B114" s="100"/>
      <c r="C114" s="100"/>
      <c r="D114" s="100"/>
      <c r="E114" s="100"/>
      <c r="F114" s="100"/>
      <c r="G114" s="100"/>
      <c r="H114" s="100"/>
      <c r="I114" s="100"/>
      <c r="J114" s="100"/>
      <c r="K114" s="100"/>
      <c r="L114" s="100"/>
      <c r="M114" s="113"/>
      <c r="N114" s="100"/>
    </row>
    <row r="115" spans="1:14" x14ac:dyDescent="0.35">
      <c r="A115" s="100"/>
      <c r="B115" s="100"/>
      <c r="C115" s="100"/>
      <c r="D115" s="100"/>
      <c r="E115" s="100"/>
      <c r="F115" s="100"/>
      <c r="G115" s="100"/>
      <c r="H115" s="100"/>
      <c r="I115" s="100"/>
      <c r="J115" s="100"/>
      <c r="K115" s="100"/>
      <c r="L115" s="100"/>
      <c r="M115" s="113"/>
      <c r="N115" s="100"/>
    </row>
    <row r="116" spans="1:14" x14ac:dyDescent="0.35">
      <c r="A116" s="100"/>
      <c r="B116" s="100"/>
      <c r="C116" s="100"/>
      <c r="D116" s="100"/>
      <c r="E116" s="100"/>
      <c r="F116" s="100"/>
      <c r="G116" s="100"/>
      <c r="H116" s="100"/>
      <c r="I116" s="100"/>
      <c r="J116" s="100"/>
      <c r="K116" s="100"/>
      <c r="L116" s="100"/>
      <c r="M116" s="113"/>
      <c r="N116" s="100"/>
    </row>
    <row r="117" spans="1:14" x14ac:dyDescent="0.35">
      <c r="A117" s="100"/>
      <c r="B117" s="100"/>
      <c r="C117" s="100"/>
      <c r="D117" s="100"/>
      <c r="E117" s="100"/>
      <c r="F117" s="100"/>
      <c r="G117" s="100"/>
      <c r="H117" s="100"/>
      <c r="I117" s="100"/>
      <c r="J117" s="100"/>
      <c r="K117" s="100"/>
      <c r="L117" s="100"/>
      <c r="M117" s="113"/>
      <c r="N117" s="100"/>
    </row>
    <row r="118" spans="1:14" x14ac:dyDescent="0.35">
      <c r="A118" s="100"/>
      <c r="B118" s="100"/>
      <c r="C118" s="100"/>
      <c r="D118" s="100"/>
      <c r="E118" s="100"/>
      <c r="F118" s="100"/>
      <c r="G118" s="100"/>
      <c r="H118" s="100"/>
      <c r="I118" s="100"/>
      <c r="J118" s="100"/>
      <c r="K118" s="100"/>
      <c r="L118" s="100"/>
      <c r="M118" s="113"/>
      <c r="N118" s="100"/>
    </row>
    <row r="119" spans="1:14" x14ac:dyDescent="0.35">
      <c r="A119" s="100"/>
      <c r="B119" s="100"/>
      <c r="C119" s="100"/>
      <c r="D119" s="100"/>
      <c r="E119" s="100"/>
      <c r="F119" s="100"/>
      <c r="G119" s="100"/>
      <c r="H119" s="100"/>
      <c r="I119" s="100"/>
      <c r="J119" s="100"/>
      <c r="K119" s="100"/>
      <c r="L119" s="100"/>
      <c r="M119" s="113"/>
      <c r="N119" s="100"/>
    </row>
    <row r="120" spans="1:14" x14ac:dyDescent="0.35">
      <c r="A120" s="100"/>
      <c r="B120" s="100"/>
      <c r="C120" s="100"/>
      <c r="D120" s="100"/>
      <c r="E120" s="100"/>
      <c r="F120" s="100"/>
      <c r="G120" s="100"/>
      <c r="H120" s="100"/>
      <c r="I120" s="100"/>
      <c r="J120" s="100"/>
      <c r="K120" s="100"/>
      <c r="L120" s="100"/>
      <c r="M120" s="113"/>
      <c r="N120" s="100"/>
    </row>
    <row r="121" spans="1:14" x14ac:dyDescent="0.35">
      <c r="A121" s="100"/>
      <c r="B121" s="100"/>
      <c r="C121" s="100"/>
      <c r="D121" s="100"/>
      <c r="E121" s="100"/>
      <c r="F121" s="100"/>
      <c r="G121" s="100"/>
      <c r="H121" s="100"/>
      <c r="I121" s="100"/>
      <c r="J121" s="100"/>
      <c r="K121" s="100"/>
      <c r="L121" s="100"/>
      <c r="M121" s="113"/>
      <c r="N121" s="100"/>
    </row>
    <row r="122" spans="1:14" x14ac:dyDescent="0.35">
      <c r="A122" s="100"/>
      <c r="B122" s="100"/>
      <c r="C122" s="100"/>
      <c r="D122" s="100"/>
      <c r="E122" s="100"/>
      <c r="F122" s="100"/>
      <c r="G122" s="100"/>
      <c r="H122" s="100"/>
      <c r="I122" s="100"/>
      <c r="J122" s="100"/>
      <c r="K122" s="100"/>
      <c r="L122" s="100"/>
      <c r="M122" s="113"/>
      <c r="N122" s="100"/>
    </row>
    <row r="123" spans="1:14" x14ac:dyDescent="0.35">
      <c r="A123" s="100"/>
      <c r="B123" s="100"/>
      <c r="C123" s="100"/>
      <c r="D123" s="100"/>
      <c r="E123" s="100"/>
      <c r="F123" s="100"/>
      <c r="G123" s="100"/>
      <c r="H123" s="100"/>
      <c r="I123" s="100"/>
      <c r="J123" s="100"/>
      <c r="K123" s="100"/>
      <c r="L123" s="100"/>
      <c r="M123" s="113"/>
      <c r="N123" s="100"/>
    </row>
    <row r="132" spans="12:12" hidden="1" x14ac:dyDescent="0.35">
      <c r="L132">
        <v>2</v>
      </c>
    </row>
    <row r="133" spans="12:12" hidden="1" x14ac:dyDescent="0.35">
      <c r="L133">
        <v>3</v>
      </c>
    </row>
    <row r="134" spans="12:12" hidden="1" x14ac:dyDescent="0.35">
      <c r="L134">
        <v>4</v>
      </c>
    </row>
    <row r="135" spans="12:12" hidden="1" x14ac:dyDescent="0.35">
      <c r="L13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50">
    <mergeCell ref="B52:C52"/>
    <mergeCell ref="B53:C53"/>
    <mergeCell ref="B54:C54"/>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59:C59"/>
    <mergeCell ref="B60:C60"/>
    <mergeCell ref="A70:N75"/>
    <mergeCell ref="B16:C16"/>
    <mergeCell ref="B17:C17"/>
    <mergeCell ref="B18:C18"/>
    <mergeCell ref="B55:C55"/>
    <mergeCell ref="B56:C56"/>
    <mergeCell ref="B57:C57"/>
    <mergeCell ref="B19:C19"/>
    <mergeCell ref="B20:C20"/>
    <mergeCell ref="B21:C21"/>
    <mergeCell ref="B22:C22"/>
    <mergeCell ref="B23:C23"/>
    <mergeCell ref="B24:C24"/>
    <mergeCell ref="B25:C25"/>
    <mergeCell ref="B15:C15"/>
    <mergeCell ref="A9:N11"/>
    <mergeCell ref="B13:C13"/>
    <mergeCell ref="B14:C14"/>
    <mergeCell ref="B58:C58"/>
    <mergeCell ref="B26:C26"/>
    <mergeCell ref="B27:C27"/>
    <mergeCell ref="B28:C28"/>
    <mergeCell ref="B29:C29"/>
    <mergeCell ref="B30:C30"/>
    <mergeCell ref="B31:C31"/>
    <mergeCell ref="B32:C32"/>
    <mergeCell ref="B33:C33"/>
    <mergeCell ref="B34:C34"/>
    <mergeCell ref="B35:C35"/>
    <mergeCell ref="B36:C36"/>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774</v>
      </c>
    </row>
    <row r="2" spans="1:31" ht="21" x14ac:dyDescent="0.5">
      <c r="A2" s="2" t="s">
        <v>772</v>
      </c>
    </row>
    <row r="3" spans="1:31" ht="25" customHeight="1" x14ac:dyDescent="0.5">
      <c r="A3" s="524" t="s">
        <v>756</v>
      </c>
      <c r="B3" s="524"/>
      <c r="C3" s="524"/>
      <c r="D3" s="524"/>
      <c r="E3" s="524"/>
      <c r="F3" s="524"/>
      <c r="G3" s="319"/>
      <c r="H3" s="322"/>
    </row>
    <row r="4" spans="1:31" x14ac:dyDescent="0.35">
      <c r="A4" s="48"/>
    </row>
    <row r="5" spans="1:31" x14ac:dyDescent="0.35">
      <c r="A5" s="1" t="s">
        <v>773</v>
      </c>
      <c r="C5" s="421" t="str">
        <f>Results!$C$6</f>
        <v>Eagle Valley Behavioral Health</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35">
        <v>1</v>
      </c>
      <c r="C12" s="535"/>
      <c r="D12" s="535"/>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44" t="s">
        <v>612</v>
      </c>
      <c r="C13" s="545"/>
      <c r="D13" s="546"/>
      <c r="F13" s="538" t="s">
        <v>261</v>
      </c>
      <c r="G13" s="550"/>
      <c r="H13" s="550"/>
      <c r="I13" s="550"/>
      <c r="J13" s="550"/>
      <c r="K13" s="539"/>
      <c r="L13" s="324"/>
      <c r="N13" s="538" t="s">
        <v>262</v>
      </c>
      <c r="O13" s="550"/>
      <c r="P13" s="550"/>
      <c r="Q13" s="550"/>
      <c r="R13" s="550"/>
      <c r="S13" s="539"/>
      <c r="T13" s="324"/>
      <c r="V13" s="551" t="s">
        <v>250</v>
      </c>
      <c r="W13" s="604" t="s">
        <v>620</v>
      </c>
      <c r="X13" s="606" t="s">
        <v>621</v>
      </c>
      <c r="Y13" s="551" t="s">
        <v>312</v>
      </c>
      <c r="Z13" s="604" t="s">
        <v>622</v>
      </c>
      <c r="AA13" s="606" t="s">
        <v>623</v>
      </c>
      <c r="AC13" s="40"/>
      <c r="AD13" s="40"/>
      <c r="AE13" s="40"/>
    </row>
    <row r="14" spans="1:31" ht="56.25" customHeight="1" x14ac:dyDescent="0.35">
      <c r="B14" s="547"/>
      <c r="C14" s="548"/>
      <c r="D14" s="549"/>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52"/>
      <c r="W14" s="605"/>
      <c r="X14" s="607"/>
      <c r="Y14" s="552"/>
      <c r="Z14" s="605"/>
      <c r="AA14" s="607"/>
    </row>
    <row r="15" spans="1:31" x14ac:dyDescent="0.35">
      <c r="A15" s="24">
        <v>1</v>
      </c>
      <c r="B15" s="543" t="str">
        <f>IF('As-Filed Schedule 2A'!B15:D15=0,"",'As-Filed Schedule 2A'!B15:D15)</f>
        <v>YHC Mobile Crisis Co-Response Team (labor &amp; non-wage) - 24/7 crisis line, provide cirisis support need anwhere any time</v>
      </c>
      <c r="C15" s="543"/>
      <c r="D15" s="543"/>
      <c r="F15" s="117">
        <f>'As-Filed Schedule 2A'!F15</f>
        <v>1035770</v>
      </c>
      <c r="G15" s="314">
        <f>SUMIFS(Adjustments!$G:$G,Adjustments!$H:$H,"2A",Adjustments!$I:$I,'Schedule 2A Adjustments'!$F$12,Adjustments!$J:$J,'Schedule 2A Adjustments'!A15)</f>
        <v>0</v>
      </c>
      <c r="H15" s="310">
        <f>SUM(F15:G15)</f>
        <v>1035770</v>
      </c>
      <c r="I15" s="68">
        <f>IFERROR(F15*'As-Filed Schedule 1'!$E$103,0)</f>
        <v>531746.58235597308</v>
      </c>
      <c r="J15" s="311">
        <f>IFERROR(H15*'Adjusted Schedule 1'!$E$104,0)</f>
        <v>572486.19320724497</v>
      </c>
      <c r="K15" s="68">
        <f>SUM(F15,I15)</f>
        <v>1567516.5823559731</v>
      </c>
      <c r="L15" s="311">
        <f>SUM(H15,J15)</f>
        <v>1608256.1932072449</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8.11</v>
      </c>
      <c r="W15" s="314">
        <f>SUMIFS(Adjustments!$G:$G,Adjustments!$H:$H,"2A",Adjustments!$I:$I,'Schedule 2A Adjustments'!$V$12,Adjustments!$J:$J,'Schedule 2A Adjustments'!A15)</f>
        <v>0</v>
      </c>
      <c r="X15" s="327">
        <f>SUM(V15:W15)</f>
        <v>8.11</v>
      </c>
      <c r="Y15" s="120">
        <f>'As-Filed Schedule 2A'!O15</f>
        <v>802</v>
      </c>
      <c r="Z15" s="314">
        <f>SUMIFS(Adjustments!$G:$G,Adjustments!$H:$H,"2A",Adjustments!$I:$I,'Schedule 2A Adjustments'!$Y$12,Adjustments!$J:$J,'Schedule 2A Adjustments'!A15)</f>
        <v>0</v>
      </c>
      <c r="AA15" s="327">
        <f>SUM(Y15:Z15)</f>
        <v>802</v>
      </c>
    </row>
    <row r="16" spans="1:31" x14ac:dyDescent="0.35">
      <c r="A16" s="24">
        <v>2</v>
      </c>
      <c r="B16" s="543" t="str">
        <f>IF('As-Filed Schedule 2A'!B16:D16=0,"",'As-Filed Schedule 2A'!B16:D16)</f>
        <v/>
      </c>
      <c r="C16" s="543"/>
      <c r="D16" s="543"/>
      <c r="F16" s="117">
        <f>'As-Filed Schedule 2A'!F16</f>
        <v>0</v>
      </c>
      <c r="G16" s="314">
        <f>SUMIFS(Adjustments!$G:$G,Adjustments!$H:$H,"2A",Adjustments!$I:$I,'Schedule 2A Adjustments'!$F$12,Adjustments!$J:$J,'Schedule 2A Adjustments'!A16)</f>
        <v>0</v>
      </c>
      <c r="H16" s="310">
        <f t="shared" ref="H16:H72" si="1">SUM(F16:G16)</f>
        <v>0</v>
      </c>
      <c r="I16" s="68">
        <f>IFERROR(F16*'As-Filed Schedule 1'!$E$103,0)</f>
        <v>0</v>
      </c>
      <c r="J16" s="311">
        <f>IFERROR(H16*'Adjusted Schedule 1'!$E$104,0)</f>
        <v>0</v>
      </c>
      <c r="K16" s="68">
        <f>SUM(F16,I16)</f>
        <v>0</v>
      </c>
      <c r="L16" s="311">
        <f t="shared" ref="L16:L72" si="2">SUM(H16,J16)</f>
        <v>0</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0</v>
      </c>
      <c r="W16" s="314">
        <f>SUMIFS(Adjustments!$G:$G,Adjustments!$H:$H,"2A",Adjustments!$I:$I,'Schedule 2A Adjustments'!$V$12,Adjustments!$J:$J,'Schedule 2A Adjustments'!A16)</f>
        <v>0</v>
      </c>
      <c r="X16" s="327">
        <f t="shared" ref="X16:X72" si="5">SUM(V16:W16)</f>
        <v>0</v>
      </c>
      <c r="Y16" s="120">
        <f>'As-Filed Schedule 2A'!O16</f>
        <v>0</v>
      </c>
      <c r="Z16" s="314">
        <f>SUMIFS(Adjustments!$G:$G,Adjustments!$H:$H,"2A",Adjustments!$I:$I,'Schedule 2A Adjustments'!$Y$12,Adjustments!$J:$J,'Schedule 2A Adjustments'!A16)</f>
        <v>0</v>
      </c>
      <c r="AA16" s="327">
        <f t="shared" ref="AA16:AA72" si="6">SUM(Y16:Z16)</f>
        <v>0</v>
      </c>
    </row>
    <row r="17" spans="1:27" x14ac:dyDescent="0.35">
      <c r="A17" s="24">
        <v>3</v>
      </c>
      <c r="B17" s="543" t="str">
        <f>IF('As-Filed Schedule 2A'!B17:D17=0,"",'As-Filed Schedule 2A'!B17:D17)</f>
        <v/>
      </c>
      <c r="C17" s="543"/>
      <c r="D17" s="543"/>
      <c r="F17" s="117">
        <f>'As-Filed Schedule 2A'!F17</f>
        <v>0</v>
      </c>
      <c r="G17" s="314">
        <f>SUMIFS(Adjustments!$G:$G,Adjustments!$H:$H,"2A",Adjustments!$I:$I,'Schedule 2A Adjustments'!$F$12,Adjustments!$J:$J,'Schedule 2A Adjustments'!A17)</f>
        <v>0</v>
      </c>
      <c r="H17" s="310">
        <f t="shared" si="1"/>
        <v>0</v>
      </c>
      <c r="I17" s="68">
        <f>IFERROR(F17*'As-Filed Schedule 1'!$E$103,0)</f>
        <v>0</v>
      </c>
      <c r="J17" s="311">
        <f>IFERROR(H17*'Adjusted Schedule 1'!$E$104,0)</f>
        <v>0</v>
      </c>
      <c r="K17" s="68">
        <f>SUM(F17,I17)</f>
        <v>0</v>
      </c>
      <c r="L17" s="311">
        <f t="shared" si="2"/>
        <v>0</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0</v>
      </c>
      <c r="W17" s="314">
        <f>SUMIFS(Adjustments!$G:$G,Adjustments!$H:$H,"2A",Adjustments!$I:$I,'Schedule 2A Adjustments'!$V$12,Adjustments!$J:$J,'Schedule 2A Adjustments'!A17)</f>
        <v>0</v>
      </c>
      <c r="X17" s="327">
        <f t="shared" si="5"/>
        <v>0</v>
      </c>
      <c r="Y17" s="120">
        <f>'As-Filed Schedule 2A'!O17</f>
        <v>0</v>
      </c>
      <c r="Z17" s="314">
        <f>SUMIFS(Adjustments!$G:$G,Adjustments!$H:$H,"2A",Adjustments!$I:$I,'Schedule 2A Adjustments'!$Y$12,Adjustments!$J:$J,'Schedule 2A Adjustments'!A17)</f>
        <v>0</v>
      </c>
      <c r="AA17" s="327">
        <f t="shared" si="6"/>
        <v>0</v>
      </c>
    </row>
    <row r="18" spans="1:27" x14ac:dyDescent="0.35">
      <c r="A18" s="24">
        <v>4</v>
      </c>
      <c r="B18" s="543" t="str">
        <f>IF('As-Filed Schedule 2A'!B18:D18=0,"",'As-Filed Schedule 2A'!B18:D18)</f>
        <v/>
      </c>
      <c r="C18" s="543"/>
      <c r="D18" s="543"/>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43" t="str">
        <f>IF('As-Filed Schedule 2A'!B19:D19=0,"",'As-Filed Schedule 2A'!B19:D19)</f>
        <v>Victims First Care - Bright Future Foundation</v>
      </c>
      <c r="C19" s="543"/>
      <c r="D19" s="543"/>
      <c r="F19" s="117">
        <f>'As-Filed Schedule 2A'!F19</f>
        <v>0</v>
      </c>
      <c r="G19" s="314">
        <f>SUMIFS(Adjustments!$G:$G,Adjustments!$H:$H,"2A",Adjustments!$I:$I,'Schedule 2A Adjustments'!$F$12,Adjustments!$J:$J,'Schedule 2A Adjustments'!A19)</f>
        <v>0</v>
      </c>
      <c r="H19" s="310">
        <f t="shared" si="1"/>
        <v>0</v>
      </c>
      <c r="I19" s="68">
        <f>IFERROR(F19*'As-Filed Schedule 1'!$E$103,0)</f>
        <v>0</v>
      </c>
      <c r="J19" s="311">
        <f>IFERROR(H19*'Adjusted Schedule 1'!$E$104,0)</f>
        <v>0</v>
      </c>
      <c r="K19" s="68">
        <f t="shared" si="7"/>
        <v>0</v>
      </c>
      <c r="L19" s="311">
        <f t="shared" si="2"/>
        <v>0</v>
      </c>
      <c r="N19" s="117">
        <f>'As-Filed Schedule 2A'!J19</f>
        <v>175900</v>
      </c>
      <c r="O19" s="314">
        <f>SUMIFS(Adjustments!$G:$G,Adjustments!$H:$H,"2A",Adjustments!$I:$I,'Schedule 2A Adjustments'!$N$12,Adjustments!$J:$J,'Schedule 2A Adjustments'!A19)</f>
        <v>0</v>
      </c>
      <c r="P19" s="310">
        <f t="shared" si="3"/>
        <v>175900</v>
      </c>
      <c r="Q19" s="68">
        <f>IFERROR(N19*'As-Filed Schedule 1'!$E$103,0)</f>
        <v>90304.048038093068</v>
      </c>
      <c r="R19" s="311">
        <f>IFERROR(P19*'Adjusted Schedule 1'!$E$104,0)</f>
        <v>97222.666600842276</v>
      </c>
      <c r="S19" s="68">
        <f t="shared" si="0"/>
        <v>266204.04803809308</v>
      </c>
      <c r="T19" s="311">
        <f t="shared" si="4"/>
        <v>273122.66660084226</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43" t="str">
        <f>IF('As-Filed Schedule 2A'!B20:D20=0,"",'As-Filed Schedule 2A'!B20:D20)</f>
        <v/>
      </c>
      <c r="C20" s="543"/>
      <c r="D20" s="543"/>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43" t="str">
        <f>IF('As-Filed Schedule 2A'!B21:D21=0,"",'As-Filed Schedule 2A'!B21:D21)</f>
        <v/>
      </c>
      <c r="C21" s="543"/>
      <c r="D21" s="543"/>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43" t="str">
        <f>IF('As-Filed Schedule 2A'!B22:D22=0,"",'As-Filed Schedule 2A'!B22:D22)</f>
        <v/>
      </c>
      <c r="C22" s="543"/>
      <c r="D22" s="543"/>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43" t="str">
        <f>IF('As-Filed Schedule 2A'!B23:D23=0,"",'As-Filed Schedule 2A'!B23:D23)</f>
        <v/>
      </c>
      <c r="C23" s="543"/>
      <c r="D23" s="543"/>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43" t="str">
        <f>IF('As-Filed Schedule 2A'!B24:D24=0,"",'As-Filed Schedule 2A'!B24:D24)</f>
        <v/>
      </c>
      <c r="C24" s="543"/>
      <c r="D24" s="543"/>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43" t="str">
        <f>IF('As-Filed Schedule 2A'!B25:D25=0,"",'As-Filed Schedule 2A'!B25:D25)</f>
        <v/>
      </c>
      <c r="C25" s="543"/>
      <c r="D25" s="543"/>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43" t="str">
        <f>IF('As-Filed Schedule 2A'!B26:D26=0,"",'As-Filed Schedule 2A'!B26:D26)</f>
        <v/>
      </c>
      <c r="C26" s="543"/>
      <c r="D26" s="543"/>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43" t="str">
        <f>IF('As-Filed Schedule 2A'!B27:D27=0,"",'As-Filed Schedule 2A'!B27:D27)</f>
        <v/>
      </c>
      <c r="C27" s="543"/>
      <c r="D27" s="543"/>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43" t="str">
        <f>IF('As-Filed Schedule 2A'!B28:D28=0,"",'As-Filed Schedule 2A'!B28:D28)</f>
        <v/>
      </c>
      <c r="C28" s="543"/>
      <c r="D28" s="543"/>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43" t="str">
        <f>IF('As-Filed Schedule 2A'!B29:D29=0,"",'As-Filed Schedule 2A'!B29:D29)</f>
        <v/>
      </c>
      <c r="C29" s="543"/>
      <c r="D29" s="543"/>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43" t="str">
        <f>IF('As-Filed Schedule 2A'!B30:D30=0,"",'As-Filed Schedule 2A'!B30:D30)</f>
        <v/>
      </c>
      <c r="C30" s="543"/>
      <c r="D30" s="543"/>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43" t="str">
        <f>IF('As-Filed Schedule 2A'!B31:D31=0,"",'As-Filed Schedule 2A'!B31:D31)</f>
        <v/>
      </c>
      <c r="C31" s="543"/>
      <c r="D31" s="543"/>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43" t="str">
        <f>IF('As-Filed Schedule 2A'!B32:D32=0,"",'As-Filed Schedule 2A'!B32:D32)</f>
        <v/>
      </c>
      <c r="C32" s="543"/>
      <c r="D32" s="543"/>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43" t="str">
        <f>IF('As-Filed Schedule 2A'!B33:D33=0,"",'As-Filed Schedule 2A'!B33:D33)</f>
        <v/>
      </c>
      <c r="C33" s="543"/>
      <c r="D33" s="543"/>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43" t="str">
        <f>IF('As-Filed Schedule 2A'!B34:D34=0,"",'As-Filed Schedule 2A'!B34:D34)</f>
        <v/>
      </c>
      <c r="C34" s="543"/>
      <c r="D34" s="543"/>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43" t="str">
        <f>IF('As-Filed Schedule 2A'!B35:D35=0,"",'As-Filed Schedule 2A'!B35:D35)</f>
        <v/>
      </c>
      <c r="C35" s="543"/>
      <c r="D35" s="543"/>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43" t="str">
        <f>IF('As-Filed Schedule 2A'!B36:D36=0,"",'As-Filed Schedule 2A'!B36:D36)</f>
        <v/>
      </c>
      <c r="C36" s="543"/>
      <c r="D36" s="543"/>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43" t="str">
        <f>IF('As-Filed Schedule 2A'!B37:D37=0,"",'As-Filed Schedule 2A'!B37:D37)</f>
        <v/>
      </c>
      <c r="C37" s="543"/>
      <c r="D37" s="543"/>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43" t="str">
        <f>IF('As-Filed Schedule 2A'!B38:D38=0,"",'As-Filed Schedule 2A'!B38:D38)</f>
        <v/>
      </c>
      <c r="C38" s="543"/>
      <c r="D38" s="543"/>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43" t="str">
        <f>IF('As-Filed Schedule 2A'!B39:D39=0,"",'As-Filed Schedule 2A'!B39:D39)</f>
        <v/>
      </c>
      <c r="C39" s="543"/>
      <c r="D39" s="543"/>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43" t="str">
        <f>IF('As-Filed Schedule 2A'!B40:D40=0,"",'As-Filed Schedule 2A'!B40:D40)</f>
        <v/>
      </c>
      <c r="C40" s="543"/>
      <c r="D40" s="543"/>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43" t="str">
        <f>IF('As-Filed Schedule 2A'!B41:D41=0,"",'As-Filed Schedule 2A'!B41:D41)</f>
        <v/>
      </c>
      <c r="C41" s="543"/>
      <c r="D41" s="543"/>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43" t="str">
        <f>IF('As-Filed Schedule 2A'!B42:D42=0,"",'As-Filed Schedule 2A'!B42:D42)</f>
        <v/>
      </c>
      <c r="C42" s="543"/>
      <c r="D42" s="543"/>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43" t="str">
        <f>IF('As-Filed Schedule 2A'!B43:D43=0,"",'As-Filed Schedule 2A'!B43:D43)</f>
        <v/>
      </c>
      <c r="C43" s="543"/>
      <c r="D43" s="543"/>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43" t="str">
        <f>IF('As-Filed Schedule 2A'!B44:D44=0,"",'As-Filed Schedule 2A'!B44:D44)</f>
        <v/>
      </c>
      <c r="C44" s="543"/>
      <c r="D44" s="543"/>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43" t="str">
        <f>IF('As-Filed Schedule 2A'!B45:D45=0,"",'As-Filed Schedule 2A'!B45:D45)</f>
        <v/>
      </c>
      <c r="C45" s="543"/>
      <c r="D45" s="543"/>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43" t="str">
        <f>IF('As-Filed Schedule 2A'!B46:D46=0,"",'As-Filed Schedule 2A'!B46:D46)</f>
        <v/>
      </c>
      <c r="C46" s="543"/>
      <c r="D46" s="543"/>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43" t="str">
        <f>IF('As-Filed Schedule 2A'!B47:D47=0,"",'As-Filed Schedule 2A'!B47:D47)</f>
        <v/>
      </c>
      <c r="C47" s="543"/>
      <c r="D47" s="543"/>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43" t="str">
        <f>IF('As-Filed Schedule 2A'!B48:D48=0,"",'As-Filed Schedule 2A'!B48:D48)</f>
        <v/>
      </c>
      <c r="C48" s="543"/>
      <c r="D48" s="543"/>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43" t="str">
        <f>IF('As-Filed Schedule 2A'!B49:D49=0,"",'As-Filed Schedule 2A'!B49:D49)</f>
        <v/>
      </c>
      <c r="C49" s="543"/>
      <c r="D49" s="543"/>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43" t="str">
        <f>IF('As-Filed Schedule 2A'!B50:D50=0,"",'As-Filed Schedule 2A'!B50:D50)</f>
        <v/>
      </c>
      <c r="C50" s="543"/>
      <c r="D50" s="543"/>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43" t="str">
        <f>IF('As-Filed Schedule 2A'!B51:D51=0,"",'As-Filed Schedule 2A'!B51:D51)</f>
        <v/>
      </c>
      <c r="C51" s="543"/>
      <c r="D51" s="543"/>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43" t="str">
        <f>IF('As-Filed Schedule 2A'!B52:D52=0,"",'As-Filed Schedule 2A'!B52:D52)</f>
        <v/>
      </c>
      <c r="C52" s="543"/>
      <c r="D52" s="543"/>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43" t="str">
        <f>IF('As-Filed Schedule 2A'!B53:D53=0,"",'As-Filed Schedule 2A'!B53:D53)</f>
        <v/>
      </c>
      <c r="C53" s="543"/>
      <c r="D53" s="543"/>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43" t="str">
        <f>IF('As-Filed Schedule 2A'!B54:D54=0,"",'As-Filed Schedule 2A'!B54:D54)</f>
        <v/>
      </c>
      <c r="C54" s="543"/>
      <c r="D54" s="543"/>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43" t="str">
        <f>IF('As-Filed Schedule 2A'!B55:D55=0,"",'As-Filed Schedule 2A'!B55:D55)</f>
        <v/>
      </c>
      <c r="C55" s="543"/>
      <c r="D55" s="543"/>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43" t="str">
        <f>IF('As-Filed Schedule 2A'!B56:D56=0,"",'As-Filed Schedule 2A'!B56:D56)</f>
        <v/>
      </c>
      <c r="C56" s="543"/>
      <c r="D56" s="543"/>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43" t="str">
        <f>IF('As-Filed Schedule 2A'!B57:D57=0,"",'As-Filed Schedule 2A'!B57:D57)</f>
        <v/>
      </c>
      <c r="C57" s="543"/>
      <c r="D57" s="543"/>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43" t="str">
        <f>IF('As-Filed Schedule 2A'!B58:D58=0,"",'As-Filed Schedule 2A'!B58:D58)</f>
        <v/>
      </c>
      <c r="C58" s="543"/>
      <c r="D58" s="543"/>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43" t="str">
        <f>IF('As-Filed Schedule 2A'!B59:D59=0,"",'As-Filed Schedule 2A'!B59:D59)</f>
        <v/>
      </c>
      <c r="C59" s="543"/>
      <c r="D59" s="543"/>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43" t="str">
        <f>IF('As-Filed Schedule 2A'!B60:D60=0,"",'As-Filed Schedule 2A'!B60:D60)</f>
        <v/>
      </c>
      <c r="C60" s="543"/>
      <c r="D60" s="543"/>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43" t="str">
        <f>IF('As-Filed Schedule 2A'!B61:D61=0,"",'As-Filed Schedule 2A'!B61:D61)</f>
        <v/>
      </c>
      <c r="C61" s="543"/>
      <c r="D61" s="543"/>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43" t="str">
        <f>IF('As-Filed Schedule 2A'!B62:D62=0,"",'As-Filed Schedule 2A'!B62:D62)</f>
        <v/>
      </c>
      <c r="C62" s="543"/>
      <c r="D62" s="543"/>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43" t="str">
        <f>IF('As-Filed Schedule 2A'!B63:D63=0,"",'As-Filed Schedule 2A'!B63:D63)</f>
        <v/>
      </c>
      <c r="C63" s="543"/>
      <c r="D63" s="543"/>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43" t="str">
        <f>IF('As-Filed Schedule 2A'!B64:D64=0,"",'As-Filed Schedule 2A'!B64:D64)</f>
        <v/>
      </c>
      <c r="C64" s="543"/>
      <c r="D64" s="543"/>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43" t="str">
        <f>IF('As-Filed Schedule 2A'!B65:D65=0,"",'As-Filed Schedule 2A'!B65:D65)</f>
        <v/>
      </c>
      <c r="C65" s="543"/>
      <c r="D65" s="543"/>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43" t="str">
        <f>IF('As-Filed Schedule 2A'!B66:D66=0,"",'As-Filed Schedule 2A'!B66:D66)</f>
        <v/>
      </c>
      <c r="C66" s="543"/>
      <c r="D66" s="543"/>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43" t="str">
        <f>IF('As-Filed Schedule 2A'!B67:D67=0,"",'As-Filed Schedule 2A'!B67:D67)</f>
        <v/>
      </c>
      <c r="C67" s="543"/>
      <c r="D67" s="543"/>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43" t="str">
        <f>IF('As-Filed Schedule 2A'!B68:D68=0,"",'As-Filed Schedule 2A'!B68:D68)</f>
        <v/>
      </c>
      <c r="C68" s="543"/>
      <c r="D68" s="543"/>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43" t="str">
        <f>IF('As-Filed Schedule 2A'!B69:D69=0,"",'As-Filed Schedule 2A'!B69:D69)</f>
        <v/>
      </c>
      <c r="C69" s="543"/>
      <c r="D69" s="543"/>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43" t="str">
        <f>IF('As-Filed Schedule 2A'!B70:D70=0,"",'As-Filed Schedule 2A'!B70:D70)</f>
        <v/>
      </c>
      <c r="C70" s="543"/>
      <c r="D70" s="543"/>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43" t="str">
        <f>IF('As-Filed Schedule 2A'!B71:D71=0,"",'As-Filed Schedule 2A'!B71:D71)</f>
        <v/>
      </c>
      <c r="C71" s="543"/>
      <c r="D71" s="543"/>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43" t="str">
        <f>IF('As-Filed Schedule 2A'!B72:D72=0,"",'As-Filed Schedule 2A'!B72:D72)</f>
        <v/>
      </c>
      <c r="C72" s="543"/>
      <c r="D72" s="543"/>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1035770</v>
      </c>
      <c r="G73" s="321">
        <f t="shared" si="9"/>
        <v>0</v>
      </c>
      <c r="H73" s="312">
        <f t="shared" si="9"/>
        <v>1035770</v>
      </c>
      <c r="I73" s="18">
        <f t="shared" si="9"/>
        <v>531746.58235597308</v>
      </c>
      <c r="J73" s="312">
        <f t="shared" si="9"/>
        <v>572486.19320724497</v>
      </c>
      <c r="K73" s="18">
        <f t="shared" si="9"/>
        <v>1567516.5823559731</v>
      </c>
      <c r="L73" s="312">
        <f t="shared" si="9"/>
        <v>1608256.1932072449</v>
      </c>
      <c r="N73" s="18">
        <f>SUM(N15:N72)</f>
        <v>175900</v>
      </c>
      <c r="O73" s="321">
        <f t="shared" ref="O73:P73" si="10">SUM(O15:O72)</f>
        <v>0</v>
      </c>
      <c r="P73" s="312">
        <f t="shared" si="10"/>
        <v>175900</v>
      </c>
      <c r="Q73" s="18">
        <f t="shared" ref="Q73" si="11">SUM(Q15:Q72)</f>
        <v>90304.048038093068</v>
      </c>
      <c r="R73" s="312">
        <f>SUM(R15:R72)</f>
        <v>97222.666600842276</v>
      </c>
      <c r="S73" s="18">
        <f>SUM(S15:S72)</f>
        <v>266204.04803809308</v>
      </c>
      <c r="T73" s="312">
        <f>SUM(T15:T72)</f>
        <v>273122.66660084226</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1833720.6303940662</v>
      </c>
      <c r="G75"/>
      <c r="H75" s="75">
        <f>L73+T73</f>
        <v>1881378.8598080871</v>
      </c>
      <c r="M75" s="74"/>
      <c r="N75" s="74"/>
      <c r="O75" s="333"/>
      <c r="P75" s="326"/>
      <c r="Q75" s="74"/>
      <c r="R75" s="326"/>
      <c r="S75" s="74"/>
      <c r="T75" s="326"/>
      <c r="V75" s="72"/>
      <c r="W75" s="331"/>
      <c r="X75" s="328"/>
      <c r="Y75" s="72"/>
      <c r="Z75" s="331"/>
      <c r="AA75" s="328"/>
    </row>
    <row r="76" spans="1:27" x14ac:dyDescent="0.35">
      <c r="F76" s="78" t="s">
        <v>500</v>
      </c>
      <c r="H76" s="309" t="s">
        <v>596</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5" customHeight="1" x14ac:dyDescent="0.5">
      <c r="A3" s="524" t="s">
        <v>755</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624</v>
      </c>
      <c r="C8" s="1"/>
      <c r="F8" s="119" t="s">
        <v>1017</v>
      </c>
      <c r="G8" s="41" t="s">
        <v>259</v>
      </c>
      <c r="J8" s="336"/>
    </row>
    <row r="10" spans="1:27" x14ac:dyDescent="0.35">
      <c r="A10" s="1" t="s">
        <v>254</v>
      </c>
      <c r="B10" s="1" t="s">
        <v>256</v>
      </c>
      <c r="C10" s="1"/>
    </row>
    <row r="11" spans="1:27" x14ac:dyDescent="0.35">
      <c r="B11" s="334" t="s">
        <v>598</v>
      </c>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44" t="s">
        <v>612</v>
      </c>
      <c r="C13" s="545"/>
      <c r="D13" s="546"/>
      <c r="F13" s="538" t="s">
        <v>261</v>
      </c>
      <c r="G13" s="550"/>
      <c r="H13" s="550"/>
      <c r="I13" s="550"/>
      <c r="J13" s="550"/>
      <c r="K13" s="550"/>
      <c r="L13" s="539"/>
      <c r="N13" s="538" t="s">
        <v>262</v>
      </c>
      <c r="O13" s="550"/>
      <c r="P13" s="550"/>
      <c r="Q13" s="550"/>
      <c r="R13" s="550"/>
      <c r="S13" s="550"/>
      <c r="T13" s="539"/>
      <c r="V13" s="551" t="s">
        <v>250</v>
      </c>
      <c r="W13" s="604" t="s">
        <v>620</v>
      </c>
      <c r="X13" s="606" t="s">
        <v>621</v>
      </c>
      <c r="Y13" s="537" t="s">
        <v>312</v>
      </c>
      <c r="Z13" s="608" t="s">
        <v>622</v>
      </c>
      <c r="AA13" s="609" t="s">
        <v>625</v>
      </c>
    </row>
    <row r="14" spans="1:27" ht="55.5" customHeight="1" x14ac:dyDescent="0.35">
      <c r="B14" s="547"/>
      <c r="C14" s="548"/>
      <c r="D14" s="549"/>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52"/>
      <c r="W14" s="605"/>
      <c r="X14" s="607"/>
      <c r="Y14" s="537"/>
      <c r="Z14" s="608"/>
      <c r="AA14" s="609"/>
    </row>
    <row r="15" spans="1:27" x14ac:dyDescent="0.35">
      <c r="A15" s="24">
        <v>1</v>
      </c>
      <c r="B15" s="543" t="str">
        <f>IF('As-Filed Schedule 2B'!B15:D15=0,"",'As-Filed Schedule 2B'!B15:D15)</f>
        <v>YHC Clinical Director: law enforcement trainings</v>
      </c>
      <c r="C15" s="543"/>
      <c r="D15" s="543"/>
      <c r="F15" s="117">
        <f>'As-Filed Schedule 2B'!F15</f>
        <v>0</v>
      </c>
      <c r="G15" s="314">
        <f>SUMIFS(Adjustments!$G:$G,Adjustments!$H:$H,"2B",Adjustments!$I:$I,'Schedule 2B Adjustments'!$F$12,Adjustments!$J:$J,'Schedule 2B Adjustments'!$A15)</f>
        <v>0</v>
      </c>
      <c r="H15" s="310">
        <f>SUM(F15:G15)</f>
        <v>0</v>
      </c>
      <c r="I15" s="181">
        <f>IFERROR(F15*'As-Filed Schedule 1'!$E$103,0)</f>
        <v>0</v>
      </c>
      <c r="J15" s="311">
        <f>IFERROR(H15*'Adjusted Schedule 1'!$E$104,0)</f>
        <v>0</v>
      </c>
      <c r="K15" s="181">
        <f>SUM(F15,I15)</f>
        <v>0</v>
      </c>
      <c r="L15" s="311">
        <f>SUM(H15,J15)</f>
        <v>0</v>
      </c>
      <c r="M15" s="100"/>
      <c r="N15" s="180">
        <f>'As-Filed Schedule 2B'!J15</f>
        <v>539</v>
      </c>
      <c r="O15" s="314">
        <f>SUMIFS(Adjustments!$G:$G,Adjustments!$H:$H,"2B",Adjustments!$I:$I,'Schedule 2B Adjustments'!$N$12,Adjustments!$J:$J,'Schedule 2B Adjustments'!$A15)</f>
        <v>0</v>
      </c>
      <c r="P15" s="310">
        <f>SUM(N15:O15)</f>
        <v>539</v>
      </c>
      <c r="Q15" s="181">
        <f>IFERROR(N15*'As-Filed Schedule 1'!$E$103,0)</f>
        <v>276.71337062269566</v>
      </c>
      <c r="R15" s="311">
        <f>IFERROR(P15*'Adjusted Schedule 1'!$E$104,0)</f>
        <v>297.91368560462752</v>
      </c>
      <c r="S15" s="68">
        <f>SUM(N15,Q15)</f>
        <v>815.71337062269572</v>
      </c>
      <c r="T15" s="311">
        <f>SUM(P15,R15)</f>
        <v>836.91368560462752</v>
      </c>
      <c r="V15" s="120">
        <f>'As-Filed Schedule 2B'!N15</f>
        <v>0.01</v>
      </c>
      <c r="W15" s="314">
        <f>SUMIFS(Adjustments!$G:$G,Adjustments!$H:$H,"2B",Adjustments!$I:$I,'Schedule 2B Adjustments'!$V$12,Adjustments!$J:$J,'Schedule 2B Adjustments'!$A15)</f>
        <v>0</v>
      </c>
      <c r="X15" s="327">
        <f>SUM(V15:W15)</f>
        <v>0.01</v>
      </c>
      <c r="Y15" s="120">
        <f>'As-Filed Schedule 2B'!O15</f>
        <v>38</v>
      </c>
      <c r="Z15" s="314">
        <f>SUMIFS(Adjustments!$G:$G,Adjustments!$H:$H,"2B",Adjustments!$I:$I,'Schedule 2B Adjustments'!$Y$12,Adjustments!$J:$J,'Schedule 2B Adjustments'!$A15)</f>
        <v>0</v>
      </c>
      <c r="AA15" s="327">
        <f>SUM(Y15:Z15)</f>
        <v>38</v>
      </c>
    </row>
    <row r="16" spans="1:27" x14ac:dyDescent="0.35">
      <c r="A16" s="24">
        <v>2</v>
      </c>
      <c r="B16" s="543" t="str">
        <f>IF('As-Filed Schedule 2B'!B16:D16=0,"",'As-Filed Schedule 2B'!B16:D16)</f>
        <v xml:space="preserve">YHC Tragedy Response - Grief Support </v>
      </c>
      <c r="C16" s="543"/>
      <c r="D16" s="543"/>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1148</v>
      </c>
      <c r="O16" s="314">
        <f>SUMIFS(Adjustments!$G:$G,Adjustments!$H:$H,"2B",Adjustments!$I:$I,'Schedule 2B Adjustments'!$N$12,Adjustments!$J:$J,'Schedule 2B Adjustments'!$A16)</f>
        <v>0</v>
      </c>
      <c r="P16" s="310">
        <f t="shared" ref="P16:P72" si="2">SUM(N16:O16)</f>
        <v>1148</v>
      </c>
      <c r="Q16" s="68">
        <f>IFERROR(N16*'As-Filed Schedule 1'!$E$103,0)</f>
        <v>589.36354262496218</v>
      </c>
      <c r="R16" s="311">
        <f>IFERROR(P16*'Adjusted Schedule 1'!$E$104,0)</f>
        <v>634.51746024881709</v>
      </c>
      <c r="S16" s="68">
        <f t="shared" ref="S16:S72" si="3">SUM(N16,Q16)</f>
        <v>1737.3635426249621</v>
      </c>
      <c r="T16" s="311">
        <f t="shared" ref="T16:T72" si="4">SUM(P16,R16)</f>
        <v>1782.5174602488171</v>
      </c>
      <c r="V16" s="120">
        <f>'As-Filed Schedule 2B'!N16</f>
        <v>0.01</v>
      </c>
      <c r="W16" s="314">
        <f>SUMIFS(Adjustments!$G:$G,Adjustments!$H:$H,"2B",Adjustments!$I:$I,'Schedule 2B Adjustments'!$V$12,Adjustments!$J:$J,'Schedule 2B Adjustments'!$A16)</f>
        <v>0</v>
      </c>
      <c r="X16" s="327">
        <f t="shared" ref="X16:X72" si="5">SUM(V16:W16)</f>
        <v>0.01</v>
      </c>
      <c r="Y16" s="120">
        <f>'As-Filed Schedule 2B'!O16</f>
        <v>41</v>
      </c>
      <c r="Z16" s="314">
        <f>SUMIFS(Adjustments!$G:$G,Adjustments!$H:$H,"2B",Adjustments!$I:$I,'Schedule 2B Adjustments'!$Y$12,Adjustments!$J:$J,'Schedule 2B Adjustments'!$A16)</f>
        <v>0</v>
      </c>
      <c r="AA16" s="327">
        <f t="shared" ref="AA16:AA72" si="6">SUM(Y16:Z16)</f>
        <v>41</v>
      </c>
    </row>
    <row r="17" spans="1:27" x14ac:dyDescent="0.35">
      <c r="A17" s="24">
        <v>3</v>
      </c>
      <c r="B17" s="543" t="str">
        <f>IF('As-Filed Schedule 2B'!B17:D17=0,"",'As-Filed Schedule 2B'!B17:D17)</f>
        <v/>
      </c>
      <c r="C17" s="543"/>
      <c r="D17" s="543"/>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43" t="str">
        <f>IF('As-Filed Schedule 2B'!B18:D18=0,"",'As-Filed Schedule 2B'!B18:D18)</f>
        <v/>
      </c>
      <c r="C18" s="543"/>
      <c r="D18" s="543"/>
      <c r="F18" s="117">
        <f>'As-Filed Schedule 2B'!F18</f>
        <v>0</v>
      </c>
      <c r="G18" s="314">
        <f>SUMIFS(Adjustments!$G:$G,Adjustments!$H:$H,"2B",Adjustments!$I:$I,'Schedule 2B Adjustments'!$F$12,Adjustments!$J:$J,'Schedule 2B Adjustments'!$A18)</f>
        <v>0</v>
      </c>
      <c r="H18" s="310">
        <f t="shared" si="0"/>
        <v>0</v>
      </c>
      <c r="I18" s="68">
        <f>IFERROR(F18*'As-Filed Schedule 1'!$E$103,0)</f>
        <v>0</v>
      </c>
      <c r="J18" s="311">
        <f>IFERROR(H18*'Adjusted Schedule 1'!$E$104,0)</f>
        <v>0</v>
      </c>
      <c r="K18" s="181">
        <f t="shared" si="1"/>
        <v>0</v>
      </c>
      <c r="L18" s="311">
        <f t="shared" ref="L18:L72" si="7">SUM(H18,J18)</f>
        <v>0</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0</v>
      </c>
      <c r="W18" s="314">
        <f>SUMIFS(Adjustments!$G:$G,Adjustments!$H:$H,"2B",Adjustments!$I:$I,'Schedule 2B Adjustments'!$V$12,Adjustments!$J:$J,'Schedule 2B Adjustments'!$A18)</f>
        <v>0</v>
      </c>
      <c r="X18" s="327">
        <f t="shared" si="5"/>
        <v>0</v>
      </c>
      <c r="Y18" s="120">
        <f>'As-Filed Schedule 2B'!O18</f>
        <v>0</v>
      </c>
      <c r="Z18" s="314">
        <f>SUMIFS(Adjustments!$G:$G,Adjustments!$H:$H,"2B",Adjustments!$I:$I,'Schedule 2B Adjustments'!$Y$12,Adjustments!$J:$J,'Schedule 2B Adjustments'!$A18)</f>
        <v>0</v>
      </c>
      <c r="AA18" s="327">
        <f t="shared" si="6"/>
        <v>0</v>
      </c>
    </row>
    <row r="19" spans="1:27" x14ac:dyDescent="0.35">
      <c r="A19" s="24">
        <v>5</v>
      </c>
      <c r="B19" s="543" t="str">
        <f>IF('As-Filed Schedule 2B'!B19:D19=0,"",'As-Filed Schedule 2B'!B19:D19)</f>
        <v xml:space="preserve">Youth mentorship and after school programming - 
</v>
      </c>
      <c r="C19" s="543"/>
      <c r="D19" s="543"/>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252666</v>
      </c>
      <c r="O19" s="314">
        <f>SUMIFS(Adjustments!$G:$G,Adjustments!$H:$H,"2B",Adjustments!$I:$I,'Schedule 2B Adjustments'!$N$12,Adjustments!$J:$J,'Schedule 2B Adjustments'!$A19)</f>
        <v>0</v>
      </c>
      <c r="P19" s="310">
        <f t="shared" si="2"/>
        <v>252666</v>
      </c>
      <c r="Q19" s="68">
        <f>IFERROR(N19*'As-Filed Schedule 1'!$E$103,0)</f>
        <v>129714.39796243788</v>
      </c>
      <c r="R19" s="311">
        <f>IFERROR(P19*'Adjusted Schedule 1'!$E$104,0)</f>
        <v>139652.42910385682</v>
      </c>
      <c r="S19" s="68">
        <f t="shared" si="3"/>
        <v>382380.39796243788</v>
      </c>
      <c r="T19" s="311">
        <f t="shared" si="4"/>
        <v>392318.42910385679</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43" t="str">
        <f>IF('As-Filed Schedule 2B'!B20:D20=0,"",'As-Filed Schedule 2B'!B20:D20)</f>
        <v xml:space="preserve">Suicide Prevention Training and Community Outreach 
</v>
      </c>
      <c r="C20" s="543"/>
      <c r="D20" s="543"/>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466666.66666666669</v>
      </c>
      <c r="O20" s="314">
        <f>SUMIFS(Adjustments!$G:$G,Adjustments!$H:$H,"2B",Adjustments!$I:$I,'Schedule 2B Adjustments'!$N$12,Adjustments!$J:$J,'Schedule 2B Adjustments'!$A20)</f>
        <v>0</v>
      </c>
      <c r="P20" s="310">
        <f t="shared" si="2"/>
        <v>466666.66666666669</v>
      </c>
      <c r="Q20" s="68">
        <f>IFERROR(N20*'As-Filed Schedule 1'!$E$103,0)</f>
        <v>239578.67586380578</v>
      </c>
      <c r="R20" s="311">
        <f>IFERROR(P20*'Adjusted Schedule 1'!$E$104,0)</f>
        <v>257933.92693041347</v>
      </c>
      <c r="S20" s="68">
        <f t="shared" si="3"/>
        <v>706245.34253047244</v>
      </c>
      <c r="T20" s="311">
        <f>SUM(P20,R20)</f>
        <v>724600.59359708009</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43" t="str">
        <f>IF('As-Filed Schedule 2B'!B21:D21=0,"",'As-Filed Schedule 2B'!B21:D21)</f>
        <v xml:space="preserve">Behavioral Health Support and Consultation for Young Children and Families
</v>
      </c>
      <c r="C21" s="543"/>
      <c r="D21" s="543"/>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75000</v>
      </c>
      <c r="O21" s="314">
        <f>SUMIFS(Adjustments!$G:$G,Adjustments!$H:$H,"2B",Adjustments!$I:$I,'Schedule 2B Adjustments'!$N$12,Adjustments!$J:$J,'Schedule 2B Adjustments'!$A21)</f>
        <v>0</v>
      </c>
      <c r="P21" s="310">
        <f t="shared" si="2"/>
        <v>75000</v>
      </c>
      <c r="Q21" s="68">
        <f>IFERROR(N21*'As-Filed Schedule 1'!$E$103,0)</f>
        <v>38503.71576382593</v>
      </c>
      <c r="R21" s="311">
        <f>IFERROR(P21*'Adjusted Schedule 1'!$E$104,0)</f>
        <v>41453.666828102163</v>
      </c>
      <c r="S21" s="68">
        <f t="shared" si="3"/>
        <v>113503.71576382592</v>
      </c>
      <c r="T21" s="311">
        <f t="shared" si="4"/>
        <v>116453.66682810217</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43" t="str">
        <f>IF('As-Filed Schedule 2B'!B22:D22=0,"",'As-Filed Schedule 2B'!B22:D22)</f>
        <v>Outdoor BH Community engagement program</v>
      </c>
      <c r="C22" s="543"/>
      <c r="D22" s="543"/>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59334.11</v>
      </c>
      <c r="O22" s="314">
        <f>SUMIFS(Adjustments!$G:$G,Adjustments!$H:$H,"2B",Adjustments!$I:$I,'Schedule 2B Adjustments'!$N$12,Adjustments!$J:$J,'Schedule 2B Adjustments'!$A22)</f>
        <v>0</v>
      </c>
      <c r="P22" s="310">
        <f t="shared" si="2"/>
        <v>59334.11</v>
      </c>
      <c r="Q22" s="68">
        <f>IFERROR(N22*'As-Filed Schedule 1'!$E$103,0)</f>
        <v>30461.116087194423</v>
      </c>
      <c r="R22" s="311">
        <f>IFERROR(P22*'Adjusted Schedule 1'!$E$104,0)</f>
        <v>32794.885699759529</v>
      </c>
      <c r="S22" s="68">
        <f t="shared" si="3"/>
        <v>89795.226087194431</v>
      </c>
      <c r="T22" s="311">
        <f t="shared" si="4"/>
        <v>92128.995699759529</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43" t="str">
        <f>IF('As-Filed Schedule 2B'!B23:D23=0,"",'As-Filed Schedule 2B'!B23:D23)</f>
        <v>Behavioral Health Support for Eagle County Aging Adults &amp; Caregivers</v>
      </c>
      <c r="C23" s="543"/>
      <c r="D23" s="543"/>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70000</v>
      </c>
      <c r="O23" s="314">
        <f>SUMIFS(Adjustments!$G:$G,Adjustments!$H:$H,"2B",Adjustments!$I:$I,'Schedule 2B Adjustments'!$N$12,Adjustments!$J:$J,'Schedule 2B Adjustments'!$A23)</f>
        <v>0</v>
      </c>
      <c r="P23" s="310">
        <f t="shared" si="2"/>
        <v>70000</v>
      </c>
      <c r="Q23" s="68">
        <f>IFERROR(N23*'As-Filed Schedule 1'!$E$103,0)</f>
        <v>35936.801379570868</v>
      </c>
      <c r="R23" s="311">
        <f>IFERROR(P23*'Adjusted Schedule 1'!$E$104,0)</f>
        <v>38690.089039562015</v>
      </c>
      <c r="S23" s="68">
        <f t="shared" si="3"/>
        <v>105936.80137957087</v>
      </c>
      <c r="T23" s="311">
        <f t="shared" si="4"/>
        <v>108690.08903956201</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43" t="str">
        <f>IF('As-Filed Schedule 2B'!B24:D24=0,"",'As-Filed Schedule 2B'!B24:D24)</f>
        <v>Educational and consultative programs for LGBTIQA</v>
      </c>
      <c r="C24" s="543"/>
      <c r="D24" s="543"/>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50000</v>
      </c>
      <c r="O24" s="314">
        <f>SUMIFS(Adjustments!$G:$G,Adjustments!$H:$H,"2B",Adjustments!$I:$I,'Schedule 2B Adjustments'!$N$12,Adjustments!$J:$J,'Schedule 2B Adjustments'!$A24)</f>
        <v>0</v>
      </c>
      <c r="P24" s="310">
        <f t="shared" si="2"/>
        <v>50000</v>
      </c>
      <c r="Q24" s="68">
        <f>IFERROR(N24*'As-Filed Schedule 1'!$E$103,0)</f>
        <v>25669.143842550617</v>
      </c>
      <c r="R24" s="311">
        <f>IFERROR(P24*'Adjusted Schedule 1'!$E$104,0)</f>
        <v>27635.77788540144</v>
      </c>
      <c r="S24" s="68">
        <f t="shared" si="3"/>
        <v>75669.14384255062</v>
      </c>
      <c r="T24" s="311">
        <f t="shared" si="4"/>
        <v>77635.777885401447</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43" t="str">
        <f>IF('As-Filed Schedule 2B'!B25:D25=0,"",'As-Filed Schedule 2B'!B25:D25)</f>
        <v>Eat, Chat, Parent Series - English and Spanish</v>
      </c>
      <c r="C25" s="543"/>
      <c r="D25" s="543"/>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16627</v>
      </c>
      <c r="O25" s="314">
        <f>SUMIFS(Adjustments!$G:$G,Adjustments!$H:$H,"2B",Adjustments!$I:$I,'Schedule 2B Adjustments'!$N$12,Adjustments!$J:$J,'Schedule 2B Adjustments'!$A25)</f>
        <v>0</v>
      </c>
      <c r="P25" s="310">
        <f t="shared" si="2"/>
        <v>16627</v>
      </c>
      <c r="Q25" s="68">
        <f>IFERROR(N25*'As-Filed Schedule 1'!$E$103,0)</f>
        <v>8536.0170934017824</v>
      </c>
      <c r="R25" s="311">
        <f>IFERROR(P25*'Adjusted Schedule 1'!$E$104,0)</f>
        <v>9190.0015780113954</v>
      </c>
      <c r="S25" s="68">
        <f t="shared" si="3"/>
        <v>25163.017093401781</v>
      </c>
      <c r="T25" s="311">
        <f t="shared" si="4"/>
        <v>25817.001578011397</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43" t="str">
        <f>IF('As-Filed Schedule 2B'!B26:D26=0,"",'As-Filed Schedule 2B'!B26:D26)</f>
        <v xml:space="preserve">Equine Assisted Learning Services </v>
      </c>
      <c r="C26" s="543"/>
      <c r="D26" s="543"/>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10500</v>
      </c>
      <c r="O26" s="314">
        <f>SUMIFS(Adjustments!$G:$G,Adjustments!$H:$H,"2B",Adjustments!$I:$I,'Schedule 2B Adjustments'!$N$12,Adjustments!$J:$J,'Schedule 2B Adjustments'!$A26)</f>
        <v>0</v>
      </c>
      <c r="P26" s="310">
        <f t="shared" si="2"/>
        <v>10500</v>
      </c>
      <c r="Q26" s="68">
        <f>IFERROR(N26*'As-Filed Schedule 1'!$E$103,0)</f>
        <v>5390.5202069356301</v>
      </c>
      <c r="R26" s="311">
        <f>IFERROR(P26*'Adjusted Schedule 1'!$E$104,0)</f>
        <v>5803.513355934303</v>
      </c>
      <c r="S26" s="68">
        <f t="shared" si="3"/>
        <v>15890.520206935631</v>
      </c>
      <c r="T26" s="311">
        <f t="shared" si="4"/>
        <v>16303.513355934303</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43" t="str">
        <f>IF('As-Filed Schedule 2B'!B27:D27=0,"",'As-Filed Schedule 2B'!B27:D27)</f>
        <v>Bright Future Foundation Community Outreach</v>
      </c>
      <c r="C27" s="543"/>
      <c r="D27" s="543"/>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58633.333333333336</v>
      </c>
      <c r="O27" s="314">
        <f>SUMIFS(Adjustments!$G:$G,Adjustments!$H:$H,"2B",Adjustments!$I:$I,'Schedule 2B Adjustments'!$N$12,Adjustments!$J:$J,'Schedule 2B Adjustments'!$A27)</f>
        <v>0</v>
      </c>
      <c r="P27" s="310">
        <f t="shared" si="2"/>
        <v>58633.333333333336</v>
      </c>
      <c r="Q27" s="68">
        <f>IFERROR(N27*'As-Filed Schedule 1'!$E$103,0)</f>
        <v>30101.349346031027</v>
      </c>
      <c r="R27" s="311">
        <f>IFERROR(P27*'Adjusted Schedule 1'!$E$104,0)</f>
        <v>32407.555533614093</v>
      </c>
      <c r="S27" s="68">
        <f t="shared" si="3"/>
        <v>88734.68267936437</v>
      </c>
      <c r="T27" s="311">
        <f t="shared" si="4"/>
        <v>91040.888866947425</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43" t="str">
        <f>IF('As-Filed Schedule 2B'!B28:D28=0,"",'As-Filed Schedule 2B'!B28:D28)</f>
        <v>Reconnected Foundation</v>
      </c>
      <c r="C28" s="543"/>
      <c r="D28" s="543"/>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80000</v>
      </c>
      <c r="O28" s="314">
        <f>SUMIFS(Adjustments!$G:$G,Adjustments!$H:$H,"2B",Adjustments!$I:$I,'Schedule 2B Adjustments'!$N$12,Adjustments!$J:$J,'Schedule 2B Adjustments'!$A28)</f>
        <v>0</v>
      </c>
      <c r="P28" s="310">
        <f t="shared" si="2"/>
        <v>80000</v>
      </c>
      <c r="Q28" s="68">
        <f>IFERROR(N28*'As-Filed Schedule 1'!$E$103,0)</f>
        <v>41070.630148080985</v>
      </c>
      <c r="R28" s="311">
        <f>IFERROR(P28*'Adjusted Schedule 1'!$E$104,0)</f>
        <v>44217.244616642303</v>
      </c>
      <c r="S28" s="68">
        <f t="shared" si="3"/>
        <v>121070.63014808099</v>
      </c>
      <c r="T28" s="311">
        <f t="shared" si="4"/>
        <v>124217.2446166423</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43" t="str">
        <f>IF('As-Filed Schedule 2B'!B29:D29=0,"",'As-Filed Schedule 2B'!B29:D29)</f>
        <v>Eagle County School District - SEL Curriculum</v>
      </c>
      <c r="C29" s="543"/>
      <c r="D29" s="543"/>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95000</v>
      </c>
      <c r="O29" s="314">
        <f>SUMIFS(Adjustments!$G:$G,Adjustments!$H:$H,"2B",Adjustments!$I:$I,'Schedule 2B Adjustments'!$N$12,Adjustments!$J:$J,'Schedule 2B Adjustments'!$A29)</f>
        <v>0</v>
      </c>
      <c r="P29" s="310">
        <f t="shared" si="2"/>
        <v>95000</v>
      </c>
      <c r="Q29" s="68">
        <f>IFERROR(N29*'As-Filed Schedule 1'!$E$103,0)</f>
        <v>48771.373300846171</v>
      </c>
      <c r="R29" s="311">
        <f>IFERROR(P29*'Adjusted Schedule 1'!$E$104,0)</f>
        <v>52507.977982262739</v>
      </c>
      <c r="S29" s="68">
        <f t="shared" si="3"/>
        <v>143771.37330084617</v>
      </c>
      <c r="T29" s="311">
        <f t="shared" si="4"/>
        <v>147507.97798226273</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43" t="str">
        <f>IF('As-Filed Schedule 2B'!B30:D30=0,"",'As-Filed Schedule 2B'!B30:D30)</f>
        <v/>
      </c>
      <c r="C30" s="543"/>
      <c r="D30" s="543"/>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43" t="str">
        <f>IF('As-Filed Schedule 2B'!B31:D31=0,"",'As-Filed Schedule 2B'!B31:D31)</f>
        <v>Grant Expense for non EVBH/YHC subrecipients</v>
      </c>
      <c r="C31" s="543"/>
      <c r="D31" s="543"/>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1166319</v>
      </c>
      <c r="O31" s="314">
        <f>SUMIFS(Adjustments!$G:$G,Adjustments!$H:$H,"2B",Adjustments!$I:$I,'Schedule 2B Adjustments'!$N$12,Adjustments!$J:$J,'Schedule 2B Adjustments'!$A31)</f>
        <v>0</v>
      </c>
      <c r="P31" s="310">
        <f t="shared" si="2"/>
        <v>1166319</v>
      </c>
      <c r="Q31" s="68">
        <f>IFERROR(N31*'As-Filed Schedule 1'!$E$103,0)</f>
        <v>598768.20354599587</v>
      </c>
      <c r="R31" s="311">
        <f>IFERROR(P31*'Adjusted Schedule 1'!$E$104,0)</f>
        <v>644642.65655047051</v>
      </c>
      <c r="S31" s="68">
        <f t="shared" si="3"/>
        <v>1765087.203545996</v>
      </c>
      <c r="T31" s="311">
        <f t="shared" si="4"/>
        <v>1810961.6565504705</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43" t="str">
        <f>IF('As-Filed Schedule 2B'!B32:D32=0,"",'As-Filed Schedule 2B'!B32:D32)</f>
        <v/>
      </c>
      <c r="C32" s="543"/>
      <c r="D32" s="543"/>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43" t="str">
        <f>IF('As-Filed Schedule 2B'!B33:D33=0,"",'As-Filed Schedule 2B'!B33:D33)</f>
        <v/>
      </c>
      <c r="C33" s="543"/>
      <c r="D33" s="543"/>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43" t="str">
        <f>IF('As-Filed Schedule 2B'!B34:D34=0,"",'As-Filed Schedule 2B'!B34:D34)</f>
        <v/>
      </c>
      <c r="C34" s="543"/>
      <c r="D34" s="543"/>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43" t="str">
        <f>IF('As-Filed Schedule 2B'!B35:D35=0,"",'As-Filed Schedule 2B'!B35:D35)</f>
        <v/>
      </c>
      <c r="C35" s="543"/>
      <c r="D35" s="543"/>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43" t="str">
        <f>IF('As-Filed Schedule 2B'!B36:D36=0,"",'As-Filed Schedule 2B'!B36:D36)</f>
        <v/>
      </c>
      <c r="C36" s="543"/>
      <c r="D36" s="543"/>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43" t="str">
        <f>IF('As-Filed Schedule 2B'!B37:D37=0,"",'As-Filed Schedule 2B'!B37:D37)</f>
        <v/>
      </c>
      <c r="C37" s="543"/>
      <c r="D37" s="543"/>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43" t="str">
        <f>IF('As-Filed Schedule 2B'!B38:D38=0,"",'As-Filed Schedule 2B'!B38:D38)</f>
        <v/>
      </c>
      <c r="C38" s="543"/>
      <c r="D38" s="543"/>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43" t="str">
        <f>IF('As-Filed Schedule 2B'!B39:D39=0,"",'As-Filed Schedule 2B'!B39:D39)</f>
        <v/>
      </c>
      <c r="C39" s="543"/>
      <c r="D39" s="543"/>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43" t="str">
        <f>IF('As-Filed Schedule 2B'!B40:D40=0,"",'As-Filed Schedule 2B'!B40:D40)</f>
        <v/>
      </c>
      <c r="C40" s="543"/>
      <c r="D40" s="543"/>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43" t="str">
        <f>IF('As-Filed Schedule 2B'!B41:D41=0,"",'As-Filed Schedule 2B'!B41:D41)</f>
        <v/>
      </c>
      <c r="C41" s="543"/>
      <c r="D41" s="543"/>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43" t="str">
        <f>IF('As-Filed Schedule 2B'!B42:D42=0,"",'As-Filed Schedule 2B'!B42:D42)</f>
        <v/>
      </c>
      <c r="C42" s="543"/>
      <c r="D42" s="543"/>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43" t="str">
        <f>IF('As-Filed Schedule 2B'!B43:D43=0,"",'As-Filed Schedule 2B'!B43:D43)</f>
        <v/>
      </c>
      <c r="C43" s="543"/>
      <c r="D43" s="543"/>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43" t="str">
        <f>IF('As-Filed Schedule 2B'!B44:D44=0,"",'As-Filed Schedule 2B'!B44:D44)</f>
        <v/>
      </c>
      <c r="C44" s="543"/>
      <c r="D44" s="543"/>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43" t="str">
        <f>IF('As-Filed Schedule 2B'!B45:D45=0,"",'As-Filed Schedule 2B'!B45:D45)</f>
        <v/>
      </c>
      <c r="C45" s="543"/>
      <c r="D45" s="543"/>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43" t="str">
        <f>IF('As-Filed Schedule 2B'!B46:D46=0,"",'As-Filed Schedule 2B'!B46:D46)</f>
        <v/>
      </c>
      <c r="C46" s="543"/>
      <c r="D46" s="543"/>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43" t="str">
        <f>IF('As-Filed Schedule 2B'!B47:D47=0,"",'As-Filed Schedule 2B'!B47:D47)</f>
        <v/>
      </c>
      <c r="C47" s="543"/>
      <c r="D47" s="543"/>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43" t="str">
        <f>IF('As-Filed Schedule 2B'!B48:D48=0,"",'As-Filed Schedule 2B'!B48:D48)</f>
        <v/>
      </c>
      <c r="C48" s="543"/>
      <c r="D48" s="543"/>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43" t="str">
        <f>IF('As-Filed Schedule 2B'!B49:D49=0,"",'As-Filed Schedule 2B'!B49:D49)</f>
        <v/>
      </c>
      <c r="C49" s="543"/>
      <c r="D49" s="543"/>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43" t="str">
        <f>IF('As-Filed Schedule 2B'!B50:D50=0,"",'As-Filed Schedule 2B'!B50:D50)</f>
        <v/>
      </c>
      <c r="C50" s="543"/>
      <c r="D50" s="543"/>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43" t="str">
        <f>IF('As-Filed Schedule 2B'!B51:D51=0,"",'As-Filed Schedule 2B'!B51:D51)</f>
        <v/>
      </c>
      <c r="C51" s="543"/>
      <c r="D51" s="543"/>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43" t="str">
        <f>IF('As-Filed Schedule 2B'!B52:D52=0,"",'As-Filed Schedule 2B'!B52:D52)</f>
        <v/>
      </c>
      <c r="C52" s="543"/>
      <c r="D52" s="543"/>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43" t="str">
        <f>IF('As-Filed Schedule 2B'!B53:D53=0,"",'As-Filed Schedule 2B'!B53:D53)</f>
        <v/>
      </c>
      <c r="C53" s="543"/>
      <c r="D53" s="543"/>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43" t="str">
        <f>IF('As-Filed Schedule 2B'!B54:D54=0,"",'As-Filed Schedule 2B'!B54:D54)</f>
        <v/>
      </c>
      <c r="C54" s="543"/>
      <c r="D54" s="543"/>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43" t="str">
        <f>IF('As-Filed Schedule 2B'!B55:D55=0,"",'As-Filed Schedule 2B'!B55:D55)</f>
        <v/>
      </c>
      <c r="C55" s="543"/>
      <c r="D55" s="543"/>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43" t="str">
        <f>IF('As-Filed Schedule 2B'!B56:D56=0,"",'As-Filed Schedule 2B'!B56:D56)</f>
        <v/>
      </c>
      <c r="C56" s="543"/>
      <c r="D56" s="543"/>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43" t="str">
        <f>IF('As-Filed Schedule 2B'!B57:D57=0,"",'As-Filed Schedule 2B'!B57:D57)</f>
        <v/>
      </c>
      <c r="C57" s="543"/>
      <c r="D57" s="543"/>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43" t="str">
        <f>IF('As-Filed Schedule 2B'!B58:D58=0,"",'As-Filed Schedule 2B'!B58:D58)</f>
        <v/>
      </c>
      <c r="C58" s="543"/>
      <c r="D58" s="543"/>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43" t="str">
        <f>IF('As-Filed Schedule 2B'!B59:D59=0,"",'As-Filed Schedule 2B'!B59:D59)</f>
        <v/>
      </c>
      <c r="C59" s="543"/>
      <c r="D59" s="543"/>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43" t="str">
        <f>IF('As-Filed Schedule 2B'!B60:D60=0,"",'As-Filed Schedule 2B'!B60:D60)</f>
        <v/>
      </c>
      <c r="C60" s="543"/>
      <c r="D60" s="543"/>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43" t="str">
        <f>IF('As-Filed Schedule 2B'!B61:D61=0,"",'As-Filed Schedule 2B'!B61:D61)</f>
        <v/>
      </c>
      <c r="C61" s="543"/>
      <c r="D61" s="543"/>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43" t="str">
        <f>IF('As-Filed Schedule 2B'!B62:D62=0,"",'As-Filed Schedule 2B'!B62:D62)</f>
        <v/>
      </c>
      <c r="C62" s="543"/>
      <c r="D62" s="543"/>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43" t="str">
        <f>IF('As-Filed Schedule 2B'!B63:D63=0,"",'As-Filed Schedule 2B'!B63:D63)</f>
        <v/>
      </c>
      <c r="C63" s="543"/>
      <c r="D63" s="543"/>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43" t="str">
        <f>IF('As-Filed Schedule 2B'!B64:D64=0,"",'As-Filed Schedule 2B'!B64:D64)</f>
        <v/>
      </c>
      <c r="C64" s="543"/>
      <c r="D64" s="543"/>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43" t="str">
        <f>IF('As-Filed Schedule 2B'!B65:D65=0,"",'As-Filed Schedule 2B'!B65:D65)</f>
        <v/>
      </c>
      <c r="C65" s="543"/>
      <c r="D65" s="543"/>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43" t="str">
        <f>IF('As-Filed Schedule 2B'!B66:D66=0,"",'As-Filed Schedule 2B'!B66:D66)</f>
        <v/>
      </c>
      <c r="C66" s="543"/>
      <c r="D66" s="543"/>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43" t="str">
        <f>IF('As-Filed Schedule 2B'!B67:D67=0,"",'As-Filed Schedule 2B'!B67:D67)</f>
        <v/>
      </c>
      <c r="C67" s="543"/>
      <c r="D67" s="543"/>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43" t="str">
        <f>IF('As-Filed Schedule 2B'!B68:D68=0,"",'As-Filed Schedule 2B'!B68:D68)</f>
        <v/>
      </c>
      <c r="C68" s="543"/>
      <c r="D68" s="543"/>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43" t="str">
        <f>IF('As-Filed Schedule 2B'!B69:D69=0,"",'As-Filed Schedule 2B'!B69:D69)</f>
        <v/>
      </c>
      <c r="C69" s="543"/>
      <c r="D69" s="543"/>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43" t="str">
        <f>IF('As-Filed Schedule 2B'!B70:D70=0,"",'As-Filed Schedule 2B'!B70:D70)</f>
        <v/>
      </c>
      <c r="C70" s="543"/>
      <c r="D70" s="543"/>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43" t="str">
        <f>IF('As-Filed Schedule 2B'!B71:D71=0,"",'As-Filed Schedule 2B'!B71:D71)</f>
        <v/>
      </c>
      <c r="C71" s="543"/>
      <c r="D71" s="543"/>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43" t="str">
        <f>IF('As-Filed Schedule 2B'!B72:D72=0,"",'As-Filed Schedule 2B'!B72:D72)</f>
        <v/>
      </c>
      <c r="C72" s="543"/>
      <c r="D72" s="543"/>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0</v>
      </c>
      <c r="G73" s="321">
        <f t="shared" ref="G73:H73" si="8">SUM(G15:G72)</f>
        <v>0</v>
      </c>
      <c r="H73" s="312">
        <f t="shared" si="8"/>
        <v>0</v>
      </c>
      <c r="I73" s="18">
        <f t="shared" ref="I73:K73" si="9">SUM(I15:I72)</f>
        <v>0</v>
      </c>
      <c r="J73" s="312">
        <f t="shared" ref="J73" si="10">SUM(J15:J72)</f>
        <v>0</v>
      </c>
      <c r="K73" s="18">
        <f t="shared" si="9"/>
        <v>0</v>
      </c>
      <c r="L73" s="312">
        <f t="shared" ref="L73" si="11">SUM(L15:L72)</f>
        <v>0</v>
      </c>
      <c r="N73" s="18">
        <f>SUM(N15:N72)</f>
        <v>2402433.1100000003</v>
      </c>
      <c r="O73" s="321">
        <f t="shared" ref="O73:P73" si="12">SUM(O15:O72)</f>
        <v>0</v>
      </c>
      <c r="P73" s="312">
        <f t="shared" si="12"/>
        <v>2402433.1100000003</v>
      </c>
      <c r="Q73" s="18">
        <f t="shared" ref="Q73:S73" si="13">SUM(Q15:Q72)</f>
        <v>1233368.0214539247</v>
      </c>
      <c r="R73" s="311">
        <f>IFERROR(P73*'Adjusted Schedule 1'!$E$104,0)</f>
        <v>1327862.1562498843</v>
      </c>
      <c r="S73" s="18">
        <f t="shared" si="13"/>
        <v>3635801.1314539253</v>
      </c>
      <c r="T73" s="312">
        <f>SUM(T15:T72)</f>
        <v>3730295.2662498839</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3635801.1314539253</v>
      </c>
      <c r="G75"/>
      <c r="H75" s="335">
        <f>L73+T73</f>
        <v>3730295.2662498839</v>
      </c>
      <c r="I75" s="74"/>
      <c r="J75" s="326"/>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5" customHeight="1" x14ac:dyDescent="0.5">
      <c r="A3" s="524" t="s">
        <v>754</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627</v>
      </c>
      <c r="C8" s="1"/>
      <c r="D8" s="119" t="s">
        <v>1017</v>
      </c>
      <c r="E8" s="41" t="s">
        <v>259</v>
      </c>
    </row>
    <row r="10" spans="1:27" x14ac:dyDescent="0.35">
      <c r="A10" s="1" t="s">
        <v>254</v>
      </c>
      <c r="B10" s="1" t="s">
        <v>256</v>
      </c>
      <c r="C10" s="1"/>
    </row>
    <row r="11" spans="1:27" x14ac:dyDescent="0.35">
      <c r="B11" s="334" t="s">
        <v>598</v>
      </c>
    </row>
    <row r="12" spans="1:27" x14ac:dyDescent="0.35">
      <c r="B12" s="535">
        <v>1</v>
      </c>
      <c r="C12" s="535"/>
      <c r="D12" s="535"/>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44" t="s">
        <v>612</v>
      </c>
      <c r="C13" s="545"/>
      <c r="D13" s="546"/>
      <c r="F13" s="538" t="s">
        <v>261</v>
      </c>
      <c r="G13" s="550"/>
      <c r="H13" s="550"/>
      <c r="I13" s="550"/>
      <c r="J13" s="550"/>
      <c r="K13" s="550"/>
      <c r="L13" s="539"/>
      <c r="N13" s="538" t="s">
        <v>262</v>
      </c>
      <c r="O13" s="550"/>
      <c r="P13" s="550"/>
      <c r="Q13" s="550"/>
      <c r="R13" s="550"/>
      <c r="S13" s="550"/>
      <c r="T13" s="539"/>
      <c r="V13" s="551" t="s">
        <v>250</v>
      </c>
      <c r="W13" s="604" t="s">
        <v>620</v>
      </c>
      <c r="X13" s="606" t="s">
        <v>621</v>
      </c>
      <c r="Y13" s="537" t="s">
        <v>312</v>
      </c>
      <c r="Z13" s="608" t="s">
        <v>622</v>
      </c>
      <c r="AA13" s="609" t="s">
        <v>623</v>
      </c>
    </row>
    <row r="14" spans="1:27" ht="55.5" customHeight="1" x14ac:dyDescent="0.35">
      <c r="B14" s="547"/>
      <c r="C14" s="548"/>
      <c r="D14" s="549"/>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52"/>
      <c r="W14" s="605"/>
      <c r="X14" s="607"/>
      <c r="Y14" s="537"/>
      <c r="Z14" s="608"/>
      <c r="AA14" s="609"/>
    </row>
    <row r="15" spans="1:27" x14ac:dyDescent="0.35">
      <c r="A15" s="24">
        <v>1</v>
      </c>
      <c r="B15" s="543" t="str">
        <f>IF('As-Filed Schedule 2C'!B15:D15=0,"",'As-Filed Schedule 2C'!B15:D15)</f>
        <v>YHC School-Based Cllinicians - offices in 18 school providing theraputic services to students throughout the school day</v>
      </c>
      <c r="C15" s="543"/>
      <c r="D15" s="543"/>
      <c r="F15" s="117">
        <f>'As-Filed Schedule 2C'!F15</f>
        <v>1876628</v>
      </c>
      <c r="G15" s="314">
        <f>SUMIFS(Adjustments!$G:$G,Adjustments!$H:$H,"2C",Adjustments!$I:$I,'Schedule 2C Adjustments'!$F$12,Adjustments!$J:$J,'Schedule 2C Adjustments'!$A15)</f>
        <v>0</v>
      </c>
      <c r="H15" s="310">
        <f>SUM(F15:G15)</f>
        <v>1876628</v>
      </c>
      <c r="I15" s="68">
        <f>IFERROR(F15*'As-Filed Schedule 1'!$E$103,0)</f>
        <v>963428.68141916161</v>
      </c>
      <c r="J15" s="311">
        <f>IFERROR(H15*'Adjusted Schedule 1'!$E$104,0)</f>
        <v>1037241.4916305027</v>
      </c>
      <c r="K15" s="68">
        <f>SUM(F15,I15)</f>
        <v>2840056.6814191616</v>
      </c>
      <c r="L15" s="311">
        <f>SUM(H15,J15)</f>
        <v>2913869.491630503</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18.940000000000001</v>
      </c>
      <c r="W15" s="314">
        <f>SUMIFS(Adjustments!$G:$G,Adjustments!$H:$H,"2C",Adjustments!$I:$I,'Schedule 2C Adjustments'!$V$12,Adjustments!$J:$J,'Schedule 2C Adjustments'!$A15)</f>
        <v>0</v>
      </c>
      <c r="X15" s="310">
        <f>SUM(V15:W15)</f>
        <v>18.940000000000001</v>
      </c>
      <c r="Y15" s="120">
        <f>'As-Filed Schedule 2C'!O15</f>
        <v>1000</v>
      </c>
      <c r="Z15" s="314">
        <f>SUMIFS(Adjustments!$G:$G,Adjustments!$H:$H,"2C",Adjustments!$I:$I,'Schedule 2C Adjustments'!$Y$12,Adjustments!$J:$J,'Schedule 2C Adjustments'!$A15)</f>
        <v>0</v>
      </c>
      <c r="AA15" s="310">
        <f>SUM(Y15:Z15)</f>
        <v>1000</v>
      </c>
    </row>
    <row r="16" spans="1:27" x14ac:dyDescent="0.35">
      <c r="A16" s="24">
        <v>2</v>
      </c>
      <c r="B16" s="543" t="str">
        <f>IF('As-Filed Schedule 2C'!B16:D16=0,"",'As-Filed Schedule 2C'!B16:D16)</f>
        <v/>
      </c>
      <c r="C16" s="543"/>
      <c r="D16" s="543"/>
      <c r="F16" s="117">
        <f>'As-Filed Schedule 2C'!F16</f>
        <v>0</v>
      </c>
      <c r="G16" s="314">
        <f>SUMIFS(Adjustments!$G:$G,Adjustments!$H:$H,"2C",Adjustments!$I:$I,'Schedule 2C Adjustments'!$F$12,Adjustments!$J:$J,'Schedule 2C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0</v>
      </c>
      <c r="W16" s="314">
        <f>SUMIFS(Adjustments!$G:$G,Adjustments!$H:$H,"2C",Adjustments!$I:$I,'Schedule 2C Adjustments'!$V$12,Adjustments!$J:$J,'Schedule 2C Adjustments'!$A16)</f>
        <v>0</v>
      </c>
      <c r="X16" s="310">
        <f t="shared" ref="X16:X72" si="6">SUM(V16:W16)</f>
        <v>0</v>
      </c>
      <c r="Y16" s="120">
        <f>'As-Filed Schedule 2C'!O16</f>
        <v>0</v>
      </c>
      <c r="Z16" s="314">
        <f>SUMIFS(Adjustments!$G:$G,Adjustments!$H:$H,"2C",Adjustments!$I:$I,'Schedule 2C Adjustments'!$Y$12,Adjustments!$J:$J,'Schedule 2C Adjustments'!$A16)</f>
        <v>0</v>
      </c>
      <c r="AA16" s="310">
        <f t="shared" ref="AA16:AA72" si="7">SUM(Y16:Z16)</f>
        <v>0</v>
      </c>
    </row>
    <row r="17" spans="1:27" x14ac:dyDescent="0.35">
      <c r="A17" s="24">
        <v>3</v>
      </c>
      <c r="B17" s="543" t="str">
        <f>IF('As-Filed Schedule 2C'!B17:D17=0,"",'As-Filed Schedule 2C'!B17:D17)</f>
        <v/>
      </c>
      <c r="C17" s="543"/>
      <c r="D17" s="543"/>
      <c r="F17" s="117">
        <f>'As-Filed Schedule 2C'!F17</f>
        <v>0</v>
      </c>
      <c r="G17" s="314">
        <f>SUMIFS(Adjustments!$G:$G,Adjustments!$H:$H,"2C",Adjustments!$I:$I,'Schedule 2C Adjustments'!$F$12,Adjustments!$J:$J,'Schedule 2C Adjustments'!$A17)</f>
        <v>0</v>
      </c>
      <c r="H17" s="310">
        <f t="shared" si="0"/>
        <v>0</v>
      </c>
      <c r="I17" s="68">
        <f>IFERROR(F17*'As-Filed Schedule 1'!$E$103,0)</f>
        <v>0</v>
      </c>
      <c r="J17" s="311">
        <f>IFERROR(H17*'Adjusted Schedule 1'!$E$104,0)</f>
        <v>0</v>
      </c>
      <c r="K17" s="68">
        <f t="shared" si="1"/>
        <v>0</v>
      </c>
      <c r="L17" s="311">
        <f t="shared" si="2"/>
        <v>0</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0</v>
      </c>
      <c r="W17" s="314">
        <f>SUMIFS(Adjustments!$G:$G,Adjustments!$H:$H,"2C",Adjustments!$I:$I,'Schedule 2C Adjustments'!$V$12,Adjustments!$J:$J,'Schedule 2C Adjustments'!$A17)</f>
        <v>0</v>
      </c>
      <c r="X17" s="310">
        <f t="shared" si="6"/>
        <v>0</v>
      </c>
      <c r="Y17" s="120">
        <f>'As-Filed Schedule 2C'!O17</f>
        <v>0</v>
      </c>
      <c r="Z17" s="314">
        <f>SUMIFS(Adjustments!$G:$G,Adjustments!$H:$H,"2C",Adjustments!$I:$I,'Schedule 2C Adjustments'!$Y$12,Adjustments!$J:$J,'Schedule 2C Adjustments'!$A17)</f>
        <v>0</v>
      </c>
      <c r="AA17" s="310">
        <f t="shared" si="7"/>
        <v>0</v>
      </c>
    </row>
    <row r="18" spans="1:27" x14ac:dyDescent="0.35">
      <c r="A18" s="24">
        <v>4</v>
      </c>
      <c r="B18" s="543" t="str">
        <f>IF('As-Filed Schedule 2C'!B18:D18=0,"",'As-Filed Schedule 2C'!B18:D18)</f>
        <v/>
      </c>
      <c r="C18" s="543"/>
      <c r="D18" s="543"/>
      <c r="F18" s="117">
        <f>'As-Filed Schedule 2C'!F18</f>
        <v>0</v>
      </c>
      <c r="G18" s="314">
        <f>SUMIFS(Adjustments!$G:$G,Adjustments!$H:$H,"2C",Adjustments!$I:$I,'Schedule 2C Adjustments'!$F$12,Adjustments!$J:$J,'Schedule 2C Adjustments'!$A18)</f>
        <v>0</v>
      </c>
      <c r="H18" s="310">
        <f t="shared" si="0"/>
        <v>0</v>
      </c>
      <c r="I18" s="68">
        <f>IFERROR(F18*'As-Filed Schedule 1'!$E$103,0)</f>
        <v>0</v>
      </c>
      <c r="J18" s="311">
        <f>IFERROR(H18*'Adjusted Schedule 1'!$E$104,0)</f>
        <v>0</v>
      </c>
      <c r="K18" s="68">
        <f t="shared" si="1"/>
        <v>0</v>
      </c>
      <c r="L18" s="311">
        <f>SUM(H18,J18)</f>
        <v>0</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0</v>
      </c>
      <c r="W18" s="314">
        <f>SUMIFS(Adjustments!$G:$G,Adjustments!$H:$H,"2C",Adjustments!$I:$I,'Schedule 2C Adjustments'!$V$12,Adjustments!$J:$J,'Schedule 2C Adjustments'!$A18)</f>
        <v>0</v>
      </c>
      <c r="X18" s="310">
        <f t="shared" si="6"/>
        <v>0</v>
      </c>
      <c r="Y18" s="120">
        <f>'As-Filed Schedule 2C'!O18</f>
        <v>0</v>
      </c>
      <c r="Z18" s="314">
        <f>SUMIFS(Adjustments!$G:$G,Adjustments!$H:$H,"2C",Adjustments!$I:$I,'Schedule 2C Adjustments'!$Y$12,Adjustments!$J:$J,'Schedule 2C Adjustments'!$A18)</f>
        <v>0</v>
      </c>
      <c r="AA18" s="310">
        <f t="shared" si="7"/>
        <v>0</v>
      </c>
    </row>
    <row r="19" spans="1:27" x14ac:dyDescent="0.35">
      <c r="A19" s="24">
        <v>5</v>
      </c>
      <c r="B19" s="543" t="str">
        <f>IF('As-Filed Schedule 2C'!B19:D19=0,"",'As-Filed Schedule 2C'!B19:D19)</f>
        <v>EVBH therapy, case management, &amp; Indirct CMHC mgt.</v>
      </c>
      <c r="C19" s="543"/>
      <c r="D19" s="543"/>
      <c r="F19" s="117">
        <f>'As-Filed Schedule 2C'!F19</f>
        <v>7607541.4443220915</v>
      </c>
      <c r="G19" s="314">
        <f>SUMIFS(Adjustments!$G:$G,Adjustments!$H:$H,"2C",Adjustments!$I:$I,'Schedule 2C Adjustments'!$F$12,Adjustments!$J:$J,'Schedule 2C Adjustments'!$A19)</f>
        <v>0</v>
      </c>
      <c r="H19" s="310">
        <f t="shared" si="0"/>
        <v>7607541.4443220915</v>
      </c>
      <c r="I19" s="68">
        <f>IFERROR(F19*'As-Filed Schedule 1'!$E$103,0)</f>
        <v>3905581.5124493809</v>
      </c>
      <c r="J19" s="311">
        <f>IFERROR(H19*'Adjusted Schedule 1'!$E$104,0)</f>
        <v>4204806.5121854283</v>
      </c>
      <c r="K19" s="68">
        <f t="shared" si="1"/>
        <v>11513122.956771472</v>
      </c>
      <c r="L19" s="311">
        <f t="shared" si="2"/>
        <v>11812347.956507519</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44.11</v>
      </c>
      <c r="W19" s="314">
        <f>SUMIFS(Adjustments!$G:$G,Adjustments!$H:$H,"2C",Adjustments!$I:$I,'Schedule 2C Adjustments'!$V$12,Adjustments!$J:$J,'Schedule 2C Adjustments'!$A19)</f>
        <v>0</v>
      </c>
      <c r="X19" s="310">
        <f t="shared" si="6"/>
        <v>44.11</v>
      </c>
      <c r="Y19" s="120">
        <f>'As-Filed Schedule 2C'!O19</f>
        <v>4078</v>
      </c>
      <c r="Z19" s="314">
        <f>SUMIFS(Adjustments!$G:$G,Adjustments!$H:$H,"2C",Adjustments!$I:$I,'Schedule 2C Adjustments'!$Y$12,Adjustments!$J:$J,'Schedule 2C Adjustments'!$A19)</f>
        <v>0</v>
      </c>
      <c r="AA19" s="310">
        <f t="shared" si="7"/>
        <v>4078</v>
      </c>
    </row>
    <row r="20" spans="1:27" x14ac:dyDescent="0.35">
      <c r="A20" s="24">
        <v>6</v>
      </c>
      <c r="B20" s="543" t="str">
        <f>IF('As-Filed Schedule 2C'!B20:D20=0,"",'As-Filed Schedule 2C'!B20:D20)</f>
        <v>EVBH Community Care Coordination</v>
      </c>
      <c r="C20" s="543"/>
      <c r="D20" s="543"/>
      <c r="F20" s="117">
        <f>'As-Filed Schedule 2C'!F20</f>
        <v>0</v>
      </c>
      <c r="G20" s="314">
        <f>SUMIFS(Adjustments!$G:$G,Adjustments!$H:$H,"2C",Adjustments!$I:$I,'Schedule 2C Adjustments'!$F$12,Adjustments!$J:$J,'Schedule 2C Adjustments'!$A20)</f>
        <v>0</v>
      </c>
      <c r="H20" s="310">
        <f t="shared" si="0"/>
        <v>0</v>
      </c>
      <c r="I20" s="68">
        <f>IFERROR(F20*'As-Filed Schedule 1'!$E$103,0)</f>
        <v>0</v>
      </c>
      <c r="J20" s="311">
        <f>IFERROR(H20*'Adjusted Schedule 1'!$E$104,0)</f>
        <v>0</v>
      </c>
      <c r="K20" s="68">
        <f>SUM(F20,I20)</f>
        <v>0</v>
      </c>
      <c r="L20" s="311">
        <f t="shared" si="2"/>
        <v>0</v>
      </c>
      <c r="N20" s="117">
        <f>'As-Filed Schedule 2C'!J20</f>
        <v>140925.49846071191</v>
      </c>
      <c r="O20" s="314">
        <f>SUMIFS(Adjustments!$G:$G,Adjustments!$H:$H,"2C",Adjustments!$I:$I,'Schedule 2C Adjustments'!$N$12,Adjustments!$J:$J,'Schedule 2C Adjustments'!$A20)</f>
        <v>0</v>
      </c>
      <c r="P20" s="310">
        <f t="shared" si="3"/>
        <v>140925.49846071191</v>
      </c>
      <c r="Q20" s="68">
        <f>IFERROR(N20*'As-Filed Schedule 1'!$E$103,0)</f>
        <v>72348.737821423201</v>
      </c>
      <c r="R20" s="311">
        <f>IFERROR(P20*'Adjusted Schedule 1'!$E$104,0)</f>
        <v>77891.715476994344</v>
      </c>
      <c r="S20" s="68">
        <f t="shared" si="4"/>
        <v>213274.23628213513</v>
      </c>
      <c r="T20" s="311">
        <f t="shared" si="5"/>
        <v>218817.21393770626</v>
      </c>
      <c r="V20" s="120">
        <f>'As-Filed Schedule 2C'!N20</f>
        <v>2.83</v>
      </c>
      <c r="W20" s="314">
        <f>SUMIFS(Adjustments!$G:$G,Adjustments!$H:$H,"2C",Adjustments!$I:$I,'Schedule 2C Adjustments'!$V$12,Adjustments!$J:$J,'Schedule 2C Adjustments'!$A20)</f>
        <v>0</v>
      </c>
      <c r="X20" s="310">
        <f t="shared" si="6"/>
        <v>2.83</v>
      </c>
      <c r="Y20" s="120">
        <f>'As-Filed Schedule 2C'!O20</f>
        <v>0</v>
      </c>
      <c r="Z20" s="314">
        <f>SUMIFS(Adjustments!$G:$G,Adjustments!$H:$H,"2C",Adjustments!$I:$I,'Schedule 2C Adjustments'!$Y$12,Adjustments!$J:$J,'Schedule 2C Adjustments'!$A20)</f>
        <v>0</v>
      </c>
      <c r="AA20" s="310">
        <f t="shared" si="7"/>
        <v>0</v>
      </c>
    </row>
    <row r="21" spans="1:27" x14ac:dyDescent="0.35">
      <c r="A21" s="24">
        <v>7</v>
      </c>
      <c r="B21" s="543" t="str">
        <f>IF('As-Filed Schedule 2C'!B21:D21=0,"",'As-Filed Schedule 2C'!B21:D21)</f>
        <v/>
      </c>
      <c r="C21" s="543"/>
      <c r="D21" s="543"/>
      <c r="F21" s="117">
        <f>'As-Filed Schedule 2C'!F21</f>
        <v>0</v>
      </c>
      <c r="G21" s="314">
        <f>SUMIFS(Adjustments!$G:$G,Adjustments!$H:$H,"2C",Adjustments!$I:$I,'Schedule 2C Adjustments'!$F$12,Adjustments!$J:$J,'Schedule 2C Adjustments'!$A21)</f>
        <v>0</v>
      </c>
      <c r="H21" s="310">
        <f t="shared" si="0"/>
        <v>0</v>
      </c>
      <c r="I21" s="68">
        <f>IFERROR(F21*'As-Filed Schedule 1'!$E$103,0)</f>
        <v>0</v>
      </c>
      <c r="J21" s="311">
        <f>IFERROR(H21*'Adjusted Schedule 1'!$E$104,0)</f>
        <v>0</v>
      </c>
      <c r="K21" s="68">
        <f t="shared" si="1"/>
        <v>0</v>
      </c>
      <c r="L21" s="311">
        <f t="shared" si="2"/>
        <v>0</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0</v>
      </c>
      <c r="W21" s="314">
        <f>SUMIFS(Adjustments!$G:$G,Adjustments!$H:$H,"2C",Adjustments!$I:$I,'Schedule 2C Adjustments'!$V$12,Adjustments!$J:$J,'Schedule 2C Adjustments'!$A21)</f>
        <v>0</v>
      </c>
      <c r="X21" s="310">
        <f t="shared" si="6"/>
        <v>0</v>
      </c>
      <c r="Y21" s="120">
        <f>'As-Filed Schedule 2C'!O21</f>
        <v>0</v>
      </c>
      <c r="Z21" s="314">
        <f>SUMIFS(Adjustments!$G:$G,Adjustments!$H:$H,"2C",Adjustments!$I:$I,'Schedule 2C Adjustments'!$Y$12,Adjustments!$J:$J,'Schedule 2C Adjustments'!$A21)</f>
        <v>0</v>
      </c>
      <c r="AA21" s="310">
        <f t="shared" si="7"/>
        <v>0</v>
      </c>
    </row>
    <row r="22" spans="1:27" x14ac:dyDescent="0.35">
      <c r="A22" s="24">
        <v>8</v>
      </c>
      <c r="B22" s="543" t="str">
        <f>IF('As-Filed Schedule 2C'!B22:D22=0,"",'As-Filed Schedule 2C'!B22:D22)</f>
        <v>Case mgt for older adults and their caregivers - Caregiver Connections</v>
      </c>
      <c r="C22" s="543"/>
      <c r="D22" s="543"/>
      <c r="F22" s="117">
        <f>'As-Filed Schedule 2C'!F22</f>
        <v>0</v>
      </c>
      <c r="G22" s="314">
        <f>SUMIFS(Adjustments!$G:$G,Adjustments!$H:$H,"2C",Adjustments!$I:$I,'Schedule 2C Adjustments'!$F$12,Adjustments!$J:$J,'Schedule 2C Adjustments'!$A22)</f>
        <v>0</v>
      </c>
      <c r="H22" s="310">
        <f t="shared" si="0"/>
        <v>0</v>
      </c>
      <c r="I22" s="68">
        <f>IFERROR(F22*'As-Filed Schedule 1'!$E$103,0)</f>
        <v>0</v>
      </c>
      <c r="J22" s="311">
        <f>IFERROR(H22*'Adjusted Schedule 1'!$E$104,0)</f>
        <v>0</v>
      </c>
      <c r="K22" s="68">
        <f t="shared" si="1"/>
        <v>0</v>
      </c>
      <c r="L22" s="311">
        <f t="shared" si="2"/>
        <v>0</v>
      </c>
      <c r="N22" s="117">
        <f>'As-Filed Schedule 2C'!J22</f>
        <v>23333.333333333336</v>
      </c>
      <c r="O22" s="314">
        <f>SUMIFS(Adjustments!$G:$G,Adjustments!$H:$H,"2C",Adjustments!$I:$I,'Schedule 2C Adjustments'!$N$12,Adjustments!$J:$J,'Schedule 2C Adjustments'!$A22)</f>
        <v>0</v>
      </c>
      <c r="P22" s="310">
        <f t="shared" si="3"/>
        <v>23333.333333333336</v>
      </c>
      <c r="Q22" s="68">
        <f>IFERROR(N22*'As-Filed Schedule 1'!$E$103,0)</f>
        <v>11978.93379319029</v>
      </c>
      <c r="R22" s="311">
        <f>IFERROR(P22*'Adjusted Schedule 1'!$E$104,0)</f>
        <v>12896.696346520674</v>
      </c>
      <c r="S22" s="68">
        <f t="shared" si="4"/>
        <v>35312.267126523628</v>
      </c>
      <c r="T22" s="311">
        <f t="shared" si="5"/>
        <v>36230.029679854008</v>
      </c>
      <c r="V22" s="120">
        <f>'As-Filed Schedule 2C'!N22</f>
        <v>0</v>
      </c>
      <c r="W22" s="314">
        <f>SUMIFS(Adjustments!$G:$G,Adjustments!$H:$H,"2C",Adjustments!$I:$I,'Schedule 2C Adjustments'!$V$12,Adjustments!$J:$J,'Schedule 2C Adjustments'!$A22)</f>
        <v>0</v>
      </c>
      <c r="X22" s="310">
        <f t="shared" si="6"/>
        <v>0</v>
      </c>
      <c r="Y22" s="120">
        <f>'As-Filed Schedule 2C'!O22</f>
        <v>0</v>
      </c>
      <c r="Z22" s="314">
        <f>SUMIFS(Adjustments!$G:$G,Adjustments!$H:$H,"2C",Adjustments!$I:$I,'Schedule 2C Adjustments'!$Y$12,Adjustments!$J:$J,'Schedule 2C Adjustments'!$A22)</f>
        <v>0</v>
      </c>
      <c r="AA22" s="310">
        <f t="shared" si="7"/>
        <v>0</v>
      </c>
    </row>
    <row r="23" spans="1:27" x14ac:dyDescent="0.35">
      <c r="A23" s="24">
        <v>9</v>
      </c>
      <c r="B23" s="543" t="str">
        <f>IF('As-Filed Schedule 2C'!B23:D23=0,"",'As-Filed Schedule 2C'!B23:D23)</f>
        <v>Equine Assisted Learning Services - Trio Health Partners</v>
      </c>
      <c r="C23" s="543"/>
      <c r="D23" s="543"/>
      <c r="F23" s="117">
        <f>'As-Filed Schedule 2C'!F23</f>
        <v>0</v>
      </c>
      <c r="G23" s="314">
        <f>SUMIFS(Adjustments!$G:$G,Adjustments!$H:$H,"2C",Adjustments!$I:$I,'Schedule 2C Adjustments'!$F$12,Adjustments!$J:$J,'Schedule 2C Adjustments'!$A23)</f>
        <v>0</v>
      </c>
      <c r="H23" s="310">
        <f t="shared" si="0"/>
        <v>0</v>
      </c>
      <c r="I23" s="68">
        <f>IFERROR(F23*'As-Filed Schedule 1'!$E$103,0)</f>
        <v>0</v>
      </c>
      <c r="J23" s="311">
        <f>IFERROR(H23*'Adjusted Schedule 1'!$E$104,0)</f>
        <v>0</v>
      </c>
      <c r="K23" s="68">
        <f t="shared" si="1"/>
        <v>0</v>
      </c>
      <c r="L23" s="311">
        <f t="shared" si="2"/>
        <v>0</v>
      </c>
      <c r="N23" s="117">
        <f>'As-Filed Schedule 2C'!J23</f>
        <v>42000</v>
      </c>
      <c r="O23" s="314">
        <f>SUMIFS(Adjustments!$G:$G,Adjustments!$H:$H,"2C",Adjustments!$I:$I,'Schedule 2C Adjustments'!$N$12,Adjustments!$J:$J,'Schedule 2C Adjustments'!$A23)</f>
        <v>0</v>
      </c>
      <c r="P23" s="310">
        <f t="shared" si="3"/>
        <v>42000</v>
      </c>
      <c r="Q23" s="68">
        <f>IFERROR(N23*'As-Filed Schedule 1'!$E$103,0)</f>
        <v>21562.08082774252</v>
      </c>
      <c r="R23" s="311">
        <f>IFERROR(P23*'Adjusted Schedule 1'!$E$104,0)</f>
        <v>23214.053423737212</v>
      </c>
      <c r="S23" s="68">
        <f t="shared" si="4"/>
        <v>63562.080827742524</v>
      </c>
      <c r="T23" s="311">
        <f t="shared" si="5"/>
        <v>65214.053423737212</v>
      </c>
      <c r="V23" s="120">
        <f>'As-Filed Schedule 2C'!N23</f>
        <v>0</v>
      </c>
      <c r="W23" s="314">
        <f>SUMIFS(Adjustments!$G:$G,Adjustments!$H:$H,"2C",Adjustments!$I:$I,'Schedule 2C Adjustments'!$V$12,Adjustments!$J:$J,'Schedule 2C Adjustments'!$A23)</f>
        <v>0</v>
      </c>
      <c r="X23" s="310">
        <f t="shared" si="6"/>
        <v>0</v>
      </c>
      <c r="Y23" s="120">
        <f>'As-Filed Schedule 2C'!O23</f>
        <v>0</v>
      </c>
      <c r="Z23" s="314">
        <f>SUMIFS(Adjustments!$G:$G,Adjustments!$H:$H,"2C",Adjustments!$I:$I,'Schedule 2C Adjustments'!$Y$12,Adjustments!$J:$J,'Schedule 2C Adjustments'!$A23)</f>
        <v>0</v>
      </c>
      <c r="AA23" s="310">
        <f t="shared" si="7"/>
        <v>0</v>
      </c>
    </row>
    <row r="24" spans="1:27" x14ac:dyDescent="0.35">
      <c r="A24" s="24">
        <v>10</v>
      </c>
      <c r="B24" s="543" t="str">
        <f>IF('As-Filed Schedule 2C'!B24:D24=0,"",'As-Filed Schedule 2C'!B24:D24)</f>
        <v>BFF Case Mgt. &amp; Direct Clinical</v>
      </c>
      <c r="C24" s="543"/>
      <c r="D24" s="543"/>
      <c r="F24" s="117">
        <f>'As-Filed Schedule 2C'!F24</f>
        <v>0</v>
      </c>
      <c r="G24" s="314">
        <f>SUMIFS(Adjustments!$G:$G,Adjustments!$H:$H,"2C",Adjustments!$I:$I,'Schedule 2C Adjustments'!$F$12,Adjustments!$J:$J,'Schedule 2C Adjustments'!$A24)</f>
        <v>0</v>
      </c>
      <c r="H24" s="310">
        <f t="shared" si="0"/>
        <v>0</v>
      </c>
      <c r="I24" s="68">
        <f>IFERROR(F24*'As-Filed Schedule 1'!$E$103,0)</f>
        <v>0</v>
      </c>
      <c r="J24" s="311">
        <f>IFERROR(H24*'Adjusted Schedule 1'!$E$104,0)</f>
        <v>0</v>
      </c>
      <c r="K24" s="68">
        <f t="shared" si="1"/>
        <v>0</v>
      </c>
      <c r="L24" s="311">
        <f t="shared" si="2"/>
        <v>0</v>
      </c>
      <c r="N24" s="117">
        <f>'As-Filed Schedule 2C'!J24</f>
        <v>351800</v>
      </c>
      <c r="O24" s="314">
        <f>SUMIFS(Adjustments!$G:$G,Adjustments!$H:$H,"2C",Adjustments!$I:$I,'Schedule 2C Adjustments'!$N$12,Adjustments!$J:$J,'Schedule 2C Adjustments'!$A24)</f>
        <v>0</v>
      </c>
      <c r="P24" s="310">
        <f t="shared" si="3"/>
        <v>351800</v>
      </c>
      <c r="Q24" s="68">
        <f>IFERROR(N24*'As-Filed Schedule 1'!$E$103,0)</f>
        <v>180608.09607618614</v>
      </c>
      <c r="R24" s="311">
        <f>IFERROR(P24*'Adjusted Schedule 1'!$E$104,0)</f>
        <v>194445.33320168455</v>
      </c>
      <c r="S24" s="68">
        <f t="shared" si="4"/>
        <v>532408.09607618616</v>
      </c>
      <c r="T24" s="311">
        <f t="shared" si="5"/>
        <v>546245.33320168452</v>
      </c>
      <c r="V24" s="120">
        <f>'As-Filed Schedule 2C'!N24</f>
        <v>0</v>
      </c>
      <c r="W24" s="314">
        <f>SUMIFS(Adjustments!$G:$G,Adjustments!$H:$H,"2C",Adjustments!$I:$I,'Schedule 2C Adjustments'!$V$12,Adjustments!$J:$J,'Schedule 2C Adjustments'!$A24)</f>
        <v>0</v>
      </c>
      <c r="X24" s="310">
        <f t="shared" si="6"/>
        <v>0</v>
      </c>
      <c r="Y24" s="120">
        <f>'As-Filed Schedule 2C'!O24</f>
        <v>0</v>
      </c>
      <c r="Z24" s="314">
        <f>SUMIFS(Adjustments!$G:$G,Adjustments!$H:$H,"2C",Adjustments!$I:$I,'Schedule 2C Adjustments'!$Y$12,Adjustments!$J:$J,'Schedule 2C Adjustments'!$A24)</f>
        <v>0</v>
      </c>
      <c r="AA24" s="310">
        <f t="shared" si="7"/>
        <v>0</v>
      </c>
    </row>
    <row r="25" spans="1:27" x14ac:dyDescent="0.35">
      <c r="A25" s="24">
        <v>11</v>
      </c>
      <c r="B25" s="543" t="str">
        <f>IF('As-Filed Schedule 2C'!B25:D25=0,"",'As-Filed Schedule 2C'!B25:D25)</f>
        <v xml:space="preserve">Eagle County Schoold District </v>
      </c>
      <c r="C25" s="543"/>
      <c r="D25" s="543"/>
      <c r="F25" s="117">
        <f>'As-Filed Schedule 2C'!F25</f>
        <v>0</v>
      </c>
      <c r="G25" s="314">
        <f>SUMIFS(Adjustments!$G:$G,Adjustments!$H:$H,"2C",Adjustments!$I:$I,'Schedule 2C Adjustments'!$F$12,Adjustments!$J:$J,'Schedule 2C Adjustments'!$A25)</f>
        <v>0</v>
      </c>
      <c r="H25" s="310">
        <f t="shared" si="0"/>
        <v>0</v>
      </c>
      <c r="I25" s="68">
        <f>IFERROR(F25*'As-Filed Schedule 1'!$E$103,0)</f>
        <v>0</v>
      </c>
      <c r="J25" s="311">
        <f>IFERROR(H25*'Adjusted Schedule 1'!$E$104,0)</f>
        <v>0</v>
      </c>
      <c r="K25" s="68">
        <f t="shared" si="1"/>
        <v>0</v>
      </c>
      <c r="L25" s="311">
        <f t="shared" si="2"/>
        <v>0</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0</v>
      </c>
      <c r="W25" s="314">
        <f>SUMIFS(Adjustments!$G:$G,Adjustments!$H:$H,"2C",Adjustments!$I:$I,'Schedule 2C Adjustments'!$V$12,Adjustments!$J:$J,'Schedule 2C Adjustments'!$A25)</f>
        <v>0</v>
      </c>
      <c r="X25" s="310">
        <f t="shared" si="6"/>
        <v>0</v>
      </c>
      <c r="Y25" s="120">
        <f>'As-Filed Schedule 2C'!O25</f>
        <v>0</v>
      </c>
      <c r="Z25" s="314">
        <f>SUMIFS(Adjustments!$G:$G,Adjustments!$H:$H,"2C",Adjustments!$I:$I,'Schedule 2C Adjustments'!$Y$12,Adjustments!$J:$J,'Schedule 2C Adjustments'!$A25)</f>
        <v>0</v>
      </c>
      <c r="AA25" s="310">
        <f t="shared" si="7"/>
        <v>0</v>
      </c>
    </row>
    <row r="26" spans="1:27" x14ac:dyDescent="0.35">
      <c r="A26" s="24">
        <v>12</v>
      </c>
      <c r="B26" s="543" t="str">
        <f>IF('As-Filed Schedule 2C'!B26:D26=0,"",'As-Filed Schedule 2C'!B26:D26)</f>
        <v/>
      </c>
      <c r="C26" s="543"/>
      <c r="D26" s="543"/>
      <c r="F26" s="117">
        <f>'As-Filed Schedule 2C'!F26</f>
        <v>0</v>
      </c>
      <c r="G26" s="314">
        <f>SUMIFS(Adjustments!$G:$G,Adjustments!$H:$H,"2C",Adjustments!$I:$I,'Schedule 2C Adjustments'!$F$12,Adjustments!$J:$J,'Schedule 2C Adjustments'!$A26)</f>
        <v>0</v>
      </c>
      <c r="H26" s="310">
        <f t="shared" si="0"/>
        <v>0</v>
      </c>
      <c r="I26" s="68">
        <f>IFERROR(F26*'As-Filed Schedule 1'!$E$103,0)</f>
        <v>0</v>
      </c>
      <c r="J26" s="311">
        <f>IFERROR(H26*'Adjusted Schedule 1'!$E$104,0)</f>
        <v>0</v>
      </c>
      <c r="K26" s="68">
        <f t="shared" si="1"/>
        <v>0</v>
      </c>
      <c r="L26" s="311">
        <f t="shared" si="2"/>
        <v>0</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0</v>
      </c>
      <c r="W26" s="314">
        <f>SUMIFS(Adjustments!$G:$G,Adjustments!$H:$H,"2C",Adjustments!$I:$I,'Schedule 2C Adjustments'!$V$12,Adjustments!$J:$J,'Schedule 2C Adjustments'!$A26)</f>
        <v>0</v>
      </c>
      <c r="X26" s="310">
        <f t="shared" si="6"/>
        <v>0</v>
      </c>
      <c r="Y26" s="120">
        <f>'As-Filed Schedule 2C'!O26</f>
        <v>0</v>
      </c>
      <c r="Z26" s="314">
        <f>SUMIFS(Adjustments!$G:$G,Adjustments!$H:$H,"2C",Adjustments!$I:$I,'Schedule 2C Adjustments'!$Y$12,Adjustments!$J:$J,'Schedule 2C Adjustments'!$A26)</f>
        <v>0</v>
      </c>
      <c r="AA26" s="310">
        <f t="shared" si="7"/>
        <v>0</v>
      </c>
    </row>
    <row r="27" spans="1:27" x14ac:dyDescent="0.35">
      <c r="A27" s="24">
        <v>13</v>
      </c>
      <c r="B27" s="543" t="str">
        <f>IF('As-Filed Schedule 2C'!B27:D27=0,"",'As-Filed Schedule 2C'!B27:D27)</f>
        <v/>
      </c>
      <c r="C27" s="543"/>
      <c r="D27" s="543"/>
      <c r="F27" s="117">
        <f>'As-Filed Schedule 2C'!F27</f>
        <v>0</v>
      </c>
      <c r="G27" s="314">
        <f>SUMIFS(Adjustments!$G:$G,Adjustments!$H:$H,"2C",Adjustments!$I:$I,'Schedule 2C Adjustments'!$F$12,Adjustments!$J:$J,'Schedule 2C Adjustments'!$A27)</f>
        <v>0</v>
      </c>
      <c r="H27" s="310">
        <f t="shared" si="0"/>
        <v>0</v>
      </c>
      <c r="I27" s="68">
        <f>IFERROR(F27*'As-Filed Schedule 1'!$E$103,0)</f>
        <v>0</v>
      </c>
      <c r="J27" s="311">
        <f>IFERROR(H27*'Adjusted Schedule 1'!$E$104,0)</f>
        <v>0</v>
      </c>
      <c r="K27" s="68">
        <f t="shared" si="1"/>
        <v>0</v>
      </c>
      <c r="L27" s="311">
        <f t="shared" si="2"/>
        <v>0</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0</v>
      </c>
      <c r="W27" s="314">
        <f>SUMIFS(Adjustments!$G:$G,Adjustments!$H:$H,"2C",Adjustments!$I:$I,'Schedule 2C Adjustments'!$V$12,Adjustments!$J:$J,'Schedule 2C Adjustments'!$A27)</f>
        <v>0</v>
      </c>
      <c r="X27" s="310">
        <f t="shared" si="6"/>
        <v>0</v>
      </c>
      <c r="Y27" s="120">
        <f>'As-Filed Schedule 2C'!O27</f>
        <v>0</v>
      </c>
      <c r="Z27" s="314">
        <f>SUMIFS(Adjustments!$G:$G,Adjustments!$H:$H,"2C",Adjustments!$I:$I,'Schedule 2C Adjustments'!$Y$12,Adjustments!$J:$J,'Schedule 2C Adjustments'!$A27)</f>
        <v>0</v>
      </c>
      <c r="AA27" s="310">
        <f t="shared" si="7"/>
        <v>0</v>
      </c>
    </row>
    <row r="28" spans="1:27" x14ac:dyDescent="0.35">
      <c r="A28" s="24">
        <v>14</v>
      </c>
      <c r="B28" s="543" t="str">
        <f>IF('As-Filed Schedule 2C'!B28:D28=0,"",'As-Filed Schedule 2C'!B28:D28)</f>
        <v/>
      </c>
      <c r="C28" s="543"/>
      <c r="D28" s="543"/>
      <c r="F28" s="117">
        <f>'As-Filed Schedule 2C'!F28</f>
        <v>0</v>
      </c>
      <c r="G28" s="314">
        <f>SUMIFS(Adjustments!$G:$G,Adjustments!$H:$H,"2C",Adjustments!$I:$I,'Schedule 2C Adjustments'!$F$12,Adjustments!$J:$J,'Schedule 2C Adjustments'!$A28)</f>
        <v>0</v>
      </c>
      <c r="H28" s="310">
        <f t="shared" si="0"/>
        <v>0</v>
      </c>
      <c r="I28" s="68">
        <f>IFERROR(F28*'As-Filed Schedule 1'!$E$103,0)</f>
        <v>0</v>
      </c>
      <c r="J28" s="311">
        <f>IFERROR(H28*'Adjusted Schedule 1'!$E$104,0)</f>
        <v>0</v>
      </c>
      <c r="K28" s="68">
        <f t="shared" si="1"/>
        <v>0</v>
      </c>
      <c r="L28" s="311">
        <f t="shared" si="2"/>
        <v>0</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0</v>
      </c>
      <c r="W28" s="314">
        <f>SUMIFS(Adjustments!$G:$G,Adjustments!$H:$H,"2C",Adjustments!$I:$I,'Schedule 2C Adjustments'!$V$12,Adjustments!$J:$J,'Schedule 2C Adjustments'!$A28)</f>
        <v>0</v>
      </c>
      <c r="X28" s="310">
        <f t="shared" si="6"/>
        <v>0</v>
      </c>
      <c r="Y28" s="120">
        <f>'As-Filed Schedule 2C'!O28</f>
        <v>0</v>
      </c>
      <c r="Z28" s="314">
        <f>SUMIFS(Adjustments!$G:$G,Adjustments!$H:$H,"2C",Adjustments!$I:$I,'Schedule 2C Adjustments'!$Y$12,Adjustments!$J:$J,'Schedule 2C Adjustments'!$A28)</f>
        <v>0</v>
      </c>
      <c r="AA28" s="310">
        <f t="shared" si="7"/>
        <v>0</v>
      </c>
    </row>
    <row r="29" spans="1:27" x14ac:dyDescent="0.35">
      <c r="A29" s="24">
        <v>15</v>
      </c>
      <c r="B29" s="543" t="str">
        <f>IF('As-Filed Schedule 2C'!B29:D29=0,"",'As-Filed Schedule 2C'!B29:D29)</f>
        <v/>
      </c>
      <c r="C29" s="543"/>
      <c r="D29" s="543"/>
      <c r="F29" s="117">
        <f>'As-Filed Schedule 2C'!F29</f>
        <v>0</v>
      </c>
      <c r="G29" s="314">
        <f>SUMIFS(Adjustments!$G:$G,Adjustments!$H:$H,"2C",Adjustments!$I:$I,'Schedule 2C Adjustments'!$F$12,Adjustments!$J:$J,'Schedule 2C Adjustments'!$A29)</f>
        <v>0</v>
      </c>
      <c r="H29" s="310">
        <f t="shared" si="0"/>
        <v>0</v>
      </c>
      <c r="I29" s="68">
        <f>IFERROR(F29*'As-Filed Schedule 1'!$E$103,0)</f>
        <v>0</v>
      </c>
      <c r="J29" s="311">
        <f>IFERROR(H29*'Adjusted Schedule 1'!$E$104,0)</f>
        <v>0</v>
      </c>
      <c r="K29" s="68">
        <f t="shared" si="1"/>
        <v>0</v>
      </c>
      <c r="L29" s="311">
        <f t="shared" si="2"/>
        <v>0</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0</v>
      </c>
      <c r="W29" s="314">
        <f>SUMIFS(Adjustments!$G:$G,Adjustments!$H:$H,"2C",Adjustments!$I:$I,'Schedule 2C Adjustments'!$V$12,Adjustments!$J:$J,'Schedule 2C Adjustments'!$A29)</f>
        <v>0</v>
      </c>
      <c r="X29" s="310">
        <f t="shared" si="6"/>
        <v>0</v>
      </c>
      <c r="Y29" s="120">
        <f>'As-Filed Schedule 2C'!O29</f>
        <v>0</v>
      </c>
      <c r="Z29" s="314">
        <f>SUMIFS(Adjustments!$G:$G,Adjustments!$H:$H,"2C",Adjustments!$I:$I,'Schedule 2C Adjustments'!$Y$12,Adjustments!$J:$J,'Schedule 2C Adjustments'!$A29)</f>
        <v>0</v>
      </c>
      <c r="AA29" s="310">
        <f t="shared" si="7"/>
        <v>0</v>
      </c>
    </row>
    <row r="30" spans="1:27" x14ac:dyDescent="0.35">
      <c r="A30" s="24">
        <v>16</v>
      </c>
      <c r="B30" s="543" t="str">
        <f>IF('As-Filed Schedule 2C'!B30:D30=0,"",'As-Filed Schedule 2C'!B30:D30)</f>
        <v/>
      </c>
      <c r="C30" s="543"/>
      <c r="D30" s="543"/>
      <c r="F30" s="117">
        <f>'As-Filed Schedule 2C'!F30</f>
        <v>0</v>
      </c>
      <c r="G30" s="314">
        <f>SUMIFS(Adjustments!$G:$G,Adjustments!$H:$H,"2C",Adjustments!$I:$I,'Schedule 2C Adjustments'!$F$12,Adjustments!$J:$J,'Schedule 2C Adjustments'!$A30)</f>
        <v>0</v>
      </c>
      <c r="H30" s="310">
        <f t="shared" si="0"/>
        <v>0</v>
      </c>
      <c r="I30" s="68">
        <f>IFERROR(F30*'As-Filed Schedule 1'!$E$103,0)</f>
        <v>0</v>
      </c>
      <c r="J30" s="311">
        <f>IFERROR(H30*'Adjusted Schedule 1'!$E$104,0)</f>
        <v>0</v>
      </c>
      <c r="K30" s="68">
        <f t="shared" si="1"/>
        <v>0</v>
      </c>
      <c r="L30" s="311">
        <f t="shared" si="2"/>
        <v>0</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0</v>
      </c>
      <c r="W30" s="314">
        <f>SUMIFS(Adjustments!$G:$G,Adjustments!$H:$H,"2C",Adjustments!$I:$I,'Schedule 2C Adjustments'!$V$12,Adjustments!$J:$J,'Schedule 2C Adjustments'!$A30)</f>
        <v>0</v>
      </c>
      <c r="X30" s="310">
        <f t="shared" si="6"/>
        <v>0</v>
      </c>
      <c r="Y30" s="120">
        <f>'As-Filed Schedule 2C'!O30</f>
        <v>0</v>
      </c>
      <c r="Z30" s="314">
        <f>SUMIFS(Adjustments!$G:$G,Adjustments!$H:$H,"2C",Adjustments!$I:$I,'Schedule 2C Adjustments'!$Y$12,Adjustments!$J:$J,'Schedule 2C Adjustments'!$A30)</f>
        <v>0</v>
      </c>
      <c r="AA30" s="310">
        <f t="shared" si="7"/>
        <v>0</v>
      </c>
    </row>
    <row r="31" spans="1:27" x14ac:dyDescent="0.35">
      <c r="A31" s="24">
        <v>17</v>
      </c>
      <c r="B31" s="543" t="str">
        <f>IF('As-Filed Schedule 2C'!B31:D31=0,"",'As-Filed Schedule 2C'!B31:D31)</f>
        <v/>
      </c>
      <c r="C31" s="543"/>
      <c r="D31" s="543"/>
      <c r="F31" s="117">
        <f>'As-Filed Schedule 2C'!F31</f>
        <v>0</v>
      </c>
      <c r="G31" s="314">
        <f>SUMIFS(Adjustments!$G:$G,Adjustments!$H:$H,"2C",Adjustments!$I:$I,'Schedule 2C Adjustments'!$F$12,Adjustments!$J:$J,'Schedule 2C Adjustments'!$A31)</f>
        <v>0</v>
      </c>
      <c r="H31" s="310">
        <f t="shared" si="0"/>
        <v>0</v>
      </c>
      <c r="I31" s="68">
        <f>IFERROR(F31*'As-Filed Schedule 1'!$E$103,0)</f>
        <v>0</v>
      </c>
      <c r="J31" s="311">
        <f>IFERROR(H31*'Adjusted Schedule 1'!$E$104,0)</f>
        <v>0</v>
      </c>
      <c r="K31" s="68">
        <f t="shared" si="1"/>
        <v>0</v>
      </c>
      <c r="L31" s="311">
        <f t="shared" si="2"/>
        <v>0</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0</v>
      </c>
      <c r="W31" s="314">
        <f>SUMIFS(Adjustments!$G:$G,Adjustments!$H:$H,"2C",Adjustments!$I:$I,'Schedule 2C Adjustments'!$V$12,Adjustments!$J:$J,'Schedule 2C Adjustments'!$A31)</f>
        <v>0</v>
      </c>
      <c r="X31" s="310">
        <f t="shared" si="6"/>
        <v>0</v>
      </c>
      <c r="Y31" s="120">
        <f>'As-Filed Schedule 2C'!O31</f>
        <v>0</v>
      </c>
      <c r="Z31" s="314">
        <f>SUMIFS(Adjustments!$G:$G,Adjustments!$H:$H,"2C",Adjustments!$I:$I,'Schedule 2C Adjustments'!$Y$12,Adjustments!$J:$J,'Schedule 2C Adjustments'!$A31)</f>
        <v>0</v>
      </c>
      <c r="AA31" s="310">
        <f t="shared" si="7"/>
        <v>0</v>
      </c>
    </row>
    <row r="32" spans="1:27" x14ac:dyDescent="0.35">
      <c r="A32" s="24">
        <v>18</v>
      </c>
      <c r="B32" s="543" t="str">
        <f>IF('As-Filed Schedule 2C'!B32:D32=0,"",'As-Filed Schedule 2C'!B32:D32)</f>
        <v/>
      </c>
      <c r="C32" s="543"/>
      <c r="D32" s="543"/>
      <c r="F32" s="117">
        <f>'As-Filed Schedule 2C'!F32</f>
        <v>0</v>
      </c>
      <c r="G32" s="314">
        <f>SUMIFS(Adjustments!$G:$G,Adjustments!$H:$H,"2C",Adjustments!$I:$I,'Schedule 2C Adjustments'!$F$12,Adjustments!$J:$J,'Schedule 2C Adjustments'!$A32)</f>
        <v>0</v>
      </c>
      <c r="H32" s="310">
        <f t="shared" si="0"/>
        <v>0</v>
      </c>
      <c r="I32" s="68">
        <f>IFERROR(F32*'As-Filed Schedule 1'!$E$103,0)</f>
        <v>0</v>
      </c>
      <c r="J32" s="311">
        <f>IFERROR(H32*'Adjusted Schedule 1'!$E$104,0)</f>
        <v>0</v>
      </c>
      <c r="K32" s="68">
        <f t="shared" si="1"/>
        <v>0</v>
      </c>
      <c r="L32" s="311">
        <f t="shared" si="2"/>
        <v>0</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0</v>
      </c>
      <c r="W32" s="314">
        <f>SUMIFS(Adjustments!$G:$G,Adjustments!$H:$H,"2C",Adjustments!$I:$I,'Schedule 2C Adjustments'!$V$12,Adjustments!$J:$J,'Schedule 2C Adjustments'!$A32)</f>
        <v>0</v>
      </c>
      <c r="X32" s="310">
        <f t="shared" si="6"/>
        <v>0</v>
      </c>
      <c r="Y32" s="120">
        <f>'As-Filed Schedule 2C'!O32</f>
        <v>0</v>
      </c>
      <c r="Z32" s="314">
        <f>SUMIFS(Adjustments!$G:$G,Adjustments!$H:$H,"2C",Adjustments!$I:$I,'Schedule 2C Adjustments'!$Y$12,Adjustments!$J:$J,'Schedule 2C Adjustments'!$A32)</f>
        <v>0</v>
      </c>
      <c r="AA32" s="310">
        <f t="shared" si="7"/>
        <v>0</v>
      </c>
    </row>
    <row r="33" spans="1:27" x14ac:dyDescent="0.35">
      <c r="A33" s="24">
        <v>19</v>
      </c>
      <c r="B33" s="543" t="str">
        <f>IF('As-Filed Schedule 2C'!B33:D33=0,"",'As-Filed Schedule 2C'!B33:D33)</f>
        <v/>
      </c>
      <c r="C33" s="543"/>
      <c r="D33" s="543"/>
      <c r="F33" s="117">
        <f>'As-Filed Schedule 2C'!F33</f>
        <v>0</v>
      </c>
      <c r="G33" s="314">
        <f>SUMIFS(Adjustments!$G:$G,Adjustments!$H:$H,"2C",Adjustments!$I:$I,'Schedule 2C Adjustments'!$F$12,Adjustments!$J:$J,'Schedule 2C Adjustments'!$A33)</f>
        <v>0</v>
      </c>
      <c r="H33" s="310">
        <f t="shared" si="0"/>
        <v>0</v>
      </c>
      <c r="I33" s="68">
        <f>IFERROR(F33*'As-Filed Schedule 1'!$E$103,0)</f>
        <v>0</v>
      </c>
      <c r="J33" s="311">
        <f>IFERROR(H33*'Adjusted Schedule 1'!$E$104,0)</f>
        <v>0</v>
      </c>
      <c r="K33" s="68">
        <f t="shared" si="1"/>
        <v>0</v>
      </c>
      <c r="L33" s="311">
        <f t="shared" si="2"/>
        <v>0</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0</v>
      </c>
      <c r="W33" s="314">
        <f>SUMIFS(Adjustments!$G:$G,Adjustments!$H:$H,"2C",Adjustments!$I:$I,'Schedule 2C Adjustments'!$V$12,Adjustments!$J:$J,'Schedule 2C Adjustments'!$A33)</f>
        <v>0</v>
      </c>
      <c r="X33" s="310">
        <f t="shared" si="6"/>
        <v>0</v>
      </c>
      <c r="Y33" s="120">
        <f>'As-Filed Schedule 2C'!O33</f>
        <v>0</v>
      </c>
      <c r="Z33" s="314">
        <f>SUMIFS(Adjustments!$G:$G,Adjustments!$H:$H,"2C",Adjustments!$I:$I,'Schedule 2C Adjustments'!$Y$12,Adjustments!$J:$J,'Schedule 2C Adjustments'!$A33)</f>
        <v>0</v>
      </c>
      <c r="AA33" s="310">
        <f t="shared" si="7"/>
        <v>0</v>
      </c>
    </row>
    <row r="34" spans="1:27" x14ac:dyDescent="0.35">
      <c r="A34" s="24">
        <v>20</v>
      </c>
      <c r="B34" s="543" t="str">
        <f>IF('As-Filed Schedule 2C'!B34:D34=0,"",'As-Filed Schedule 2C'!B34:D34)</f>
        <v/>
      </c>
      <c r="C34" s="543"/>
      <c r="D34" s="543"/>
      <c r="F34" s="117">
        <f>'As-Filed Schedule 2C'!F34</f>
        <v>0</v>
      </c>
      <c r="G34" s="314">
        <f>SUMIFS(Adjustments!$G:$G,Adjustments!$H:$H,"2C",Adjustments!$I:$I,'Schedule 2C Adjustments'!$F$12,Adjustments!$J:$J,'Schedule 2C Adjustments'!$A34)</f>
        <v>0</v>
      </c>
      <c r="H34" s="310">
        <f t="shared" si="0"/>
        <v>0</v>
      </c>
      <c r="I34" s="68">
        <f>IFERROR(F34*'As-Filed Schedule 1'!$E$103,0)</f>
        <v>0</v>
      </c>
      <c r="J34" s="311">
        <f>IFERROR(H34*'Adjusted Schedule 1'!$E$104,0)</f>
        <v>0</v>
      </c>
      <c r="K34" s="68">
        <f t="shared" si="1"/>
        <v>0</v>
      </c>
      <c r="L34" s="311">
        <f t="shared" si="2"/>
        <v>0</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0</v>
      </c>
      <c r="W34" s="314">
        <f>SUMIFS(Adjustments!$G:$G,Adjustments!$H:$H,"2C",Adjustments!$I:$I,'Schedule 2C Adjustments'!$V$12,Adjustments!$J:$J,'Schedule 2C Adjustments'!$A34)</f>
        <v>0</v>
      </c>
      <c r="X34" s="310">
        <f t="shared" si="6"/>
        <v>0</v>
      </c>
      <c r="Y34" s="120">
        <f>'As-Filed Schedule 2C'!O34</f>
        <v>0</v>
      </c>
      <c r="Z34" s="314">
        <f>SUMIFS(Adjustments!$G:$G,Adjustments!$H:$H,"2C",Adjustments!$I:$I,'Schedule 2C Adjustments'!$Y$12,Adjustments!$J:$J,'Schedule 2C Adjustments'!$A34)</f>
        <v>0</v>
      </c>
      <c r="AA34" s="310">
        <f t="shared" si="7"/>
        <v>0</v>
      </c>
    </row>
    <row r="35" spans="1:27" x14ac:dyDescent="0.35">
      <c r="A35" s="24">
        <v>21</v>
      </c>
      <c r="B35" s="543" t="str">
        <f>IF('As-Filed Schedule 2C'!B35:D35=0,"",'As-Filed Schedule 2C'!B35:D35)</f>
        <v/>
      </c>
      <c r="C35" s="543"/>
      <c r="D35" s="543"/>
      <c r="F35" s="117">
        <f>'As-Filed Schedule 2C'!F35</f>
        <v>0</v>
      </c>
      <c r="G35" s="314">
        <f>SUMIFS(Adjustments!$G:$G,Adjustments!$H:$H,"2C",Adjustments!$I:$I,'Schedule 2C Adjustments'!$F$12,Adjustments!$J:$J,'Schedule 2C Adjustments'!$A35)</f>
        <v>0</v>
      </c>
      <c r="H35" s="310">
        <f t="shared" si="0"/>
        <v>0</v>
      </c>
      <c r="I35" s="68">
        <f>IFERROR(F35*'As-Filed Schedule 1'!$E$103,0)</f>
        <v>0</v>
      </c>
      <c r="J35" s="311">
        <f>IFERROR(H35*'Adjusted Schedule 1'!$E$104,0)</f>
        <v>0</v>
      </c>
      <c r="K35" s="68">
        <f t="shared" si="1"/>
        <v>0</v>
      </c>
      <c r="L35" s="311">
        <f t="shared" si="2"/>
        <v>0</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0</v>
      </c>
      <c r="W35" s="314">
        <f>SUMIFS(Adjustments!$G:$G,Adjustments!$H:$H,"2C",Adjustments!$I:$I,'Schedule 2C Adjustments'!$V$12,Adjustments!$J:$J,'Schedule 2C Adjustments'!$A35)</f>
        <v>0</v>
      </c>
      <c r="X35" s="310">
        <f t="shared" si="6"/>
        <v>0</v>
      </c>
      <c r="Y35" s="120">
        <f>'As-Filed Schedule 2C'!O35</f>
        <v>0</v>
      </c>
      <c r="Z35" s="314">
        <f>SUMIFS(Adjustments!$G:$G,Adjustments!$H:$H,"2C",Adjustments!$I:$I,'Schedule 2C Adjustments'!$Y$12,Adjustments!$J:$J,'Schedule 2C Adjustments'!$A35)</f>
        <v>0</v>
      </c>
      <c r="AA35" s="310">
        <f t="shared" si="7"/>
        <v>0</v>
      </c>
    </row>
    <row r="36" spans="1:27" x14ac:dyDescent="0.35">
      <c r="A36" s="24">
        <v>22</v>
      </c>
      <c r="B36" s="543" t="str">
        <f>IF('As-Filed Schedule 2C'!B36:D36=0,"",'As-Filed Schedule 2C'!B36:D36)</f>
        <v/>
      </c>
      <c r="C36" s="543"/>
      <c r="D36" s="543"/>
      <c r="F36" s="117">
        <f>'As-Filed Schedule 2C'!F36</f>
        <v>0</v>
      </c>
      <c r="G36" s="314">
        <f>SUMIFS(Adjustments!$G:$G,Adjustments!$H:$H,"2C",Adjustments!$I:$I,'Schedule 2C Adjustments'!$F$12,Adjustments!$J:$J,'Schedule 2C Adjustments'!$A36)</f>
        <v>0</v>
      </c>
      <c r="H36" s="310">
        <f t="shared" si="0"/>
        <v>0</v>
      </c>
      <c r="I36" s="68">
        <f>IFERROR(F36*'As-Filed Schedule 1'!$E$103,0)</f>
        <v>0</v>
      </c>
      <c r="J36" s="311">
        <f>IFERROR(H36*'Adjusted Schedule 1'!$E$104,0)</f>
        <v>0</v>
      </c>
      <c r="K36" s="68">
        <f t="shared" si="1"/>
        <v>0</v>
      </c>
      <c r="L36" s="311">
        <f t="shared" si="2"/>
        <v>0</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0</v>
      </c>
      <c r="W36" s="314">
        <f>SUMIFS(Adjustments!$G:$G,Adjustments!$H:$H,"2C",Adjustments!$I:$I,'Schedule 2C Adjustments'!$V$12,Adjustments!$J:$J,'Schedule 2C Adjustments'!$A36)</f>
        <v>0</v>
      </c>
      <c r="X36" s="310">
        <f t="shared" si="6"/>
        <v>0</v>
      </c>
      <c r="Y36" s="120">
        <f>'As-Filed Schedule 2C'!O36</f>
        <v>0</v>
      </c>
      <c r="Z36" s="314">
        <f>SUMIFS(Adjustments!$G:$G,Adjustments!$H:$H,"2C",Adjustments!$I:$I,'Schedule 2C Adjustments'!$Y$12,Adjustments!$J:$J,'Schedule 2C Adjustments'!$A36)</f>
        <v>0</v>
      </c>
      <c r="AA36" s="310">
        <f t="shared" si="7"/>
        <v>0</v>
      </c>
    </row>
    <row r="37" spans="1:27" x14ac:dyDescent="0.35">
      <c r="A37" s="24">
        <v>23</v>
      </c>
      <c r="B37" s="543" t="str">
        <f>IF('As-Filed Schedule 2C'!B37:D37=0,"",'As-Filed Schedule 2C'!B37:D37)</f>
        <v/>
      </c>
      <c r="C37" s="543"/>
      <c r="D37" s="543"/>
      <c r="F37" s="117">
        <f>'As-Filed Schedule 2C'!F37</f>
        <v>0</v>
      </c>
      <c r="G37" s="314">
        <f>SUMIFS(Adjustments!$G:$G,Adjustments!$H:$H,"2C",Adjustments!$I:$I,'Schedule 2C Adjustments'!$F$12,Adjustments!$J:$J,'Schedule 2C Adjustments'!$A37)</f>
        <v>0</v>
      </c>
      <c r="H37" s="310">
        <f t="shared" si="0"/>
        <v>0</v>
      </c>
      <c r="I37" s="68">
        <f>IFERROR(F37*'As-Filed Schedule 1'!$E$103,0)</f>
        <v>0</v>
      </c>
      <c r="J37" s="311">
        <f>IFERROR(H37*'Adjusted Schedule 1'!$E$104,0)</f>
        <v>0</v>
      </c>
      <c r="K37" s="68">
        <f t="shared" si="1"/>
        <v>0</v>
      </c>
      <c r="L37" s="311">
        <f t="shared" si="2"/>
        <v>0</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43" t="str">
        <f>IF('As-Filed Schedule 2C'!B38:D38=0,"",'As-Filed Schedule 2C'!B38:D38)</f>
        <v/>
      </c>
      <c r="C38" s="543"/>
      <c r="D38" s="543"/>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43" t="str">
        <f>IF('As-Filed Schedule 2C'!B39:D39=0,"",'As-Filed Schedule 2C'!B39:D39)</f>
        <v/>
      </c>
      <c r="C39" s="543"/>
      <c r="D39" s="543"/>
      <c r="F39" s="117">
        <f>'As-Filed Schedule 2C'!F39</f>
        <v>0</v>
      </c>
      <c r="G39" s="314">
        <f>SUMIFS(Adjustments!$G:$G,Adjustments!$H:$H,"2C",Adjustments!$I:$I,'Schedule 2C Adjustments'!$F$12,Adjustments!$J:$J,'Schedule 2C Adjustments'!$A39)</f>
        <v>0</v>
      </c>
      <c r="H39" s="310">
        <f t="shared" si="0"/>
        <v>0</v>
      </c>
      <c r="I39" s="68">
        <f>IFERROR(F39*'As-Filed Schedule 1'!$E$103,0)</f>
        <v>0</v>
      </c>
      <c r="J39" s="311">
        <f>IFERROR(H39*'Adjusted Schedule 1'!$E$104,0)</f>
        <v>0</v>
      </c>
      <c r="K39" s="68">
        <f t="shared" si="1"/>
        <v>0</v>
      </c>
      <c r="L39" s="311">
        <f t="shared" si="2"/>
        <v>0</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43" t="str">
        <f>IF('As-Filed Schedule 2C'!B40:D40=0,"",'As-Filed Schedule 2C'!B40:D40)</f>
        <v/>
      </c>
      <c r="C40" s="543"/>
      <c r="D40" s="543"/>
      <c r="F40" s="117">
        <f>'As-Filed Schedule 2C'!F40</f>
        <v>0</v>
      </c>
      <c r="G40" s="314">
        <f>SUMIFS(Adjustments!$G:$G,Adjustments!$H:$H,"2C",Adjustments!$I:$I,'Schedule 2C Adjustments'!$F$12,Adjustments!$J:$J,'Schedule 2C Adjustments'!$A40)</f>
        <v>0</v>
      </c>
      <c r="H40" s="310">
        <f t="shared" si="0"/>
        <v>0</v>
      </c>
      <c r="I40" s="68">
        <f>IFERROR(F40*'As-Filed Schedule 1'!$E$103,0)</f>
        <v>0</v>
      </c>
      <c r="J40" s="311">
        <f>IFERROR(H40*'Adjusted Schedule 1'!$E$104,0)</f>
        <v>0</v>
      </c>
      <c r="K40" s="68">
        <f t="shared" si="1"/>
        <v>0</v>
      </c>
      <c r="L40" s="311">
        <f t="shared" si="2"/>
        <v>0</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43" t="str">
        <f>IF('As-Filed Schedule 2C'!B41:D41=0,"",'As-Filed Schedule 2C'!B41:D41)</f>
        <v/>
      </c>
      <c r="C41" s="543"/>
      <c r="D41" s="543"/>
      <c r="F41" s="117">
        <f>'As-Filed Schedule 2C'!F41</f>
        <v>0</v>
      </c>
      <c r="G41" s="314">
        <f>SUMIFS(Adjustments!$G:$G,Adjustments!$H:$H,"2C",Adjustments!$I:$I,'Schedule 2C Adjustments'!$F$12,Adjustments!$J:$J,'Schedule 2C Adjustments'!$A41)</f>
        <v>0</v>
      </c>
      <c r="H41" s="310">
        <f t="shared" si="0"/>
        <v>0</v>
      </c>
      <c r="I41" s="68">
        <f>IFERROR(F41*'As-Filed Schedule 1'!$E$103,0)</f>
        <v>0</v>
      </c>
      <c r="J41" s="311">
        <f>IFERROR(H41*'Adjusted Schedule 1'!$E$104,0)</f>
        <v>0</v>
      </c>
      <c r="K41" s="68">
        <f t="shared" si="1"/>
        <v>0</v>
      </c>
      <c r="L41" s="311">
        <f t="shared" si="2"/>
        <v>0</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43" t="str">
        <f>IF('As-Filed Schedule 2C'!B42:D42=0,"",'As-Filed Schedule 2C'!B42:D42)</f>
        <v/>
      </c>
      <c r="C42" s="543"/>
      <c r="D42" s="543"/>
      <c r="F42" s="117">
        <f>'As-Filed Schedule 2C'!F42</f>
        <v>0</v>
      </c>
      <c r="G42" s="314">
        <f>SUMIFS(Adjustments!$G:$G,Adjustments!$H:$H,"2C",Adjustments!$I:$I,'Schedule 2C Adjustments'!$F$12,Adjustments!$J:$J,'Schedule 2C Adjustments'!$A42)</f>
        <v>0</v>
      </c>
      <c r="H42" s="310">
        <f t="shared" si="0"/>
        <v>0</v>
      </c>
      <c r="I42" s="68">
        <f>IFERROR(F42*'As-Filed Schedule 1'!$E$103,0)</f>
        <v>0</v>
      </c>
      <c r="J42" s="311">
        <f>IFERROR(H42*'Adjusted Schedule 1'!$E$104,0)</f>
        <v>0</v>
      </c>
      <c r="K42" s="68">
        <f t="shared" si="1"/>
        <v>0</v>
      </c>
      <c r="L42" s="311">
        <f t="shared" si="2"/>
        <v>0</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43" t="str">
        <f>IF('As-Filed Schedule 2C'!B43:D43=0,"",'As-Filed Schedule 2C'!B43:D43)</f>
        <v/>
      </c>
      <c r="C43" s="543"/>
      <c r="D43" s="543"/>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43" t="str">
        <f>IF('As-Filed Schedule 2C'!B44:D44=0,"",'As-Filed Schedule 2C'!B44:D44)</f>
        <v/>
      </c>
      <c r="C44" s="543"/>
      <c r="D44" s="543"/>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43" t="str">
        <f>IF('As-Filed Schedule 2C'!B45:D45=0,"",'As-Filed Schedule 2C'!B45:D45)</f>
        <v/>
      </c>
      <c r="C45" s="543"/>
      <c r="D45" s="543"/>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43" t="str">
        <f>IF('As-Filed Schedule 2C'!B46:D46=0,"",'As-Filed Schedule 2C'!B46:D46)</f>
        <v/>
      </c>
      <c r="C46" s="543"/>
      <c r="D46" s="543"/>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43" t="str">
        <f>IF('As-Filed Schedule 2C'!B47:D47=0,"",'As-Filed Schedule 2C'!B47:D47)</f>
        <v/>
      </c>
      <c r="C47" s="543"/>
      <c r="D47" s="543"/>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43" t="str">
        <f>IF('As-Filed Schedule 2C'!B48:D48=0,"",'As-Filed Schedule 2C'!B48:D48)</f>
        <v/>
      </c>
      <c r="C48" s="543"/>
      <c r="D48" s="543"/>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43" t="str">
        <f>IF('As-Filed Schedule 2C'!B49:D49=0,"",'As-Filed Schedule 2C'!B49:D49)</f>
        <v/>
      </c>
      <c r="C49" s="543"/>
      <c r="D49" s="543"/>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43" t="str">
        <f>IF('As-Filed Schedule 2C'!B50:D50=0,"",'As-Filed Schedule 2C'!B50:D50)</f>
        <v/>
      </c>
      <c r="C50" s="543"/>
      <c r="D50" s="543"/>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43" t="str">
        <f>IF('As-Filed Schedule 2C'!B51:D51=0,"",'As-Filed Schedule 2C'!B51:D51)</f>
        <v/>
      </c>
      <c r="C51" s="543"/>
      <c r="D51" s="543"/>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43" t="str">
        <f>IF('As-Filed Schedule 2C'!B52:D52=0,"",'As-Filed Schedule 2C'!B52:D52)</f>
        <v/>
      </c>
      <c r="C52" s="543"/>
      <c r="D52" s="543"/>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43" t="str">
        <f>IF('As-Filed Schedule 2C'!B53:D53=0,"",'As-Filed Schedule 2C'!B53:D53)</f>
        <v/>
      </c>
      <c r="C53" s="543"/>
      <c r="D53" s="543"/>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43" t="str">
        <f>IF('As-Filed Schedule 2C'!B54:D54=0,"",'As-Filed Schedule 2C'!B54:D54)</f>
        <v/>
      </c>
      <c r="C54" s="543"/>
      <c r="D54" s="543"/>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43" t="str">
        <f>IF('As-Filed Schedule 2C'!B55:D55=0,"",'As-Filed Schedule 2C'!B55:D55)</f>
        <v/>
      </c>
      <c r="C55" s="543"/>
      <c r="D55" s="543"/>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43" t="str">
        <f>IF('As-Filed Schedule 2C'!B56:D56=0,"",'As-Filed Schedule 2C'!B56:D56)</f>
        <v/>
      </c>
      <c r="C56" s="543"/>
      <c r="D56" s="543"/>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43" t="str">
        <f>IF('As-Filed Schedule 2C'!B57:D57=0,"",'As-Filed Schedule 2C'!B57:D57)</f>
        <v/>
      </c>
      <c r="C57" s="543"/>
      <c r="D57" s="543"/>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43" t="str">
        <f>IF('As-Filed Schedule 2C'!B58:D58=0,"",'As-Filed Schedule 2C'!B58:D58)</f>
        <v/>
      </c>
      <c r="C58" s="543"/>
      <c r="D58" s="543"/>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43" t="str">
        <f>IF('As-Filed Schedule 2C'!B59:D59=0,"",'As-Filed Schedule 2C'!B59:D59)</f>
        <v/>
      </c>
      <c r="C59" s="543"/>
      <c r="D59" s="543"/>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43" t="str">
        <f>IF('As-Filed Schedule 2C'!B60:D60=0,"",'As-Filed Schedule 2C'!B60:D60)</f>
        <v/>
      </c>
      <c r="C60" s="543"/>
      <c r="D60" s="543"/>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43" t="str">
        <f>IF('As-Filed Schedule 2C'!B61:D61=0,"",'As-Filed Schedule 2C'!B61:D61)</f>
        <v/>
      </c>
      <c r="C61" s="543"/>
      <c r="D61" s="543"/>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43" t="str">
        <f>IF('As-Filed Schedule 2C'!B62:D62=0,"",'As-Filed Schedule 2C'!B62:D62)</f>
        <v/>
      </c>
      <c r="C62" s="543"/>
      <c r="D62" s="543"/>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43" t="str">
        <f>IF('As-Filed Schedule 2C'!B63:D63=0,"",'As-Filed Schedule 2C'!B63:D63)</f>
        <v/>
      </c>
      <c r="C63" s="543"/>
      <c r="D63" s="543"/>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43" t="str">
        <f>IF('As-Filed Schedule 2C'!B64:D64=0,"",'As-Filed Schedule 2C'!B64:D64)</f>
        <v/>
      </c>
      <c r="C64" s="543"/>
      <c r="D64" s="543"/>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43" t="str">
        <f>IF('As-Filed Schedule 2C'!B65:D65=0,"",'As-Filed Schedule 2C'!B65:D65)</f>
        <v/>
      </c>
      <c r="C65" s="543"/>
      <c r="D65" s="543"/>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43" t="str">
        <f>IF('As-Filed Schedule 2C'!B66:D66=0,"",'As-Filed Schedule 2C'!B66:D66)</f>
        <v/>
      </c>
      <c r="C66" s="543"/>
      <c r="D66" s="543"/>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43" t="str">
        <f>IF('As-Filed Schedule 2C'!B67:D67=0,"",'As-Filed Schedule 2C'!B67:D67)</f>
        <v/>
      </c>
      <c r="C67" s="543"/>
      <c r="D67" s="543"/>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43" t="str">
        <f>IF('As-Filed Schedule 2C'!B68:D68=0,"",'As-Filed Schedule 2C'!B68:D68)</f>
        <v/>
      </c>
      <c r="C68" s="543"/>
      <c r="D68" s="543"/>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43" t="str">
        <f>IF('As-Filed Schedule 2C'!B69:D69=0,"",'As-Filed Schedule 2C'!B69:D69)</f>
        <v/>
      </c>
      <c r="C69" s="543"/>
      <c r="D69" s="543"/>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43" t="str">
        <f>IF('As-Filed Schedule 2C'!B70:D70=0,"",'As-Filed Schedule 2C'!B70:D70)</f>
        <v/>
      </c>
      <c r="C70" s="543"/>
      <c r="D70" s="543"/>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43" t="str">
        <f>IF('As-Filed Schedule 2C'!B71:D71=0,"",'As-Filed Schedule 2C'!B71:D71)</f>
        <v/>
      </c>
      <c r="C71" s="543"/>
      <c r="D71" s="543"/>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43" t="str">
        <f>IF('As-Filed Schedule 2C'!B72:D72=0,"",'As-Filed Schedule 2C'!B72:D72)</f>
        <v/>
      </c>
      <c r="C72" s="543"/>
      <c r="D72" s="543"/>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9484169.4443220906</v>
      </c>
      <c r="G73" s="18">
        <f t="shared" ref="G73:L73" si="8">SUM(G15:G72)</f>
        <v>0</v>
      </c>
      <c r="H73" s="18">
        <f t="shared" si="8"/>
        <v>9484169.4443220906</v>
      </c>
      <c r="I73" s="18">
        <f t="shared" si="8"/>
        <v>4869010.1938685421</v>
      </c>
      <c r="J73" s="312">
        <f t="shared" si="8"/>
        <v>5242048.0038159313</v>
      </c>
      <c r="K73" s="18">
        <f t="shared" si="8"/>
        <v>14353179.638190635</v>
      </c>
      <c r="L73" s="312">
        <f t="shared" si="8"/>
        <v>14726217.448138021</v>
      </c>
      <c r="N73" s="18">
        <f>SUM(N15:N72)</f>
        <v>558058.83179404528</v>
      </c>
      <c r="O73" s="18">
        <f t="shared" ref="O73:T73" si="9">SUM(O15:O72)</f>
        <v>0</v>
      </c>
      <c r="P73" s="312">
        <f t="shared" si="9"/>
        <v>558058.83179404528</v>
      </c>
      <c r="Q73" s="18">
        <f t="shared" si="9"/>
        <v>286497.84851854213</v>
      </c>
      <c r="R73" s="312">
        <f t="shared" si="9"/>
        <v>308447.79844893678</v>
      </c>
      <c r="S73" s="18">
        <f t="shared" si="9"/>
        <v>844556.68031258741</v>
      </c>
      <c r="T73" s="18">
        <f t="shared" si="9"/>
        <v>866506.63024298195</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15197736.318503221</v>
      </c>
      <c r="G75"/>
      <c r="H75" s="335">
        <f>L73+T73</f>
        <v>15592724.078381002</v>
      </c>
      <c r="I75" s="74"/>
      <c r="J75"/>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753</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628</v>
      </c>
      <c r="C8" s="1"/>
      <c r="F8" s="119" t="s">
        <v>1017</v>
      </c>
      <c r="G8" s="41" t="s">
        <v>259</v>
      </c>
    </row>
    <row r="10" spans="1:27" x14ac:dyDescent="0.35">
      <c r="A10" s="1" t="s">
        <v>254</v>
      </c>
      <c r="B10" s="1" t="s">
        <v>256</v>
      </c>
      <c r="C10" s="1"/>
    </row>
    <row r="11" spans="1:27" x14ac:dyDescent="0.35">
      <c r="B11" s="334" t="s">
        <v>598</v>
      </c>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2D'!B15:D15=0,"",'As-Filed Schedule 2D'!B15:D15)</f>
        <v>YHC Community Stabilization  (CSP) - includes ACT</v>
      </c>
      <c r="C15" s="543"/>
      <c r="D15" s="543"/>
      <c r="F15" s="117">
        <f>'As-Filed Schedule 2D'!F15</f>
        <v>630793</v>
      </c>
      <c r="G15" s="456">
        <f>SUMIFS(Adjustments!$G:$G,Adjustments!$H:$H,"2D",Adjustments!$I:$I,'Schedule 2D Adjustments'!$F$12,Adjustments!$J:$J,'Schedule 2D Adjustments'!$A15)</f>
        <v>0</v>
      </c>
      <c r="H15" s="310">
        <f>SUM(F15:G15)</f>
        <v>630793</v>
      </c>
      <c r="I15" s="68">
        <f>IFERROR(F15*'As-Filed Schedule 1'!$E$103,0)</f>
        <v>323838.32503748062</v>
      </c>
      <c r="J15" s="311">
        <f>IFERROR(H15*'Adjusted Schedule 1'!$E$104,0)</f>
        <v>348649.10479332064</v>
      </c>
      <c r="K15" s="68">
        <f>SUM(F15,I15)</f>
        <v>954631.32503748056</v>
      </c>
      <c r="L15" s="311">
        <f>SUM(H15,J15)</f>
        <v>979442.10479332064</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4.4400000000000004</v>
      </c>
      <c r="W15" s="314">
        <f>SUMIFS(Adjustments!$G:$G,Adjustments!$H:$H,"2D",Adjustments!$I:$I,'Schedule 2D Adjustments'!$V$12,Adjustments!$J:$J,'Schedule 2D Adjustments'!$A15)</f>
        <v>0</v>
      </c>
      <c r="X15" s="310">
        <f>SUM(V15:W15)</f>
        <v>4.4400000000000004</v>
      </c>
      <c r="Y15" s="120">
        <f>'As-Filed Schedule 2D'!O15</f>
        <v>373</v>
      </c>
      <c r="Z15" s="314">
        <f>SUMIFS(Adjustments!$G:$G,Adjustments!$H:$H,"2D",Adjustments!$I:$I,'Schedule 2D Adjustments'!$Y$12,Adjustments!$J:$J,'Schedule 2D Adjustments'!$A15)</f>
        <v>0</v>
      </c>
      <c r="AA15" s="310">
        <f>SUM(Y15:Z15)</f>
        <v>373</v>
      </c>
    </row>
    <row r="16" spans="1:27" x14ac:dyDescent="0.35">
      <c r="A16" s="24">
        <v>2</v>
      </c>
      <c r="B16" s="543" t="str">
        <f>IF('As-Filed Schedule 2D'!B16:D16=0,"",'As-Filed Schedule 2D'!B16:D16)</f>
        <v/>
      </c>
      <c r="C16" s="543"/>
      <c r="D16" s="543"/>
      <c r="F16" s="117">
        <f>'As-Filed Schedule 2D'!F16</f>
        <v>0</v>
      </c>
      <c r="G16" s="456">
        <f>SUMIFS(Adjustments!$G:$G,Adjustments!$H:$H,"2D",Adjustments!$I:$I,'Schedule 2D Adjustments'!$F$12,Adjustments!$J:$J,'Schedule 2D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0</v>
      </c>
      <c r="W16" s="314">
        <f>SUMIFS(Adjustments!$G:$G,Adjustments!$H:$H,"2D",Adjustments!$I:$I,'Schedule 2D Adjustments'!$V$12,Adjustments!$J:$J,'Schedule 2D Adjustments'!$A16)</f>
        <v>0</v>
      </c>
      <c r="X16" s="310">
        <f t="shared" ref="X16:X72" si="6">SUM(V16:W16)</f>
        <v>0</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43" t="str">
        <f>IF('As-Filed Schedule 2D'!B17:D17=0,"",'As-Filed Schedule 2D'!B17:D17)</f>
        <v/>
      </c>
      <c r="C17" s="543"/>
      <c r="D17" s="543"/>
      <c r="F17" s="117">
        <f>'As-Filed Schedule 2D'!F17</f>
        <v>0</v>
      </c>
      <c r="G17" s="314">
        <f>SUMIFS(Adjustments!$G:$G,Adjustments!$H:$H,"2D",Adjustments!$I:$I,'Schedule 2D Adjustments'!$F$12,Adjustments!$J:$J,'Schedule 2D Adjustments'!$A17)</f>
        <v>0</v>
      </c>
      <c r="H17" s="310">
        <f t="shared" si="0"/>
        <v>0</v>
      </c>
      <c r="I17" s="68">
        <f>IFERROR(F17*'As-Filed Schedule 1'!$E$103,0)</f>
        <v>0</v>
      </c>
      <c r="J17" s="311">
        <f>IFERROR(H17*'Adjusted Schedule 1'!$E$104,0)</f>
        <v>0</v>
      </c>
      <c r="K17" s="68">
        <f t="shared" si="1"/>
        <v>0</v>
      </c>
      <c r="L17" s="311">
        <f t="shared" si="2"/>
        <v>0</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0</v>
      </c>
      <c r="W17" s="314">
        <f>SUMIFS(Adjustments!$G:$G,Adjustments!$H:$H,"2D",Adjustments!$I:$I,'Schedule 2D Adjustments'!$V$12,Adjustments!$J:$J,'Schedule 2D Adjustments'!$A17)</f>
        <v>0</v>
      </c>
      <c r="X17" s="310">
        <f t="shared" si="6"/>
        <v>0</v>
      </c>
      <c r="Y17" s="120">
        <f>'As-Filed Schedule 2D'!O17</f>
        <v>0</v>
      </c>
      <c r="Z17" s="314">
        <f>SUMIFS(Adjustments!$G:$G,Adjustments!$H:$H,"2D",Adjustments!$I:$I,'Schedule 2D Adjustments'!$Y$12,Adjustments!$J:$J,'Schedule 2D Adjustments'!$A17)</f>
        <v>0</v>
      </c>
      <c r="AA17" s="310">
        <f t="shared" si="7"/>
        <v>0</v>
      </c>
    </row>
    <row r="18" spans="1:27" x14ac:dyDescent="0.35">
      <c r="A18" s="24">
        <v>4</v>
      </c>
      <c r="B18" s="543" t="str">
        <f>IF('As-Filed Schedule 2D'!B18:D18=0,"",'As-Filed Schedule 2D'!B18:D18)</f>
        <v/>
      </c>
      <c r="C18" s="543"/>
      <c r="D18" s="543"/>
      <c r="F18" s="117">
        <f>'As-Filed Schedule 2D'!F18</f>
        <v>0</v>
      </c>
      <c r="G18" s="314">
        <f>SUMIFS(Adjustments!$G:$G,Adjustments!$H:$H,"2D",Adjustments!$I:$I,'Schedule 2D Adjustments'!$F$12,Adjustments!$J:$J,'Schedule 2D Adjustments'!$A18)</f>
        <v>0</v>
      </c>
      <c r="H18" s="310">
        <f t="shared" si="0"/>
        <v>0</v>
      </c>
      <c r="I18" s="68">
        <f>IFERROR(F18*'As-Filed Schedule 1'!$E$103,0)</f>
        <v>0</v>
      </c>
      <c r="J18" s="311">
        <f>IFERROR(H18*'Adjusted Schedule 1'!$E$104,0)</f>
        <v>0</v>
      </c>
      <c r="K18" s="68">
        <f t="shared" si="1"/>
        <v>0</v>
      </c>
      <c r="L18" s="311">
        <f t="shared" si="2"/>
        <v>0</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0</v>
      </c>
      <c r="W18" s="314">
        <f>SUMIFS(Adjustments!$G:$G,Adjustments!$H:$H,"2D",Adjustments!$I:$I,'Schedule 2D Adjustments'!$V$12,Adjustments!$J:$J,'Schedule 2D Adjustments'!$A18)</f>
        <v>0</v>
      </c>
      <c r="X18" s="310">
        <f t="shared" si="6"/>
        <v>0</v>
      </c>
      <c r="Y18" s="120">
        <f>'As-Filed Schedule 2D'!O18</f>
        <v>0</v>
      </c>
      <c r="Z18" s="314">
        <f>SUMIFS(Adjustments!$G:$G,Adjustments!$H:$H,"2D",Adjustments!$I:$I,'Schedule 2D Adjustments'!$Y$12,Adjustments!$J:$J,'Schedule 2D Adjustments'!$A18)</f>
        <v>0</v>
      </c>
      <c r="AA18" s="310">
        <f t="shared" si="7"/>
        <v>0</v>
      </c>
    </row>
    <row r="19" spans="1:27" x14ac:dyDescent="0.35">
      <c r="A19" s="24">
        <v>5</v>
      </c>
      <c r="B19" s="543" t="str">
        <f>IF('As-Filed Schedule 2D'!B19:D19=0,"",'As-Filed Schedule 2D'!B19:D19)</f>
        <v>Summit/Eagle County Detox Facility - Recovery Resources</v>
      </c>
      <c r="C19" s="543"/>
      <c r="D19" s="543"/>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30000</v>
      </c>
      <c r="O19" s="314">
        <f>SUMIFS(Adjustments!$G:$G,Adjustments!$H:$H,"2D",Adjustments!$I:$I,'Schedule 2D Adjustments'!$N$12,Adjustments!$J:$J,'Schedule 2D Adjustments'!$A19)</f>
        <v>0</v>
      </c>
      <c r="P19" s="310">
        <f t="shared" si="3"/>
        <v>30000</v>
      </c>
      <c r="Q19" s="68">
        <f>IFERROR(N19*'As-Filed Schedule 1'!$E$103,0)</f>
        <v>15401.48630553037</v>
      </c>
      <c r="R19" s="68">
        <f>IFERROR(P19*'Adjusted Schedule 1'!$E$104,0)</f>
        <v>16581.466731240864</v>
      </c>
      <c r="S19" s="68">
        <f t="shared" si="4"/>
        <v>45401.486305530372</v>
      </c>
      <c r="T19" s="311">
        <f t="shared" si="5"/>
        <v>46581.466731240864</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43" t="str">
        <f>IF('As-Filed Schedule 2D'!B20:D20=0,"",'As-Filed Schedule 2D'!B20:D20)</f>
        <v/>
      </c>
      <c r="C20" s="543"/>
      <c r="D20" s="543"/>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43" t="str">
        <f>IF('As-Filed Schedule 2D'!B21:D21=0,"",'As-Filed Schedule 2D'!B21:D21)</f>
        <v/>
      </c>
      <c r="C21" s="543"/>
      <c r="D21" s="543"/>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43" t="str">
        <f>IF('As-Filed Schedule 2D'!B22:D22=0,"",'As-Filed Schedule 2D'!B22:D22)</f>
        <v/>
      </c>
      <c r="C22" s="543"/>
      <c r="D22" s="543"/>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43" t="str">
        <f>IF('As-Filed Schedule 2D'!B23:D23=0,"",'As-Filed Schedule 2D'!B23:D23)</f>
        <v/>
      </c>
      <c r="C23" s="543"/>
      <c r="D23" s="543"/>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43" t="str">
        <f>IF('As-Filed Schedule 2D'!B24:D24=0,"",'As-Filed Schedule 2D'!B24:D24)</f>
        <v/>
      </c>
      <c r="C24" s="543"/>
      <c r="D24" s="543"/>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43" t="str">
        <f>IF('As-Filed Schedule 2D'!B25:D25=0,"",'As-Filed Schedule 2D'!B25:D25)</f>
        <v/>
      </c>
      <c r="C25" s="543"/>
      <c r="D25" s="543"/>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43" t="str">
        <f>IF('As-Filed Schedule 2D'!B26:D26=0,"",'As-Filed Schedule 2D'!B26:D26)</f>
        <v/>
      </c>
      <c r="C26" s="543"/>
      <c r="D26" s="543"/>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43" t="str">
        <f>IF('As-Filed Schedule 2D'!B27:D27=0,"",'As-Filed Schedule 2D'!B27:D27)</f>
        <v/>
      </c>
      <c r="C27" s="543"/>
      <c r="D27" s="543"/>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43" t="str">
        <f>IF('As-Filed Schedule 2D'!B28:D28=0,"",'As-Filed Schedule 2D'!B28:D28)</f>
        <v/>
      </c>
      <c r="C28" s="543"/>
      <c r="D28" s="543"/>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43" t="str">
        <f>IF('As-Filed Schedule 2D'!B29:D29=0,"",'As-Filed Schedule 2D'!B29:D29)</f>
        <v/>
      </c>
      <c r="C29" s="543"/>
      <c r="D29" s="543"/>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43" t="str">
        <f>IF('As-Filed Schedule 2D'!B30:D30=0,"",'As-Filed Schedule 2D'!B30:D30)</f>
        <v/>
      </c>
      <c r="C30" s="543"/>
      <c r="D30" s="543"/>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43" t="str">
        <f>IF('As-Filed Schedule 2D'!B31:D31=0,"",'As-Filed Schedule 2D'!B31:D31)</f>
        <v/>
      </c>
      <c r="C31" s="543"/>
      <c r="D31" s="543"/>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43" t="str">
        <f>IF('As-Filed Schedule 2D'!B32:D32=0,"",'As-Filed Schedule 2D'!B32:D32)</f>
        <v/>
      </c>
      <c r="C32" s="543"/>
      <c r="D32" s="543"/>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43" t="str">
        <f>IF('As-Filed Schedule 2D'!B33:D33=0,"",'As-Filed Schedule 2D'!B33:D33)</f>
        <v/>
      </c>
      <c r="C33" s="543"/>
      <c r="D33" s="543"/>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43" t="str">
        <f>IF('As-Filed Schedule 2D'!B34:D34=0,"",'As-Filed Schedule 2D'!B34:D34)</f>
        <v/>
      </c>
      <c r="C34" s="543"/>
      <c r="D34" s="543"/>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43" t="str">
        <f>IF('As-Filed Schedule 2D'!B35:D35=0,"",'As-Filed Schedule 2D'!B35:D35)</f>
        <v/>
      </c>
      <c r="C35" s="543"/>
      <c r="D35" s="543"/>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43" t="str">
        <f>IF('As-Filed Schedule 2D'!B36:D36=0,"",'As-Filed Schedule 2D'!B36:D36)</f>
        <v/>
      </c>
      <c r="C36" s="543"/>
      <c r="D36" s="543"/>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43" t="str">
        <f>IF('As-Filed Schedule 2D'!B37:D37=0,"",'As-Filed Schedule 2D'!B37:D37)</f>
        <v/>
      </c>
      <c r="C37" s="543"/>
      <c r="D37" s="543"/>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43" t="str">
        <f>IF('As-Filed Schedule 2D'!B38:D38=0,"",'As-Filed Schedule 2D'!B38:D38)</f>
        <v/>
      </c>
      <c r="C38" s="543"/>
      <c r="D38" s="543"/>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43" t="str">
        <f>IF('As-Filed Schedule 2D'!B39:D39=0,"",'As-Filed Schedule 2D'!B39:D39)</f>
        <v/>
      </c>
      <c r="C39" s="543"/>
      <c r="D39" s="543"/>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43" t="str">
        <f>IF('As-Filed Schedule 2D'!B40:D40=0,"",'As-Filed Schedule 2D'!B40:D40)</f>
        <v/>
      </c>
      <c r="C40" s="543"/>
      <c r="D40" s="543"/>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43" t="str">
        <f>IF('As-Filed Schedule 2D'!B41:D41=0,"",'As-Filed Schedule 2D'!B41:D41)</f>
        <v/>
      </c>
      <c r="C41" s="543"/>
      <c r="D41" s="543"/>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43" t="str">
        <f>IF('As-Filed Schedule 2D'!B42:D42=0,"",'As-Filed Schedule 2D'!B42:D42)</f>
        <v/>
      </c>
      <c r="C42" s="543"/>
      <c r="D42" s="543"/>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43" t="str">
        <f>IF('As-Filed Schedule 2D'!B43:D43=0,"",'As-Filed Schedule 2D'!B43:D43)</f>
        <v/>
      </c>
      <c r="C43" s="543"/>
      <c r="D43" s="543"/>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43" t="str">
        <f>IF('As-Filed Schedule 2D'!B44:D44=0,"",'As-Filed Schedule 2D'!B44:D44)</f>
        <v/>
      </c>
      <c r="C44" s="543"/>
      <c r="D44" s="543"/>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43" t="str">
        <f>IF('As-Filed Schedule 2D'!B45:D45=0,"",'As-Filed Schedule 2D'!B45:D45)</f>
        <v/>
      </c>
      <c r="C45" s="543"/>
      <c r="D45" s="543"/>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43" t="str">
        <f>IF('As-Filed Schedule 2D'!B46:D46=0,"",'As-Filed Schedule 2D'!B46:D46)</f>
        <v/>
      </c>
      <c r="C46" s="543"/>
      <c r="D46" s="543"/>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43" t="str">
        <f>IF('As-Filed Schedule 2D'!B47:D47=0,"",'As-Filed Schedule 2D'!B47:D47)</f>
        <v/>
      </c>
      <c r="C47" s="543"/>
      <c r="D47" s="543"/>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43" t="str">
        <f>IF('As-Filed Schedule 2D'!B48:D48=0,"",'As-Filed Schedule 2D'!B48:D48)</f>
        <v/>
      </c>
      <c r="C48" s="543"/>
      <c r="D48" s="543"/>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43" t="str">
        <f>IF('As-Filed Schedule 2D'!B49:D49=0,"",'As-Filed Schedule 2D'!B49:D49)</f>
        <v/>
      </c>
      <c r="C49" s="543"/>
      <c r="D49" s="543"/>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43" t="str">
        <f>IF('As-Filed Schedule 2D'!B50:D50=0,"",'As-Filed Schedule 2D'!B50:D50)</f>
        <v/>
      </c>
      <c r="C50" s="543"/>
      <c r="D50" s="543"/>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43" t="str">
        <f>IF('As-Filed Schedule 2D'!B51:D51=0,"",'As-Filed Schedule 2D'!B51:D51)</f>
        <v/>
      </c>
      <c r="C51" s="543"/>
      <c r="D51" s="543"/>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43" t="str">
        <f>IF('As-Filed Schedule 2D'!B52:D52=0,"",'As-Filed Schedule 2D'!B52:D52)</f>
        <v/>
      </c>
      <c r="C52" s="543"/>
      <c r="D52" s="543"/>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43" t="str">
        <f>IF('As-Filed Schedule 2D'!B53:D53=0,"",'As-Filed Schedule 2D'!B53:D53)</f>
        <v/>
      </c>
      <c r="C53" s="543"/>
      <c r="D53" s="543"/>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43" t="str">
        <f>IF('As-Filed Schedule 2D'!B54:D54=0,"",'As-Filed Schedule 2D'!B54:D54)</f>
        <v/>
      </c>
      <c r="C54" s="543"/>
      <c r="D54" s="543"/>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43" t="str">
        <f>IF('As-Filed Schedule 2D'!B55:D55=0,"",'As-Filed Schedule 2D'!B55:D55)</f>
        <v/>
      </c>
      <c r="C55" s="543"/>
      <c r="D55" s="543"/>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43" t="str">
        <f>IF('As-Filed Schedule 2D'!B56:D56=0,"",'As-Filed Schedule 2D'!B56:D56)</f>
        <v/>
      </c>
      <c r="C56" s="543"/>
      <c r="D56" s="543"/>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43" t="str">
        <f>IF('As-Filed Schedule 2D'!B57:D57=0,"",'As-Filed Schedule 2D'!B57:D57)</f>
        <v/>
      </c>
      <c r="C57" s="543"/>
      <c r="D57" s="543"/>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43" t="str">
        <f>IF('As-Filed Schedule 2D'!B58:D58=0,"",'As-Filed Schedule 2D'!B58:D58)</f>
        <v/>
      </c>
      <c r="C58" s="543"/>
      <c r="D58" s="543"/>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43" t="str">
        <f>IF('As-Filed Schedule 2D'!B59:D59=0,"",'As-Filed Schedule 2D'!B59:D59)</f>
        <v/>
      </c>
      <c r="C59" s="543"/>
      <c r="D59" s="543"/>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43" t="str">
        <f>IF('As-Filed Schedule 2D'!B60:D60=0,"",'As-Filed Schedule 2D'!B60:D60)</f>
        <v/>
      </c>
      <c r="C60" s="543"/>
      <c r="D60" s="543"/>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43" t="str">
        <f>IF('As-Filed Schedule 2D'!B61:D61=0,"",'As-Filed Schedule 2D'!B61:D61)</f>
        <v/>
      </c>
      <c r="C61" s="543"/>
      <c r="D61" s="543"/>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43" t="str">
        <f>IF('As-Filed Schedule 2D'!B62:D62=0,"",'As-Filed Schedule 2D'!B62:D62)</f>
        <v/>
      </c>
      <c r="C62" s="543"/>
      <c r="D62" s="543"/>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43" t="str">
        <f>IF('As-Filed Schedule 2D'!B63:D63=0,"",'As-Filed Schedule 2D'!B63:D63)</f>
        <v/>
      </c>
      <c r="C63" s="543"/>
      <c r="D63" s="543"/>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43" t="str">
        <f>IF('As-Filed Schedule 2D'!B64:D64=0,"",'As-Filed Schedule 2D'!B64:D64)</f>
        <v/>
      </c>
      <c r="C64" s="543"/>
      <c r="D64" s="543"/>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43" t="str">
        <f>IF('As-Filed Schedule 2D'!B65:D65=0,"",'As-Filed Schedule 2D'!B65:D65)</f>
        <v/>
      </c>
      <c r="C65" s="543"/>
      <c r="D65" s="543"/>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43" t="str">
        <f>IF('As-Filed Schedule 2D'!B66:D66=0,"",'As-Filed Schedule 2D'!B66:D66)</f>
        <v/>
      </c>
      <c r="C66" s="543"/>
      <c r="D66" s="543"/>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43" t="str">
        <f>IF('As-Filed Schedule 2D'!B67:D67=0,"",'As-Filed Schedule 2D'!B67:D67)</f>
        <v/>
      </c>
      <c r="C67" s="543"/>
      <c r="D67" s="543"/>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43" t="str">
        <f>IF('As-Filed Schedule 2D'!B68:D68=0,"",'As-Filed Schedule 2D'!B68:D68)</f>
        <v/>
      </c>
      <c r="C68" s="543"/>
      <c r="D68" s="543"/>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43" t="str">
        <f>IF('As-Filed Schedule 2D'!B69:D69=0,"",'As-Filed Schedule 2D'!B69:D69)</f>
        <v/>
      </c>
      <c r="C69" s="543"/>
      <c r="D69" s="543"/>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43" t="str">
        <f>IF('As-Filed Schedule 2D'!B70:D70=0,"",'As-Filed Schedule 2D'!B70:D70)</f>
        <v/>
      </c>
      <c r="C70" s="543"/>
      <c r="D70" s="543"/>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43" t="str">
        <f>IF('As-Filed Schedule 2D'!B71:D71=0,"",'As-Filed Schedule 2D'!B71:D71)</f>
        <v/>
      </c>
      <c r="C71" s="543"/>
      <c r="D71" s="543"/>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43" t="str">
        <f>IF('As-Filed Schedule 2D'!B72:D72=0,"",'As-Filed Schedule 2D'!B72:D72)</f>
        <v/>
      </c>
      <c r="C72" s="543"/>
      <c r="D72" s="543"/>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630793</v>
      </c>
      <c r="G73" s="18">
        <f t="shared" ref="G73:H73" si="8">SUM(G15:G72)</f>
        <v>0</v>
      </c>
      <c r="H73" s="18">
        <f t="shared" si="8"/>
        <v>630793</v>
      </c>
      <c r="I73" s="18">
        <f t="shared" ref="I73:K73" si="9">SUM(I15:I72)</f>
        <v>323838.32503748062</v>
      </c>
      <c r="J73" s="311">
        <f>IFERROR(H73*'Adjusted Schedule 1'!$E$104,0)</f>
        <v>348649.10479332064</v>
      </c>
      <c r="K73" s="18">
        <f t="shared" si="9"/>
        <v>954631.32503748056</v>
      </c>
      <c r="L73" s="312">
        <f t="shared" ref="L73" si="10">SUM(L15:L72)</f>
        <v>979442.10479332064</v>
      </c>
      <c r="N73" s="18">
        <f>SUM(N15:N72)</f>
        <v>30000</v>
      </c>
      <c r="O73" s="18">
        <f t="shared" ref="O73:P73" si="11">SUM(O15:O72)</f>
        <v>0</v>
      </c>
      <c r="P73" s="18">
        <f t="shared" si="11"/>
        <v>30000</v>
      </c>
      <c r="Q73" s="18">
        <f t="shared" ref="Q73:S73" si="12">SUM(Q15:Q72)</f>
        <v>15401.48630553037</v>
      </c>
      <c r="R73" s="18">
        <f t="shared" si="12"/>
        <v>16581.466731240864</v>
      </c>
      <c r="S73" s="18">
        <f t="shared" si="12"/>
        <v>45401.486305530372</v>
      </c>
      <c r="T73" s="312">
        <f t="shared" ref="T73" si="13">SUM(T15:T72)</f>
        <v>46581.466731240864</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1000032.811343011</v>
      </c>
      <c r="G75"/>
      <c r="H75" s="75">
        <f>L73+T73</f>
        <v>1026023.5715245615</v>
      </c>
      <c r="I75" s="74"/>
      <c r="J75" s="326"/>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839</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810</v>
      </c>
      <c r="C8" s="1"/>
      <c r="F8" s="119" t="str">
        <f>'As-Filed Schedule 2E'!F8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2E'!B15:D15=0,"",'As-Filed Schedule 2E'!B15:D15)</f>
        <v/>
      </c>
      <c r="C15" s="543"/>
      <c r="D15" s="543"/>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43" t="str">
        <f>IF('As-Filed Schedule 2E'!B16:D16=0,"",'As-Filed Schedule 2E'!B16:D16)</f>
        <v/>
      </c>
      <c r="C16" s="543"/>
      <c r="D16" s="543"/>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43" t="str">
        <f>IF('As-Filed Schedule 2E'!B17:D17=0,"",'As-Filed Schedule 2E'!B17:D17)</f>
        <v/>
      </c>
      <c r="C17" s="543"/>
      <c r="D17" s="543"/>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43" t="str">
        <f>IF('As-Filed Schedule 2E'!B18:D18=0,"",'As-Filed Schedule 2E'!B18:D18)</f>
        <v/>
      </c>
      <c r="C18" s="543"/>
      <c r="D18" s="543"/>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43" t="str">
        <f>IF('As-Filed Schedule 2E'!B19:D19=0,"",'As-Filed Schedule 2E'!B19:D19)</f>
        <v/>
      </c>
      <c r="C19" s="543"/>
      <c r="D19" s="543"/>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43" t="str">
        <f>IF('As-Filed Schedule 2E'!B20:D20=0,"",'As-Filed Schedule 2E'!B20:D20)</f>
        <v/>
      </c>
      <c r="C20" s="543"/>
      <c r="D20" s="543"/>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43" t="str">
        <f>IF('As-Filed Schedule 2E'!B21:D21=0,"",'As-Filed Schedule 2E'!B21:D21)</f>
        <v/>
      </c>
      <c r="C21" s="543"/>
      <c r="D21" s="543"/>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43" t="str">
        <f>IF('As-Filed Schedule 2E'!B22:D22=0,"",'As-Filed Schedule 2E'!B22:D22)</f>
        <v/>
      </c>
      <c r="C22" s="543"/>
      <c r="D22" s="543"/>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43" t="str">
        <f>IF('As-Filed Schedule 2E'!B23:D23=0,"",'As-Filed Schedule 2E'!B23:D23)</f>
        <v/>
      </c>
      <c r="C23" s="543"/>
      <c r="D23" s="543"/>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43" t="str">
        <f>IF('As-Filed Schedule 2E'!B24:D24=0,"",'As-Filed Schedule 2E'!B24:D24)</f>
        <v/>
      </c>
      <c r="C24" s="543"/>
      <c r="D24" s="543"/>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43" t="str">
        <f>IF('As-Filed Schedule 2E'!B25:D25=0,"",'As-Filed Schedule 2E'!B25:D25)</f>
        <v/>
      </c>
      <c r="C25" s="543"/>
      <c r="D25" s="543"/>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43" t="str">
        <f>IF('As-Filed Schedule 2E'!B26:D26=0,"",'As-Filed Schedule 2E'!B26:D26)</f>
        <v/>
      </c>
      <c r="C26" s="543"/>
      <c r="D26" s="543"/>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43" t="str">
        <f>IF('As-Filed Schedule 2E'!B27:D27=0,"",'As-Filed Schedule 2E'!B27:D27)</f>
        <v/>
      </c>
      <c r="C27" s="543"/>
      <c r="D27" s="543"/>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43" t="str">
        <f>IF('As-Filed Schedule 2E'!B28:D28=0,"",'As-Filed Schedule 2E'!B28:D28)</f>
        <v/>
      </c>
      <c r="C28" s="543"/>
      <c r="D28" s="543"/>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43" t="str">
        <f>IF('As-Filed Schedule 2E'!B29:D29=0,"",'As-Filed Schedule 2E'!B29:D29)</f>
        <v/>
      </c>
      <c r="C29" s="543"/>
      <c r="D29" s="543"/>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43" t="str">
        <f>IF('As-Filed Schedule 2E'!B30:D30=0,"",'As-Filed Schedule 2E'!B30:D30)</f>
        <v/>
      </c>
      <c r="C30" s="543"/>
      <c r="D30" s="543"/>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43" t="str">
        <f>IF('As-Filed Schedule 2E'!B31:D31=0,"",'As-Filed Schedule 2E'!B31:D31)</f>
        <v/>
      </c>
      <c r="C31" s="543"/>
      <c r="D31" s="543"/>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43" t="str">
        <f>IF('As-Filed Schedule 2E'!B32:D32=0,"",'As-Filed Schedule 2E'!B32:D32)</f>
        <v/>
      </c>
      <c r="C32" s="543"/>
      <c r="D32" s="543"/>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43" t="str">
        <f>IF('As-Filed Schedule 2E'!B33:D33=0,"",'As-Filed Schedule 2E'!B33:D33)</f>
        <v/>
      </c>
      <c r="C33" s="543"/>
      <c r="D33" s="543"/>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43" t="str">
        <f>IF('As-Filed Schedule 2E'!B34:D34=0,"",'As-Filed Schedule 2E'!B34:D34)</f>
        <v/>
      </c>
      <c r="C34" s="543"/>
      <c r="D34" s="543"/>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43" t="str">
        <f>IF('As-Filed Schedule 2E'!B35:D35=0,"",'As-Filed Schedule 2E'!B35:D35)</f>
        <v/>
      </c>
      <c r="C35" s="543"/>
      <c r="D35" s="543"/>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43" t="str">
        <f>IF('As-Filed Schedule 2E'!B36:D36=0,"",'As-Filed Schedule 2E'!B36:D36)</f>
        <v/>
      </c>
      <c r="C36" s="543"/>
      <c r="D36" s="543"/>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43" t="str">
        <f>IF('As-Filed Schedule 2E'!B37:D37=0,"",'As-Filed Schedule 2E'!B37:D37)</f>
        <v/>
      </c>
      <c r="C37" s="543"/>
      <c r="D37" s="543"/>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43" t="str">
        <f>IF('As-Filed Schedule 2E'!B38:D38=0,"",'As-Filed Schedule 2E'!B38:D38)</f>
        <v/>
      </c>
      <c r="C38" s="543"/>
      <c r="D38" s="543"/>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43" t="str">
        <f>IF('As-Filed Schedule 2E'!B39:D39=0,"",'As-Filed Schedule 2E'!B39:D39)</f>
        <v/>
      </c>
      <c r="C39" s="543"/>
      <c r="D39" s="543"/>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43" t="str">
        <f>IF('As-Filed Schedule 2E'!B40:D40=0,"",'As-Filed Schedule 2E'!B40:D40)</f>
        <v/>
      </c>
      <c r="C40" s="543"/>
      <c r="D40" s="543"/>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43" t="str">
        <f>IF('As-Filed Schedule 2E'!B41:D41=0,"",'As-Filed Schedule 2E'!B41:D41)</f>
        <v/>
      </c>
      <c r="C41" s="543"/>
      <c r="D41" s="543"/>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43" t="str">
        <f>IF('As-Filed Schedule 2E'!B42:D42=0,"",'As-Filed Schedule 2E'!B42:D42)</f>
        <v/>
      </c>
      <c r="C42" s="543"/>
      <c r="D42" s="543"/>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43" t="str">
        <f>IF('As-Filed Schedule 2E'!B43:D43=0,"",'As-Filed Schedule 2E'!B43:D43)</f>
        <v/>
      </c>
      <c r="C43" s="543"/>
      <c r="D43" s="543"/>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43" t="str">
        <f>IF('As-Filed Schedule 2E'!B44:D44=0,"",'As-Filed Schedule 2E'!B44:D44)</f>
        <v/>
      </c>
      <c r="C44" s="543"/>
      <c r="D44" s="543"/>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43" t="str">
        <f>IF('As-Filed Schedule 2E'!B45:D45=0,"",'As-Filed Schedule 2E'!B45:D45)</f>
        <v/>
      </c>
      <c r="C45" s="543"/>
      <c r="D45" s="543"/>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43" t="str">
        <f>IF('As-Filed Schedule 2E'!B46:D46=0,"",'As-Filed Schedule 2E'!B46:D46)</f>
        <v/>
      </c>
      <c r="C46" s="543"/>
      <c r="D46" s="543"/>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43" t="str">
        <f>IF('As-Filed Schedule 2E'!B47:D47=0,"",'As-Filed Schedule 2E'!B47:D47)</f>
        <v/>
      </c>
      <c r="C47" s="543"/>
      <c r="D47" s="543"/>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43" t="str">
        <f>IF('As-Filed Schedule 2E'!B48:D48=0,"",'As-Filed Schedule 2E'!B48:D48)</f>
        <v/>
      </c>
      <c r="C48" s="543"/>
      <c r="D48" s="543"/>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43" t="str">
        <f>IF('As-Filed Schedule 2E'!B49:D49=0,"",'As-Filed Schedule 2E'!B49:D49)</f>
        <v/>
      </c>
      <c r="C49" s="543"/>
      <c r="D49" s="543"/>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43" t="str">
        <f>IF('As-Filed Schedule 2E'!B50:D50=0,"",'As-Filed Schedule 2E'!B50:D50)</f>
        <v/>
      </c>
      <c r="C50" s="543"/>
      <c r="D50" s="543"/>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43" t="str">
        <f>IF('As-Filed Schedule 2E'!B51:D51=0,"",'As-Filed Schedule 2E'!B51:D51)</f>
        <v/>
      </c>
      <c r="C51" s="543"/>
      <c r="D51" s="543"/>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43" t="str">
        <f>IF('As-Filed Schedule 2E'!B52:D52=0,"",'As-Filed Schedule 2E'!B52:D52)</f>
        <v/>
      </c>
      <c r="C52" s="543"/>
      <c r="D52" s="543"/>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43" t="str">
        <f>IF('As-Filed Schedule 2E'!B53:D53=0,"",'As-Filed Schedule 2E'!B53:D53)</f>
        <v/>
      </c>
      <c r="C53" s="543"/>
      <c r="D53" s="543"/>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43" t="str">
        <f>IF('As-Filed Schedule 2E'!B54:D54=0,"",'As-Filed Schedule 2E'!B54:D54)</f>
        <v/>
      </c>
      <c r="C54" s="543"/>
      <c r="D54" s="543"/>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43" t="str">
        <f>IF('As-Filed Schedule 2E'!B55:D55=0,"",'As-Filed Schedule 2E'!B55:D55)</f>
        <v/>
      </c>
      <c r="C55" s="543"/>
      <c r="D55" s="543"/>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43" t="str">
        <f>IF('As-Filed Schedule 2E'!B56:D56=0,"",'As-Filed Schedule 2E'!B56:D56)</f>
        <v/>
      </c>
      <c r="C56" s="543"/>
      <c r="D56" s="543"/>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43" t="str">
        <f>IF('As-Filed Schedule 2E'!B57:D57=0,"",'As-Filed Schedule 2E'!B57:D57)</f>
        <v/>
      </c>
      <c r="C57" s="543"/>
      <c r="D57" s="543"/>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43" t="str">
        <f>IF('As-Filed Schedule 2E'!B58:D58=0,"",'As-Filed Schedule 2E'!B58:D58)</f>
        <v/>
      </c>
      <c r="C58" s="543"/>
      <c r="D58" s="543"/>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43" t="str">
        <f>IF('As-Filed Schedule 2E'!B59:D59=0,"",'As-Filed Schedule 2E'!B59:D59)</f>
        <v/>
      </c>
      <c r="C59" s="543"/>
      <c r="D59" s="543"/>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43" t="str">
        <f>IF('As-Filed Schedule 2E'!B60:D60=0,"",'As-Filed Schedule 2E'!B60:D60)</f>
        <v/>
      </c>
      <c r="C60" s="543"/>
      <c r="D60" s="543"/>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43" t="str">
        <f>IF('As-Filed Schedule 2E'!B61:D61=0,"",'As-Filed Schedule 2E'!B61:D61)</f>
        <v/>
      </c>
      <c r="C61" s="543"/>
      <c r="D61" s="543"/>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43" t="str">
        <f>IF('As-Filed Schedule 2E'!B62:D62=0,"",'As-Filed Schedule 2E'!B62:D62)</f>
        <v/>
      </c>
      <c r="C62" s="543"/>
      <c r="D62" s="543"/>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43" t="str">
        <f>IF('As-Filed Schedule 2E'!B63:D63=0,"",'As-Filed Schedule 2E'!B63:D63)</f>
        <v/>
      </c>
      <c r="C63" s="543"/>
      <c r="D63" s="543"/>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43" t="str">
        <f>IF('As-Filed Schedule 2E'!B64:D64=0,"",'As-Filed Schedule 2E'!B64:D64)</f>
        <v/>
      </c>
      <c r="C64" s="543"/>
      <c r="D64" s="543"/>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43" t="str">
        <f>IF('As-Filed Schedule 2E'!B65:D65=0,"",'As-Filed Schedule 2E'!B65:D65)</f>
        <v/>
      </c>
      <c r="C65" s="543"/>
      <c r="D65" s="543"/>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43" t="str">
        <f>IF('As-Filed Schedule 2E'!B66:D66=0,"",'As-Filed Schedule 2E'!B66:D66)</f>
        <v/>
      </c>
      <c r="C66" s="543"/>
      <c r="D66" s="543"/>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43" t="str">
        <f>IF('As-Filed Schedule 2E'!B67:D67=0,"",'As-Filed Schedule 2E'!B67:D67)</f>
        <v/>
      </c>
      <c r="C67" s="543"/>
      <c r="D67" s="543"/>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43" t="str">
        <f>IF('As-Filed Schedule 2E'!B68:D68=0,"",'As-Filed Schedule 2E'!B68:D68)</f>
        <v/>
      </c>
      <c r="C68" s="543"/>
      <c r="D68" s="543"/>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43" t="str">
        <f>IF('As-Filed Schedule 2E'!B69:D69=0,"",'As-Filed Schedule 2E'!B69:D69)</f>
        <v/>
      </c>
      <c r="C69" s="543"/>
      <c r="D69" s="543"/>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43" t="str">
        <f>IF('As-Filed Schedule 2E'!B70:D70=0,"",'As-Filed Schedule 2E'!B70:D70)</f>
        <v/>
      </c>
      <c r="C70" s="543"/>
      <c r="D70" s="543"/>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43" t="str">
        <f>IF('As-Filed Schedule 2E'!B71:D71=0,"",'As-Filed Schedule 2E'!B71:D71)</f>
        <v/>
      </c>
      <c r="C71" s="543"/>
      <c r="D71" s="543"/>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43" t="str">
        <f>IF('As-Filed Schedule 2E'!B72:D72=0,"",'As-Filed Schedule 2E'!B72:D72)</f>
        <v/>
      </c>
      <c r="C72" s="543"/>
      <c r="D72" s="543"/>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840</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813</v>
      </c>
      <c r="C8" s="1"/>
      <c r="F8" s="119" t="str">
        <f>'As-Filed Schedule 2F'!F8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2F'!B15:D15=0,"",'As-Filed Schedule 2F'!B15:D15)</f>
        <v/>
      </c>
      <c r="C15" s="543"/>
      <c r="D15" s="543"/>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43" t="str">
        <f>IF('As-Filed Schedule 2F'!B16:D16=0,"",'As-Filed Schedule 2F'!B16:D16)</f>
        <v/>
      </c>
      <c r="C16" s="543"/>
      <c r="D16" s="543"/>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43" t="str">
        <f>IF('As-Filed Schedule 2F'!B17:D17=0,"",'As-Filed Schedule 2F'!B17:D17)</f>
        <v/>
      </c>
      <c r="C17" s="543"/>
      <c r="D17" s="543"/>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43" t="str">
        <f>IF('As-Filed Schedule 2F'!B18:D18=0,"",'As-Filed Schedule 2F'!B18:D18)</f>
        <v/>
      </c>
      <c r="C18" s="543"/>
      <c r="D18" s="543"/>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43" t="str">
        <f>IF('As-Filed Schedule 2F'!B19:D19=0,"",'As-Filed Schedule 2F'!B19:D19)</f>
        <v/>
      </c>
      <c r="C19" s="543"/>
      <c r="D19" s="543"/>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43" t="str">
        <f>IF('As-Filed Schedule 2F'!B20:D20=0,"",'As-Filed Schedule 2F'!B20:D20)</f>
        <v/>
      </c>
      <c r="C20" s="543"/>
      <c r="D20" s="543"/>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43" t="str">
        <f>IF('As-Filed Schedule 2F'!B21:D21=0,"",'As-Filed Schedule 2F'!B21:D21)</f>
        <v/>
      </c>
      <c r="C21" s="543"/>
      <c r="D21" s="543"/>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43" t="str">
        <f>IF('As-Filed Schedule 2F'!B22:D22=0,"",'As-Filed Schedule 2F'!B22:D22)</f>
        <v/>
      </c>
      <c r="C22" s="543"/>
      <c r="D22" s="543"/>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43" t="str">
        <f>IF('As-Filed Schedule 2F'!B23:D23=0,"",'As-Filed Schedule 2F'!B23:D23)</f>
        <v/>
      </c>
      <c r="C23" s="543"/>
      <c r="D23" s="543"/>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43" t="str">
        <f>IF('As-Filed Schedule 2F'!B24:D24=0,"",'As-Filed Schedule 2F'!B24:D24)</f>
        <v/>
      </c>
      <c r="C24" s="543"/>
      <c r="D24" s="543"/>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43" t="str">
        <f>IF('As-Filed Schedule 2F'!B25:D25=0,"",'As-Filed Schedule 2F'!B25:D25)</f>
        <v/>
      </c>
      <c r="C25" s="543"/>
      <c r="D25" s="543"/>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43" t="str">
        <f>IF('As-Filed Schedule 2F'!B26:D26=0,"",'As-Filed Schedule 2F'!B26:D26)</f>
        <v/>
      </c>
      <c r="C26" s="543"/>
      <c r="D26" s="543"/>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43" t="str">
        <f>IF('As-Filed Schedule 2F'!B27:D27=0,"",'As-Filed Schedule 2F'!B27:D27)</f>
        <v/>
      </c>
      <c r="C27" s="543"/>
      <c r="D27" s="543"/>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43" t="str">
        <f>IF('As-Filed Schedule 2F'!B28:D28=0,"",'As-Filed Schedule 2F'!B28:D28)</f>
        <v/>
      </c>
      <c r="C28" s="543"/>
      <c r="D28" s="543"/>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43" t="str">
        <f>IF('As-Filed Schedule 2F'!B29:D29=0,"",'As-Filed Schedule 2F'!B29:D29)</f>
        <v/>
      </c>
      <c r="C29" s="543"/>
      <c r="D29" s="543"/>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43" t="str">
        <f>IF('As-Filed Schedule 2F'!B30:D30=0,"",'As-Filed Schedule 2F'!B30:D30)</f>
        <v/>
      </c>
      <c r="C30" s="543"/>
      <c r="D30" s="543"/>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43" t="str">
        <f>IF('As-Filed Schedule 2F'!B31:D31=0,"",'As-Filed Schedule 2F'!B31:D31)</f>
        <v/>
      </c>
      <c r="C31" s="543"/>
      <c r="D31" s="543"/>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43" t="str">
        <f>IF('As-Filed Schedule 2F'!B32:D32=0,"",'As-Filed Schedule 2F'!B32:D32)</f>
        <v/>
      </c>
      <c r="C32" s="543"/>
      <c r="D32" s="543"/>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43" t="str">
        <f>IF('As-Filed Schedule 2F'!B33:D33=0,"",'As-Filed Schedule 2F'!B33:D33)</f>
        <v/>
      </c>
      <c r="C33" s="543"/>
      <c r="D33" s="543"/>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43" t="str">
        <f>IF('As-Filed Schedule 2F'!B34:D34=0,"",'As-Filed Schedule 2F'!B34:D34)</f>
        <v/>
      </c>
      <c r="C34" s="543"/>
      <c r="D34" s="543"/>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43" t="str">
        <f>IF('As-Filed Schedule 2F'!B35:D35=0,"",'As-Filed Schedule 2F'!B35:D35)</f>
        <v/>
      </c>
      <c r="C35" s="543"/>
      <c r="D35" s="543"/>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43" t="str">
        <f>IF('As-Filed Schedule 2F'!B36:D36=0,"",'As-Filed Schedule 2F'!B36:D36)</f>
        <v/>
      </c>
      <c r="C36" s="543"/>
      <c r="D36" s="543"/>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43" t="str">
        <f>IF('As-Filed Schedule 2F'!B37:D37=0,"",'As-Filed Schedule 2F'!B37:D37)</f>
        <v/>
      </c>
      <c r="C37" s="543"/>
      <c r="D37" s="543"/>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43" t="str">
        <f>IF('As-Filed Schedule 2F'!B38:D38=0,"",'As-Filed Schedule 2F'!B38:D38)</f>
        <v/>
      </c>
      <c r="C38" s="543"/>
      <c r="D38" s="543"/>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43" t="str">
        <f>IF('As-Filed Schedule 2F'!B39:D39=0,"",'As-Filed Schedule 2F'!B39:D39)</f>
        <v/>
      </c>
      <c r="C39" s="543"/>
      <c r="D39" s="543"/>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43" t="str">
        <f>IF('As-Filed Schedule 2F'!B40:D40=0,"",'As-Filed Schedule 2F'!B40:D40)</f>
        <v/>
      </c>
      <c r="C40" s="543"/>
      <c r="D40" s="543"/>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43" t="str">
        <f>IF('As-Filed Schedule 2F'!B41:D41=0,"",'As-Filed Schedule 2F'!B41:D41)</f>
        <v/>
      </c>
      <c r="C41" s="543"/>
      <c r="D41" s="543"/>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43" t="str">
        <f>IF('As-Filed Schedule 2F'!B42:D42=0,"",'As-Filed Schedule 2F'!B42:D42)</f>
        <v/>
      </c>
      <c r="C42" s="543"/>
      <c r="D42" s="543"/>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43" t="str">
        <f>IF('As-Filed Schedule 2F'!B43:D43=0,"",'As-Filed Schedule 2F'!B43:D43)</f>
        <v/>
      </c>
      <c r="C43" s="543"/>
      <c r="D43" s="543"/>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43" t="str">
        <f>IF('As-Filed Schedule 2F'!B44:D44=0,"",'As-Filed Schedule 2F'!B44:D44)</f>
        <v/>
      </c>
      <c r="C44" s="543"/>
      <c r="D44" s="543"/>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43" t="str">
        <f>IF('As-Filed Schedule 2F'!B45:D45=0,"",'As-Filed Schedule 2F'!B45:D45)</f>
        <v/>
      </c>
      <c r="C45" s="543"/>
      <c r="D45" s="543"/>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43" t="str">
        <f>IF('As-Filed Schedule 2F'!B46:D46=0,"",'As-Filed Schedule 2F'!B46:D46)</f>
        <v/>
      </c>
      <c r="C46" s="543"/>
      <c r="D46" s="543"/>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43" t="str">
        <f>IF('As-Filed Schedule 2F'!B47:D47=0,"",'As-Filed Schedule 2F'!B47:D47)</f>
        <v/>
      </c>
      <c r="C47" s="543"/>
      <c r="D47" s="543"/>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43" t="str">
        <f>IF('As-Filed Schedule 2F'!B48:D48=0,"",'As-Filed Schedule 2F'!B48:D48)</f>
        <v/>
      </c>
      <c r="C48" s="543"/>
      <c r="D48" s="543"/>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43" t="str">
        <f>IF('As-Filed Schedule 2F'!B49:D49=0,"",'As-Filed Schedule 2F'!B49:D49)</f>
        <v/>
      </c>
      <c r="C49" s="543"/>
      <c r="D49" s="543"/>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43" t="str">
        <f>IF('As-Filed Schedule 2F'!B50:D50=0,"",'As-Filed Schedule 2F'!B50:D50)</f>
        <v/>
      </c>
      <c r="C50" s="543"/>
      <c r="D50" s="543"/>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43" t="str">
        <f>IF('As-Filed Schedule 2F'!B51:D51=0,"",'As-Filed Schedule 2F'!B51:D51)</f>
        <v/>
      </c>
      <c r="C51" s="543"/>
      <c r="D51" s="543"/>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43" t="str">
        <f>IF('As-Filed Schedule 2F'!B52:D52=0,"",'As-Filed Schedule 2F'!B52:D52)</f>
        <v/>
      </c>
      <c r="C52" s="543"/>
      <c r="D52" s="543"/>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43" t="str">
        <f>IF('As-Filed Schedule 2F'!B53:D53=0,"",'As-Filed Schedule 2F'!B53:D53)</f>
        <v/>
      </c>
      <c r="C53" s="543"/>
      <c r="D53" s="543"/>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43" t="str">
        <f>IF('As-Filed Schedule 2F'!B54:D54=0,"",'As-Filed Schedule 2F'!B54:D54)</f>
        <v/>
      </c>
      <c r="C54" s="543"/>
      <c r="D54" s="543"/>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43" t="str">
        <f>IF('As-Filed Schedule 2F'!B55:D55=0,"",'As-Filed Schedule 2F'!B55:D55)</f>
        <v/>
      </c>
      <c r="C55" s="543"/>
      <c r="D55" s="543"/>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43" t="str">
        <f>IF('As-Filed Schedule 2F'!B56:D56=0,"",'As-Filed Schedule 2F'!B56:D56)</f>
        <v/>
      </c>
      <c r="C56" s="543"/>
      <c r="D56" s="543"/>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43" t="str">
        <f>IF('As-Filed Schedule 2F'!B57:D57=0,"",'As-Filed Schedule 2F'!B57:D57)</f>
        <v/>
      </c>
      <c r="C57" s="543"/>
      <c r="D57" s="543"/>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43" t="str">
        <f>IF('As-Filed Schedule 2F'!B58:D58=0,"",'As-Filed Schedule 2F'!B58:D58)</f>
        <v/>
      </c>
      <c r="C58" s="543"/>
      <c r="D58" s="543"/>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43" t="str">
        <f>IF('As-Filed Schedule 2F'!B59:D59=0,"",'As-Filed Schedule 2F'!B59:D59)</f>
        <v/>
      </c>
      <c r="C59" s="543"/>
      <c r="D59" s="543"/>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43" t="str">
        <f>IF('As-Filed Schedule 2F'!B60:D60=0,"",'As-Filed Schedule 2F'!B60:D60)</f>
        <v/>
      </c>
      <c r="C60" s="543"/>
      <c r="D60" s="543"/>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43" t="str">
        <f>IF('As-Filed Schedule 2F'!B61:D61=0,"",'As-Filed Schedule 2F'!B61:D61)</f>
        <v/>
      </c>
      <c r="C61" s="543"/>
      <c r="D61" s="543"/>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43" t="str">
        <f>IF('As-Filed Schedule 2F'!B62:D62=0,"",'As-Filed Schedule 2F'!B62:D62)</f>
        <v/>
      </c>
      <c r="C62" s="543"/>
      <c r="D62" s="543"/>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43" t="str">
        <f>IF('As-Filed Schedule 2F'!B63:D63=0,"",'As-Filed Schedule 2F'!B63:D63)</f>
        <v/>
      </c>
      <c r="C63" s="543"/>
      <c r="D63" s="543"/>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43" t="str">
        <f>IF('As-Filed Schedule 2F'!B64:D64=0,"",'As-Filed Schedule 2F'!B64:D64)</f>
        <v/>
      </c>
      <c r="C64" s="543"/>
      <c r="D64" s="543"/>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43" t="str">
        <f>IF('As-Filed Schedule 2F'!B65:D65=0,"",'As-Filed Schedule 2F'!B65:D65)</f>
        <v/>
      </c>
      <c r="C65" s="543"/>
      <c r="D65" s="543"/>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43" t="str">
        <f>IF('As-Filed Schedule 2F'!B66:D66=0,"",'As-Filed Schedule 2F'!B66:D66)</f>
        <v/>
      </c>
      <c r="C66" s="543"/>
      <c r="D66" s="543"/>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43" t="str">
        <f>IF('As-Filed Schedule 2F'!B67:D67=0,"",'As-Filed Schedule 2F'!B67:D67)</f>
        <v/>
      </c>
      <c r="C67" s="543"/>
      <c r="D67" s="543"/>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43" t="str">
        <f>IF('As-Filed Schedule 2F'!B68:D68=0,"",'As-Filed Schedule 2F'!B68:D68)</f>
        <v/>
      </c>
      <c r="C68" s="543"/>
      <c r="D68" s="543"/>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43" t="str">
        <f>IF('As-Filed Schedule 2F'!B69:D69=0,"",'As-Filed Schedule 2F'!B69:D69)</f>
        <v/>
      </c>
      <c r="C69" s="543"/>
      <c r="D69" s="543"/>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43" t="str">
        <f>IF('As-Filed Schedule 2F'!B70:D70=0,"",'As-Filed Schedule 2F'!B70:D70)</f>
        <v/>
      </c>
      <c r="C70" s="543"/>
      <c r="D70" s="543"/>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43" t="str">
        <f>IF('As-Filed Schedule 2F'!B71:D71=0,"",'As-Filed Schedule 2F'!B71:D71)</f>
        <v/>
      </c>
      <c r="C71" s="543"/>
      <c r="D71" s="543"/>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43" t="str">
        <f>IF('As-Filed Schedule 2F'!B72:D72=0,"",'As-Filed Schedule 2F'!B72:D72)</f>
        <v/>
      </c>
      <c r="C72" s="543"/>
      <c r="D72" s="543"/>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841</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816</v>
      </c>
      <c r="C8" s="1"/>
      <c r="F8" s="119" t="str">
        <f>'As-Filed Schedule 2G'!F8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2G'!B15:D15=0,"",'As-Filed Schedule 2G'!B15:D15)</f>
        <v/>
      </c>
      <c r="C15" s="543"/>
      <c r="D15" s="543"/>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43" t="str">
        <f>IF('As-Filed Schedule 2G'!B16:D16=0,"",'As-Filed Schedule 2G'!B16:D16)</f>
        <v/>
      </c>
      <c r="C16" s="543"/>
      <c r="D16" s="543"/>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43" t="str">
        <f>IF('As-Filed Schedule 2G'!B17:D17=0,"",'As-Filed Schedule 2G'!B17:D17)</f>
        <v/>
      </c>
      <c r="C17" s="543"/>
      <c r="D17" s="543"/>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43" t="str">
        <f>IF('As-Filed Schedule 2G'!B18:D18=0,"",'As-Filed Schedule 2G'!B18:D18)</f>
        <v/>
      </c>
      <c r="C18" s="543"/>
      <c r="D18" s="543"/>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43" t="str">
        <f>IF('As-Filed Schedule 2G'!B19:D19=0,"",'As-Filed Schedule 2G'!B19:D19)</f>
        <v/>
      </c>
      <c r="C19" s="543"/>
      <c r="D19" s="543"/>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43" t="str">
        <f>IF('As-Filed Schedule 2G'!B20:D20=0,"",'As-Filed Schedule 2G'!B20:D20)</f>
        <v/>
      </c>
      <c r="C20" s="543"/>
      <c r="D20" s="543"/>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43" t="str">
        <f>IF('As-Filed Schedule 2G'!B21:D21=0,"",'As-Filed Schedule 2G'!B21:D21)</f>
        <v/>
      </c>
      <c r="C21" s="543"/>
      <c r="D21" s="543"/>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43" t="str">
        <f>IF('As-Filed Schedule 2G'!B22:D22=0,"",'As-Filed Schedule 2G'!B22:D22)</f>
        <v/>
      </c>
      <c r="C22" s="543"/>
      <c r="D22" s="543"/>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43" t="str">
        <f>IF('As-Filed Schedule 2G'!B23:D23=0,"",'As-Filed Schedule 2G'!B23:D23)</f>
        <v/>
      </c>
      <c r="C23" s="543"/>
      <c r="D23" s="543"/>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43" t="str">
        <f>IF('As-Filed Schedule 2G'!B24:D24=0,"",'As-Filed Schedule 2G'!B24:D24)</f>
        <v/>
      </c>
      <c r="C24" s="543"/>
      <c r="D24" s="543"/>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43" t="str">
        <f>IF('As-Filed Schedule 2G'!B25:D25=0,"",'As-Filed Schedule 2G'!B25:D25)</f>
        <v/>
      </c>
      <c r="C25" s="543"/>
      <c r="D25" s="543"/>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43" t="str">
        <f>IF('As-Filed Schedule 2G'!B26:D26=0,"",'As-Filed Schedule 2G'!B26:D26)</f>
        <v/>
      </c>
      <c r="C26" s="543"/>
      <c r="D26" s="543"/>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43" t="str">
        <f>IF('As-Filed Schedule 2G'!B27:D27=0,"",'As-Filed Schedule 2G'!B27:D27)</f>
        <v/>
      </c>
      <c r="C27" s="543"/>
      <c r="D27" s="543"/>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43" t="str">
        <f>IF('As-Filed Schedule 2G'!B28:D28=0,"",'As-Filed Schedule 2G'!B28:D28)</f>
        <v/>
      </c>
      <c r="C28" s="543"/>
      <c r="D28" s="543"/>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43" t="str">
        <f>IF('As-Filed Schedule 2G'!B29:D29=0,"",'As-Filed Schedule 2G'!B29:D29)</f>
        <v/>
      </c>
      <c r="C29" s="543"/>
      <c r="D29" s="543"/>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43" t="str">
        <f>IF('As-Filed Schedule 2G'!B30:D30=0,"",'As-Filed Schedule 2G'!B30:D30)</f>
        <v/>
      </c>
      <c r="C30" s="543"/>
      <c r="D30" s="543"/>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43" t="str">
        <f>IF('As-Filed Schedule 2G'!B31:D31=0,"",'As-Filed Schedule 2G'!B31:D31)</f>
        <v/>
      </c>
      <c r="C31" s="543"/>
      <c r="D31" s="543"/>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43" t="str">
        <f>IF('As-Filed Schedule 2G'!B32:D32=0,"",'As-Filed Schedule 2G'!B32:D32)</f>
        <v/>
      </c>
      <c r="C32" s="543"/>
      <c r="D32" s="543"/>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43" t="str">
        <f>IF('As-Filed Schedule 2G'!B33:D33=0,"",'As-Filed Schedule 2G'!B33:D33)</f>
        <v/>
      </c>
      <c r="C33" s="543"/>
      <c r="D33" s="543"/>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43" t="str">
        <f>IF('As-Filed Schedule 2G'!B34:D34=0,"",'As-Filed Schedule 2G'!B34:D34)</f>
        <v/>
      </c>
      <c r="C34" s="543"/>
      <c r="D34" s="543"/>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43" t="str">
        <f>IF('As-Filed Schedule 2G'!B35:D35=0,"",'As-Filed Schedule 2G'!B35:D35)</f>
        <v/>
      </c>
      <c r="C35" s="543"/>
      <c r="D35" s="543"/>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43" t="str">
        <f>IF('As-Filed Schedule 2G'!B36:D36=0,"",'As-Filed Schedule 2G'!B36:D36)</f>
        <v/>
      </c>
      <c r="C36" s="543"/>
      <c r="D36" s="543"/>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43" t="str">
        <f>IF('As-Filed Schedule 2G'!B37:D37=0,"",'As-Filed Schedule 2G'!B37:D37)</f>
        <v/>
      </c>
      <c r="C37" s="543"/>
      <c r="D37" s="543"/>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43" t="str">
        <f>IF('As-Filed Schedule 2G'!B38:D38=0,"",'As-Filed Schedule 2G'!B38:D38)</f>
        <v/>
      </c>
      <c r="C38" s="543"/>
      <c r="D38" s="543"/>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43" t="str">
        <f>IF('As-Filed Schedule 2G'!B39:D39=0,"",'As-Filed Schedule 2G'!B39:D39)</f>
        <v/>
      </c>
      <c r="C39" s="543"/>
      <c r="D39" s="543"/>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43" t="str">
        <f>IF('As-Filed Schedule 2G'!B40:D40=0,"",'As-Filed Schedule 2G'!B40:D40)</f>
        <v/>
      </c>
      <c r="C40" s="543"/>
      <c r="D40" s="543"/>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43" t="str">
        <f>IF('As-Filed Schedule 2G'!B41:D41=0,"",'As-Filed Schedule 2G'!B41:D41)</f>
        <v/>
      </c>
      <c r="C41" s="543"/>
      <c r="D41" s="543"/>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43" t="str">
        <f>IF('As-Filed Schedule 2G'!B42:D42=0,"",'As-Filed Schedule 2G'!B42:D42)</f>
        <v/>
      </c>
      <c r="C42" s="543"/>
      <c r="D42" s="543"/>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43" t="str">
        <f>IF('As-Filed Schedule 2G'!B43:D43=0,"",'As-Filed Schedule 2G'!B43:D43)</f>
        <v/>
      </c>
      <c r="C43" s="543"/>
      <c r="D43" s="543"/>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43" t="str">
        <f>IF('As-Filed Schedule 2G'!B44:D44=0,"",'As-Filed Schedule 2G'!B44:D44)</f>
        <v/>
      </c>
      <c r="C44" s="543"/>
      <c r="D44" s="543"/>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43" t="str">
        <f>IF('As-Filed Schedule 2G'!B45:D45=0,"",'As-Filed Schedule 2G'!B45:D45)</f>
        <v/>
      </c>
      <c r="C45" s="543"/>
      <c r="D45" s="543"/>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43" t="str">
        <f>IF('As-Filed Schedule 2G'!B46:D46=0,"",'As-Filed Schedule 2G'!B46:D46)</f>
        <v/>
      </c>
      <c r="C46" s="543"/>
      <c r="D46" s="543"/>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43" t="str">
        <f>IF('As-Filed Schedule 2G'!B47:D47=0,"",'As-Filed Schedule 2G'!B47:D47)</f>
        <v/>
      </c>
      <c r="C47" s="543"/>
      <c r="D47" s="543"/>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43" t="str">
        <f>IF('As-Filed Schedule 2G'!B48:D48=0,"",'As-Filed Schedule 2G'!B48:D48)</f>
        <v/>
      </c>
      <c r="C48" s="543"/>
      <c r="D48" s="543"/>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43" t="str">
        <f>IF('As-Filed Schedule 2G'!B49:D49=0,"",'As-Filed Schedule 2G'!B49:D49)</f>
        <v/>
      </c>
      <c r="C49" s="543"/>
      <c r="D49" s="543"/>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43" t="str">
        <f>IF('As-Filed Schedule 2G'!B50:D50=0,"",'As-Filed Schedule 2G'!B50:D50)</f>
        <v/>
      </c>
      <c r="C50" s="543"/>
      <c r="D50" s="543"/>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43" t="str">
        <f>IF('As-Filed Schedule 2G'!B51:D51=0,"",'As-Filed Schedule 2G'!B51:D51)</f>
        <v/>
      </c>
      <c r="C51" s="543"/>
      <c r="D51" s="543"/>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43" t="str">
        <f>IF('As-Filed Schedule 2G'!B52:D52=0,"",'As-Filed Schedule 2G'!B52:D52)</f>
        <v/>
      </c>
      <c r="C52" s="543"/>
      <c r="D52" s="543"/>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43" t="str">
        <f>IF('As-Filed Schedule 2G'!B53:D53=0,"",'As-Filed Schedule 2G'!B53:D53)</f>
        <v/>
      </c>
      <c r="C53" s="543"/>
      <c r="D53" s="543"/>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43" t="str">
        <f>IF('As-Filed Schedule 2G'!B54:D54=0,"",'As-Filed Schedule 2G'!B54:D54)</f>
        <v/>
      </c>
      <c r="C54" s="543"/>
      <c r="D54" s="543"/>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43" t="str">
        <f>IF('As-Filed Schedule 2G'!B55:D55=0,"",'As-Filed Schedule 2G'!B55:D55)</f>
        <v/>
      </c>
      <c r="C55" s="543"/>
      <c r="D55" s="543"/>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43" t="str">
        <f>IF('As-Filed Schedule 2G'!B56:D56=0,"",'As-Filed Schedule 2G'!B56:D56)</f>
        <v/>
      </c>
      <c r="C56" s="543"/>
      <c r="D56" s="543"/>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43" t="str">
        <f>IF('As-Filed Schedule 2G'!B57:D57=0,"",'As-Filed Schedule 2G'!B57:D57)</f>
        <v/>
      </c>
      <c r="C57" s="543"/>
      <c r="D57" s="543"/>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43" t="str">
        <f>IF('As-Filed Schedule 2G'!B58:D58=0,"",'As-Filed Schedule 2G'!B58:D58)</f>
        <v/>
      </c>
      <c r="C58" s="543"/>
      <c r="D58" s="543"/>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43" t="str">
        <f>IF('As-Filed Schedule 2G'!B59:D59=0,"",'As-Filed Schedule 2G'!B59:D59)</f>
        <v/>
      </c>
      <c r="C59" s="543"/>
      <c r="D59" s="543"/>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43" t="str">
        <f>IF('As-Filed Schedule 2G'!B60:D60=0,"",'As-Filed Schedule 2G'!B60:D60)</f>
        <v/>
      </c>
      <c r="C60" s="543"/>
      <c r="D60" s="543"/>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43" t="str">
        <f>IF('As-Filed Schedule 2G'!B61:D61=0,"",'As-Filed Schedule 2G'!B61:D61)</f>
        <v/>
      </c>
      <c r="C61" s="543"/>
      <c r="D61" s="543"/>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43" t="str">
        <f>IF('As-Filed Schedule 2G'!B62:D62=0,"",'As-Filed Schedule 2G'!B62:D62)</f>
        <v/>
      </c>
      <c r="C62" s="543"/>
      <c r="D62" s="543"/>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43" t="str">
        <f>IF('As-Filed Schedule 2G'!B63:D63=0,"",'As-Filed Schedule 2G'!B63:D63)</f>
        <v/>
      </c>
      <c r="C63" s="543"/>
      <c r="D63" s="543"/>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43" t="str">
        <f>IF('As-Filed Schedule 2G'!B64:D64=0,"",'As-Filed Schedule 2G'!B64:D64)</f>
        <v/>
      </c>
      <c r="C64" s="543"/>
      <c r="D64" s="543"/>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43" t="str">
        <f>IF('As-Filed Schedule 2G'!B65:D65=0,"",'As-Filed Schedule 2G'!B65:D65)</f>
        <v/>
      </c>
      <c r="C65" s="543"/>
      <c r="D65" s="543"/>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43" t="str">
        <f>IF('As-Filed Schedule 2G'!B66:D66=0,"",'As-Filed Schedule 2G'!B66:D66)</f>
        <v/>
      </c>
      <c r="C66" s="543"/>
      <c r="D66" s="543"/>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43" t="str">
        <f>IF('As-Filed Schedule 2G'!B67:D67=0,"",'As-Filed Schedule 2G'!B67:D67)</f>
        <v/>
      </c>
      <c r="C67" s="543"/>
      <c r="D67" s="543"/>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43" t="str">
        <f>IF('As-Filed Schedule 2G'!B68:D68=0,"",'As-Filed Schedule 2G'!B68:D68)</f>
        <v/>
      </c>
      <c r="C68" s="543"/>
      <c r="D68" s="543"/>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43" t="str">
        <f>IF('As-Filed Schedule 2G'!B69:D69=0,"",'As-Filed Schedule 2G'!B69:D69)</f>
        <v/>
      </c>
      <c r="C69" s="543"/>
      <c r="D69" s="543"/>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43" t="str">
        <f>IF('As-Filed Schedule 2G'!B70:D70=0,"",'As-Filed Schedule 2G'!B70:D70)</f>
        <v/>
      </c>
      <c r="C70" s="543"/>
      <c r="D70" s="543"/>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43" t="str">
        <f>IF('As-Filed Schedule 2G'!B71:D71=0,"",'As-Filed Schedule 2G'!B71:D71)</f>
        <v/>
      </c>
      <c r="C71" s="543"/>
      <c r="D71" s="543"/>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43" t="str">
        <f>IF('As-Filed Schedule 2G'!B72:D72=0,"",'As-Filed Schedule 2G'!B72:D72)</f>
        <v/>
      </c>
      <c r="C72" s="543"/>
      <c r="D72" s="543"/>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842</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819</v>
      </c>
      <c r="C8" s="1"/>
      <c r="F8" s="119" t="str">
        <f>'As-Filed Schedule 2H'!F8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2H'!B15:D15=0,"",'As-Filed Schedule 2H'!B15:D15)</f>
        <v/>
      </c>
      <c r="C15" s="543"/>
      <c r="D15" s="543"/>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43" t="str">
        <f>IF('As-Filed Schedule 2H'!B16:D16=0,"",'As-Filed Schedule 2H'!B16:D16)</f>
        <v/>
      </c>
      <c r="C16" s="543"/>
      <c r="D16" s="543"/>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43" t="str">
        <f>IF('As-Filed Schedule 2H'!B17:D17=0,"",'As-Filed Schedule 2H'!B17:D17)</f>
        <v/>
      </c>
      <c r="C17" s="543"/>
      <c r="D17" s="543"/>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43" t="str">
        <f>IF('As-Filed Schedule 2H'!B18:D18=0,"",'As-Filed Schedule 2H'!B18:D18)</f>
        <v/>
      </c>
      <c r="C18" s="543"/>
      <c r="D18" s="543"/>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43" t="str">
        <f>IF('As-Filed Schedule 2H'!B19:D19=0,"",'As-Filed Schedule 2H'!B19:D19)</f>
        <v/>
      </c>
      <c r="C19" s="543"/>
      <c r="D19" s="543"/>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43" t="str">
        <f>IF('As-Filed Schedule 2H'!B20:D20=0,"",'As-Filed Schedule 2H'!B20:D20)</f>
        <v/>
      </c>
      <c r="C20" s="543"/>
      <c r="D20" s="543"/>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43" t="str">
        <f>IF('As-Filed Schedule 2H'!B21:D21=0,"",'As-Filed Schedule 2H'!B21:D21)</f>
        <v/>
      </c>
      <c r="C21" s="543"/>
      <c r="D21" s="543"/>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43" t="str">
        <f>IF('As-Filed Schedule 2H'!B22:D22=0,"",'As-Filed Schedule 2H'!B22:D22)</f>
        <v/>
      </c>
      <c r="C22" s="543"/>
      <c r="D22" s="543"/>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43" t="str">
        <f>IF('As-Filed Schedule 2H'!B23:D23=0,"",'As-Filed Schedule 2H'!B23:D23)</f>
        <v/>
      </c>
      <c r="C23" s="543"/>
      <c r="D23" s="543"/>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43" t="str">
        <f>IF('As-Filed Schedule 2H'!B24:D24=0,"",'As-Filed Schedule 2H'!B24:D24)</f>
        <v/>
      </c>
      <c r="C24" s="543"/>
      <c r="D24" s="543"/>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43" t="str">
        <f>IF('As-Filed Schedule 2H'!B25:D25=0,"",'As-Filed Schedule 2H'!B25:D25)</f>
        <v/>
      </c>
      <c r="C25" s="543"/>
      <c r="D25" s="543"/>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43" t="str">
        <f>IF('As-Filed Schedule 2H'!B26:D26=0,"",'As-Filed Schedule 2H'!B26:D26)</f>
        <v/>
      </c>
      <c r="C26" s="543"/>
      <c r="D26" s="543"/>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43" t="str">
        <f>IF('As-Filed Schedule 2H'!B27:D27=0,"",'As-Filed Schedule 2H'!B27:D27)</f>
        <v/>
      </c>
      <c r="C27" s="543"/>
      <c r="D27" s="543"/>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43" t="str">
        <f>IF('As-Filed Schedule 2H'!B28:D28=0,"",'As-Filed Schedule 2H'!B28:D28)</f>
        <v/>
      </c>
      <c r="C28" s="543"/>
      <c r="D28" s="543"/>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43" t="str">
        <f>IF('As-Filed Schedule 2H'!B29:D29=0,"",'As-Filed Schedule 2H'!B29:D29)</f>
        <v/>
      </c>
      <c r="C29" s="543"/>
      <c r="D29" s="543"/>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43" t="str">
        <f>IF('As-Filed Schedule 2H'!B30:D30=0,"",'As-Filed Schedule 2H'!B30:D30)</f>
        <v/>
      </c>
      <c r="C30" s="543"/>
      <c r="D30" s="543"/>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43" t="str">
        <f>IF('As-Filed Schedule 2H'!B31:D31=0,"",'As-Filed Schedule 2H'!B31:D31)</f>
        <v/>
      </c>
      <c r="C31" s="543"/>
      <c r="D31" s="543"/>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43" t="str">
        <f>IF('As-Filed Schedule 2H'!B32:D32=0,"",'As-Filed Schedule 2H'!B32:D32)</f>
        <v/>
      </c>
      <c r="C32" s="543"/>
      <c r="D32" s="543"/>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43" t="str">
        <f>IF('As-Filed Schedule 2H'!B33:D33=0,"",'As-Filed Schedule 2H'!B33:D33)</f>
        <v/>
      </c>
      <c r="C33" s="543"/>
      <c r="D33" s="543"/>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43" t="str">
        <f>IF('As-Filed Schedule 2H'!B34:D34=0,"",'As-Filed Schedule 2H'!B34:D34)</f>
        <v/>
      </c>
      <c r="C34" s="543"/>
      <c r="D34" s="543"/>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43" t="str">
        <f>IF('As-Filed Schedule 2H'!B35:D35=0,"",'As-Filed Schedule 2H'!B35:D35)</f>
        <v/>
      </c>
      <c r="C35" s="543"/>
      <c r="D35" s="543"/>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43" t="str">
        <f>IF('As-Filed Schedule 2H'!B36:D36=0,"",'As-Filed Schedule 2H'!B36:D36)</f>
        <v/>
      </c>
      <c r="C36" s="543"/>
      <c r="D36" s="543"/>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43" t="str">
        <f>IF('As-Filed Schedule 2H'!B37:D37=0,"",'As-Filed Schedule 2H'!B37:D37)</f>
        <v/>
      </c>
      <c r="C37" s="543"/>
      <c r="D37" s="543"/>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43" t="str">
        <f>IF('As-Filed Schedule 2H'!B38:D38=0,"",'As-Filed Schedule 2H'!B38:D38)</f>
        <v/>
      </c>
      <c r="C38" s="543"/>
      <c r="D38" s="543"/>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43" t="str">
        <f>IF('As-Filed Schedule 2H'!B39:D39=0,"",'As-Filed Schedule 2H'!B39:D39)</f>
        <v/>
      </c>
      <c r="C39" s="543"/>
      <c r="D39" s="543"/>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43" t="str">
        <f>IF('As-Filed Schedule 2H'!B40:D40=0,"",'As-Filed Schedule 2H'!B40:D40)</f>
        <v/>
      </c>
      <c r="C40" s="543"/>
      <c r="D40" s="543"/>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43" t="str">
        <f>IF('As-Filed Schedule 2H'!B41:D41=0,"",'As-Filed Schedule 2H'!B41:D41)</f>
        <v/>
      </c>
      <c r="C41" s="543"/>
      <c r="D41" s="543"/>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43" t="str">
        <f>IF('As-Filed Schedule 2H'!B42:D42=0,"",'As-Filed Schedule 2H'!B42:D42)</f>
        <v/>
      </c>
      <c r="C42" s="543"/>
      <c r="D42" s="543"/>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43" t="str">
        <f>IF('As-Filed Schedule 2H'!B43:D43=0,"",'As-Filed Schedule 2H'!B43:D43)</f>
        <v/>
      </c>
      <c r="C43" s="543"/>
      <c r="D43" s="543"/>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43" t="str">
        <f>IF('As-Filed Schedule 2H'!B44:D44=0,"",'As-Filed Schedule 2H'!B44:D44)</f>
        <v/>
      </c>
      <c r="C44" s="543"/>
      <c r="D44" s="543"/>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43" t="str">
        <f>IF('As-Filed Schedule 2H'!B45:D45=0,"",'As-Filed Schedule 2H'!B45:D45)</f>
        <v/>
      </c>
      <c r="C45" s="543"/>
      <c r="D45" s="543"/>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43" t="str">
        <f>IF('As-Filed Schedule 2H'!B46:D46=0,"",'As-Filed Schedule 2H'!B46:D46)</f>
        <v/>
      </c>
      <c r="C46" s="543"/>
      <c r="D46" s="543"/>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43" t="str">
        <f>IF('As-Filed Schedule 2H'!B47:D47=0,"",'As-Filed Schedule 2H'!B47:D47)</f>
        <v/>
      </c>
      <c r="C47" s="543"/>
      <c r="D47" s="543"/>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43" t="str">
        <f>IF('As-Filed Schedule 2H'!B48:D48=0,"",'As-Filed Schedule 2H'!B48:D48)</f>
        <v/>
      </c>
      <c r="C48" s="543"/>
      <c r="D48" s="543"/>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43" t="str">
        <f>IF('As-Filed Schedule 2H'!B49:D49=0,"",'As-Filed Schedule 2H'!B49:D49)</f>
        <v/>
      </c>
      <c r="C49" s="543"/>
      <c r="D49" s="543"/>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43" t="str">
        <f>IF('As-Filed Schedule 2H'!B50:D50=0,"",'As-Filed Schedule 2H'!B50:D50)</f>
        <v/>
      </c>
      <c r="C50" s="543"/>
      <c r="D50" s="543"/>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43" t="str">
        <f>IF('As-Filed Schedule 2H'!B51:D51=0,"",'As-Filed Schedule 2H'!B51:D51)</f>
        <v/>
      </c>
      <c r="C51" s="543"/>
      <c r="D51" s="543"/>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43" t="str">
        <f>IF('As-Filed Schedule 2H'!B52:D52=0,"",'As-Filed Schedule 2H'!B52:D52)</f>
        <v/>
      </c>
      <c r="C52" s="543"/>
      <c r="D52" s="543"/>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43" t="str">
        <f>IF('As-Filed Schedule 2H'!B53:D53=0,"",'As-Filed Schedule 2H'!B53:D53)</f>
        <v/>
      </c>
      <c r="C53" s="543"/>
      <c r="D53" s="543"/>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43" t="str">
        <f>IF('As-Filed Schedule 2H'!B54:D54=0,"",'As-Filed Schedule 2H'!B54:D54)</f>
        <v/>
      </c>
      <c r="C54" s="543"/>
      <c r="D54" s="543"/>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43" t="str">
        <f>IF('As-Filed Schedule 2H'!B55:D55=0,"",'As-Filed Schedule 2H'!B55:D55)</f>
        <v/>
      </c>
      <c r="C55" s="543"/>
      <c r="D55" s="543"/>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43" t="str">
        <f>IF('As-Filed Schedule 2H'!B56:D56=0,"",'As-Filed Schedule 2H'!B56:D56)</f>
        <v/>
      </c>
      <c r="C56" s="543"/>
      <c r="D56" s="543"/>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43" t="str">
        <f>IF('As-Filed Schedule 2H'!B57:D57=0,"",'As-Filed Schedule 2H'!B57:D57)</f>
        <v/>
      </c>
      <c r="C57" s="543"/>
      <c r="D57" s="543"/>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43" t="str">
        <f>IF('As-Filed Schedule 2H'!B58:D58=0,"",'As-Filed Schedule 2H'!B58:D58)</f>
        <v/>
      </c>
      <c r="C58" s="543"/>
      <c r="D58" s="543"/>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43" t="str">
        <f>IF('As-Filed Schedule 2H'!B59:D59=0,"",'As-Filed Schedule 2H'!B59:D59)</f>
        <v/>
      </c>
      <c r="C59" s="543"/>
      <c r="D59" s="543"/>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43" t="str">
        <f>IF('As-Filed Schedule 2H'!B60:D60=0,"",'As-Filed Schedule 2H'!B60:D60)</f>
        <v/>
      </c>
      <c r="C60" s="543"/>
      <c r="D60" s="543"/>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43" t="str">
        <f>IF('As-Filed Schedule 2H'!B61:D61=0,"",'As-Filed Schedule 2H'!B61:D61)</f>
        <v/>
      </c>
      <c r="C61" s="543"/>
      <c r="D61" s="543"/>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43" t="str">
        <f>IF('As-Filed Schedule 2H'!B62:D62=0,"",'As-Filed Schedule 2H'!B62:D62)</f>
        <v/>
      </c>
      <c r="C62" s="543"/>
      <c r="D62" s="543"/>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43" t="str">
        <f>IF('As-Filed Schedule 2H'!B63:D63=0,"",'As-Filed Schedule 2H'!B63:D63)</f>
        <v/>
      </c>
      <c r="C63" s="543"/>
      <c r="D63" s="543"/>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43" t="str">
        <f>IF('As-Filed Schedule 2H'!B64:D64=0,"",'As-Filed Schedule 2H'!B64:D64)</f>
        <v/>
      </c>
      <c r="C64" s="543"/>
      <c r="D64" s="543"/>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43" t="str">
        <f>IF('As-Filed Schedule 2H'!B65:D65=0,"",'As-Filed Schedule 2H'!B65:D65)</f>
        <v/>
      </c>
      <c r="C65" s="543"/>
      <c r="D65" s="543"/>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43" t="str">
        <f>IF('As-Filed Schedule 2H'!B66:D66=0,"",'As-Filed Schedule 2H'!B66:D66)</f>
        <v/>
      </c>
      <c r="C66" s="543"/>
      <c r="D66" s="543"/>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43" t="str">
        <f>IF('As-Filed Schedule 2H'!B67:D67=0,"",'As-Filed Schedule 2H'!B67:D67)</f>
        <v/>
      </c>
      <c r="C67" s="543"/>
      <c r="D67" s="543"/>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43" t="str">
        <f>IF('As-Filed Schedule 2H'!B68:D68=0,"",'As-Filed Schedule 2H'!B68:D68)</f>
        <v/>
      </c>
      <c r="C68" s="543"/>
      <c r="D68" s="543"/>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43" t="str">
        <f>IF('As-Filed Schedule 2H'!B69:D69=0,"",'As-Filed Schedule 2H'!B69:D69)</f>
        <v/>
      </c>
      <c r="C69" s="543"/>
      <c r="D69" s="543"/>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43" t="str">
        <f>IF('As-Filed Schedule 2H'!B70:D70=0,"",'As-Filed Schedule 2H'!B70:D70)</f>
        <v/>
      </c>
      <c r="C70" s="543"/>
      <c r="D70" s="543"/>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43" t="str">
        <f>IF('As-Filed Schedule 2H'!B71:D71=0,"",'As-Filed Schedule 2H'!B71:D71)</f>
        <v/>
      </c>
      <c r="C71" s="543"/>
      <c r="D71" s="543"/>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43" t="str">
        <f>IF('As-Filed Schedule 2H'!B72:D72=0,"",'As-Filed Schedule 2H'!B72:D72)</f>
        <v/>
      </c>
      <c r="C72" s="543"/>
      <c r="D72" s="543"/>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843</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822</v>
      </c>
      <c r="C8" s="1"/>
      <c r="F8" s="119" t="str">
        <f>'As-Filed Schedule 2I'!F8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2I'!B15:D15=0,"",'As-Filed Schedule 2I'!B15:D15)</f>
        <v/>
      </c>
      <c r="C15" s="543"/>
      <c r="D15" s="543"/>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43" t="str">
        <f>IF('As-Filed Schedule 2I'!B16:D16=0,"",'As-Filed Schedule 2I'!B16:D16)</f>
        <v/>
      </c>
      <c r="C16" s="543"/>
      <c r="D16" s="543"/>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43" t="str">
        <f>IF('As-Filed Schedule 2I'!B17:D17=0,"",'As-Filed Schedule 2I'!B17:D17)</f>
        <v/>
      </c>
      <c r="C17" s="543"/>
      <c r="D17" s="543"/>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43" t="str">
        <f>IF('As-Filed Schedule 2I'!B18:D18=0,"",'As-Filed Schedule 2I'!B18:D18)</f>
        <v/>
      </c>
      <c r="C18" s="543"/>
      <c r="D18" s="543"/>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43" t="str">
        <f>IF('As-Filed Schedule 2I'!B19:D19=0,"",'As-Filed Schedule 2I'!B19:D19)</f>
        <v/>
      </c>
      <c r="C19" s="543"/>
      <c r="D19" s="543"/>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43" t="str">
        <f>IF('As-Filed Schedule 2I'!B20:D20=0,"",'As-Filed Schedule 2I'!B20:D20)</f>
        <v/>
      </c>
      <c r="C20" s="543"/>
      <c r="D20" s="543"/>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43" t="str">
        <f>IF('As-Filed Schedule 2I'!B21:D21=0,"",'As-Filed Schedule 2I'!B21:D21)</f>
        <v/>
      </c>
      <c r="C21" s="543"/>
      <c r="D21" s="543"/>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43" t="str">
        <f>IF('As-Filed Schedule 2I'!B22:D22=0,"",'As-Filed Schedule 2I'!B22:D22)</f>
        <v/>
      </c>
      <c r="C22" s="543"/>
      <c r="D22" s="543"/>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43" t="str">
        <f>IF('As-Filed Schedule 2I'!B23:D23=0,"",'As-Filed Schedule 2I'!B23:D23)</f>
        <v/>
      </c>
      <c r="C23" s="543"/>
      <c r="D23" s="543"/>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43" t="str">
        <f>IF('As-Filed Schedule 2I'!B24:D24=0,"",'As-Filed Schedule 2I'!B24:D24)</f>
        <v/>
      </c>
      <c r="C24" s="543"/>
      <c r="D24" s="543"/>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43" t="str">
        <f>IF('As-Filed Schedule 2I'!B25:D25=0,"",'As-Filed Schedule 2I'!B25:D25)</f>
        <v/>
      </c>
      <c r="C25" s="543"/>
      <c r="D25" s="543"/>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43" t="str">
        <f>IF('As-Filed Schedule 2I'!B26:D26=0,"",'As-Filed Schedule 2I'!B26:D26)</f>
        <v/>
      </c>
      <c r="C26" s="543"/>
      <c r="D26" s="543"/>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43" t="str">
        <f>IF('As-Filed Schedule 2I'!B27:D27=0,"",'As-Filed Schedule 2I'!B27:D27)</f>
        <v/>
      </c>
      <c r="C27" s="543"/>
      <c r="D27" s="543"/>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43" t="str">
        <f>IF('As-Filed Schedule 2I'!B28:D28=0,"",'As-Filed Schedule 2I'!B28:D28)</f>
        <v/>
      </c>
      <c r="C28" s="543"/>
      <c r="D28" s="543"/>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43" t="str">
        <f>IF('As-Filed Schedule 2I'!B29:D29=0,"",'As-Filed Schedule 2I'!B29:D29)</f>
        <v/>
      </c>
      <c r="C29" s="543"/>
      <c r="D29" s="543"/>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43" t="str">
        <f>IF('As-Filed Schedule 2I'!B30:D30=0,"",'As-Filed Schedule 2I'!B30:D30)</f>
        <v/>
      </c>
      <c r="C30" s="543"/>
      <c r="D30" s="543"/>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43" t="str">
        <f>IF('As-Filed Schedule 2I'!B31:D31=0,"",'As-Filed Schedule 2I'!B31:D31)</f>
        <v/>
      </c>
      <c r="C31" s="543"/>
      <c r="D31" s="543"/>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43" t="str">
        <f>IF('As-Filed Schedule 2I'!B32:D32=0,"",'As-Filed Schedule 2I'!B32:D32)</f>
        <v/>
      </c>
      <c r="C32" s="543"/>
      <c r="D32" s="543"/>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43" t="str">
        <f>IF('As-Filed Schedule 2I'!B33:D33=0,"",'As-Filed Schedule 2I'!B33:D33)</f>
        <v/>
      </c>
      <c r="C33" s="543"/>
      <c r="D33" s="543"/>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43" t="str">
        <f>IF('As-Filed Schedule 2I'!B34:D34=0,"",'As-Filed Schedule 2I'!B34:D34)</f>
        <v/>
      </c>
      <c r="C34" s="543"/>
      <c r="D34" s="543"/>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43" t="str">
        <f>IF('As-Filed Schedule 2I'!B35:D35=0,"",'As-Filed Schedule 2I'!B35:D35)</f>
        <v/>
      </c>
      <c r="C35" s="543"/>
      <c r="D35" s="543"/>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43" t="str">
        <f>IF('As-Filed Schedule 2I'!B36:D36=0,"",'As-Filed Schedule 2I'!B36:D36)</f>
        <v/>
      </c>
      <c r="C36" s="543"/>
      <c r="D36" s="543"/>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43" t="str">
        <f>IF('As-Filed Schedule 2I'!B37:D37=0,"",'As-Filed Schedule 2I'!B37:D37)</f>
        <v/>
      </c>
      <c r="C37" s="543"/>
      <c r="D37" s="543"/>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43" t="str">
        <f>IF('As-Filed Schedule 2I'!B38:D38=0,"",'As-Filed Schedule 2I'!B38:D38)</f>
        <v/>
      </c>
      <c r="C38" s="543"/>
      <c r="D38" s="543"/>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43" t="str">
        <f>IF('As-Filed Schedule 2I'!B39:D39=0,"",'As-Filed Schedule 2I'!B39:D39)</f>
        <v/>
      </c>
      <c r="C39" s="543"/>
      <c r="D39" s="543"/>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43" t="str">
        <f>IF('As-Filed Schedule 2I'!B40:D40=0,"",'As-Filed Schedule 2I'!B40:D40)</f>
        <v/>
      </c>
      <c r="C40" s="543"/>
      <c r="D40" s="543"/>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43" t="str">
        <f>IF('As-Filed Schedule 2I'!B41:D41=0,"",'As-Filed Schedule 2I'!B41:D41)</f>
        <v/>
      </c>
      <c r="C41" s="543"/>
      <c r="D41" s="543"/>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43" t="str">
        <f>IF('As-Filed Schedule 2I'!B42:D42=0,"",'As-Filed Schedule 2I'!B42:D42)</f>
        <v/>
      </c>
      <c r="C42" s="543"/>
      <c r="D42" s="543"/>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43" t="str">
        <f>IF('As-Filed Schedule 2I'!B43:D43=0,"",'As-Filed Schedule 2I'!B43:D43)</f>
        <v/>
      </c>
      <c r="C43" s="543"/>
      <c r="D43" s="543"/>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43" t="str">
        <f>IF('As-Filed Schedule 2I'!B44:D44=0,"",'As-Filed Schedule 2I'!B44:D44)</f>
        <v/>
      </c>
      <c r="C44" s="543"/>
      <c r="D44" s="543"/>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43" t="str">
        <f>IF('As-Filed Schedule 2I'!B45:D45=0,"",'As-Filed Schedule 2I'!B45:D45)</f>
        <v/>
      </c>
      <c r="C45" s="543"/>
      <c r="D45" s="543"/>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43" t="str">
        <f>IF('As-Filed Schedule 2I'!B46:D46=0,"",'As-Filed Schedule 2I'!B46:D46)</f>
        <v/>
      </c>
      <c r="C46" s="543"/>
      <c r="D46" s="543"/>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43" t="str">
        <f>IF('As-Filed Schedule 2I'!B47:D47=0,"",'As-Filed Schedule 2I'!B47:D47)</f>
        <v/>
      </c>
      <c r="C47" s="543"/>
      <c r="D47" s="543"/>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43" t="str">
        <f>IF('As-Filed Schedule 2I'!B48:D48=0,"",'As-Filed Schedule 2I'!B48:D48)</f>
        <v/>
      </c>
      <c r="C48" s="543"/>
      <c r="D48" s="543"/>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43" t="str">
        <f>IF('As-Filed Schedule 2I'!B49:D49=0,"",'As-Filed Schedule 2I'!B49:D49)</f>
        <v/>
      </c>
      <c r="C49" s="543"/>
      <c r="D49" s="543"/>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43" t="str">
        <f>IF('As-Filed Schedule 2I'!B50:D50=0,"",'As-Filed Schedule 2I'!B50:D50)</f>
        <v/>
      </c>
      <c r="C50" s="543"/>
      <c r="D50" s="543"/>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43" t="str">
        <f>IF('As-Filed Schedule 2I'!B51:D51=0,"",'As-Filed Schedule 2I'!B51:D51)</f>
        <v/>
      </c>
      <c r="C51" s="543"/>
      <c r="D51" s="543"/>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43" t="str">
        <f>IF('As-Filed Schedule 2I'!B52:D52=0,"",'As-Filed Schedule 2I'!B52:D52)</f>
        <v/>
      </c>
      <c r="C52" s="543"/>
      <c r="D52" s="543"/>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43" t="str">
        <f>IF('As-Filed Schedule 2I'!B53:D53=0,"",'As-Filed Schedule 2I'!B53:D53)</f>
        <v/>
      </c>
      <c r="C53" s="543"/>
      <c r="D53" s="543"/>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43" t="str">
        <f>IF('As-Filed Schedule 2I'!B54:D54=0,"",'As-Filed Schedule 2I'!B54:D54)</f>
        <v/>
      </c>
      <c r="C54" s="543"/>
      <c r="D54" s="543"/>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43" t="str">
        <f>IF('As-Filed Schedule 2I'!B55:D55=0,"",'As-Filed Schedule 2I'!B55:D55)</f>
        <v/>
      </c>
      <c r="C55" s="543"/>
      <c r="D55" s="543"/>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43" t="str">
        <f>IF('As-Filed Schedule 2I'!B56:D56=0,"",'As-Filed Schedule 2I'!B56:D56)</f>
        <v/>
      </c>
      <c r="C56" s="543"/>
      <c r="D56" s="543"/>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43" t="str">
        <f>IF('As-Filed Schedule 2I'!B57:D57=0,"",'As-Filed Schedule 2I'!B57:D57)</f>
        <v/>
      </c>
      <c r="C57" s="543"/>
      <c r="D57" s="543"/>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43" t="str">
        <f>IF('As-Filed Schedule 2I'!B58:D58=0,"",'As-Filed Schedule 2I'!B58:D58)</f>
        <v/>
      </c>
      <c r="C58" s="543"/>
      <c r="D58" s="543"/>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43" t="str">
        <f>IF('As-Filed Schedule 2I'!B59:D59=0,"",'As-Filed Schedule 2I'!B59:D59)</f>
        <v/>
      </c>
      <c r="C59" s="543"/>
      <c r="D59" s="543"/>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43" t="str">
        <f>IF('As-Filed Schedule 2I'!B60:D60=0,"",'As-Filed Schedule 2I'!B60:D60)</f>
        <v/>
      </c>
      <c r="C60" s="543"/>
      <c r="D60" s="543"/>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43" t="str">
        <f>IF('As-Filed Schedule 2I'!B61:D61=0,"",'As-Filed Schedule 2I'!B61:D61)</f>
        <v/>
      </c>
      <c r="C61" s="543"/>
      <c r="D61" s="543"/>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43" t="str">
        <f>IF('As-Filed Schedule 2I'!B62:D62=0,"",'As-Filed Schedule 2I'!B62:D62)</f>
        <v/>
      </c>
      <c r="C62" s="543"/>
      <c r="D62" s="543"/>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43" t="str">
        <f>IF('As-Filed Schedule 2I'!B63:D63=0,"",'As-Filed Schedule 2I'!B63:D63)</f>
        <v/>
      </c>
      <c r="C63" s="543"/>
      <c r="D63" s="543"/>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43" t="str">
        <f>IF('As-Filed Schedule 2I'!B64:D64=0,"",'As-Filed Schedule 2I'!B64:D64)</f>
        <v/>
      </c>
      <c r="C64" s="543"/>
      <c r="D64" s="543"/>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43" t="str">
        <f>IF('As-Filed Schedule 2I'!B65:D65=0,"",'As-Filed Schedule 2I'!B65:D65)</f>
        <v/>
      </c>
      <c r="C65" s="543"/>
      <c r="D65" s="543"/>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43" t="str">
        <f>IF('As-Filed Schedule 2I'!B66:D66=0,"",'As-Filed Schedule 2I'!B66:D66)</f>
        <v/>
      </c>
      <c r="C66" s="543"/>
      <c r="D66" s="543"/>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43" t="str">
        <f>IF('As-Filed Schedule 2I'!B67:D67=0,"",'As-Filed Schedule 2I'!B67:D67)</f>
        <v/>
      </c>
      <c r="C67" s="543"/>
      <c r="D67" s="543"/>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43" t="str">
        <f>IF('As-Filed Schedule 2I'!B68:D68=0,"",'As-Filed Schedule 2I'!B68:D68)</f>
        <v/>
      </c>
      <c r="C68" s="543"/>
      <c r="D68" s="543"/>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43" t="str">
        <f>IF('As-Filed Schedule 2I'!B69:D69=0,"",'As-Filed Schedule 2I'!B69:D69)</f>
        <v/>
      </c>
      <c r="C69" s="543"/>
      <c r="D69" s="543"/>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43" t="str">
        <f>IF('As-Filed Schedule 2I'!B70:D70=0,"",'As-Filed Schedule 2I'!B70:D70)</f>
        <v/>
      </c>
      <c r="C70" s="543"/>
      <c r="D70" s="543"/>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43" t="str">
        <f>IF('As-Filed Schedule 2I'!B71:D71=0,"",'As-Filed Schedule 2I'!B71:D71)</f>
        <v/>
      </c>
      <c r="C71" s="543"/>
      <c r="D71" s="543"/>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43" t="str">
        <f>IF('As-Filed Schedule 2I'!B72:D72=0,"",'As-Filed Schedule 2I'!B72:D72)</f>
        <v/>
      </c>
      <c r="C72" s="543"/>
      <c r="D72" s="543"/>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844</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825</v>
      </c>
      <c r="C8" s="1"/>
      <c r="F8" s="119" t="str">
        <f>'As-Filed Schedule 2J'!F8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2J'!B15:D15=0,"",'As-Filed Schedule 2J'!B15:D15)</f>
        <v/>
      </c>
      <c r="C15" s="543"/>
      <c r="D15" s="543"/>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43" t="str">
        <f>IF('As-Filed Schedule 2J'!B16:D16=0,"",'As-Filed Schedule 2J'!B16:D16)</f>
        <v/>
      </c>
      <c r="C16" s="543"/>
      <c r="D16" s="543"/>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43" t="str">
        <f>IF('As-Filed Schedule 2J'!B17:D17=0,"",'As-Filed Schedule 2J'!B17:D17)</f>
        <v/>
      </c>
      <c r="C17" s="543"/>
      <c r="D17" s="543"/>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43" t="str">
        <f>IF('As-Filed Schedule 2J'!B18:D18=0,"",'As-Filed Schedule 2J'!B18:D18)</f>
        <v/>
      </c>
      <c r="C18" s="543"/>
      <c r="D18" s="543"/>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43" t="str">
        <f>IF('As-Filed Schedule 2J'!B19:D19=0,"",'As-Filed Schedule 2J'!B19:D19)</f>
        <v/>
      </c>
      <c r="C19" s="543"/>
      <c r="D19" s="543"/>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43" t="str">
        <f>IF('As-Filed Schedule 2J'!B20:D20=0,"",'As-Filed Schedule 2J'!B20:D20)</f>
        <v/>
      </c>
      <c r="C20" s="543"/>
      <c r="D20" s="543"/>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43" t="str">
        <f>IF('As-Filed Schedule 2J'!B21:D21=0,"",'As-Filed Schedule 2J'!B21:D21)</f>
        <v/>
      </c>
      <c r="C21" s="543"/>
      <c r="D21" s="543"/>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43" t="str">
        <f>IF('As-Filed Schedule 2J'!B22:D22=0,"",'As-Filed Schedule 2J'!B22:D22)</f>
        <v/>
      </c>
      <c r="C22" s="543"/>
      <c r="D22" s="543"/>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43" t="str">
        <f>IF('As-Filed Schedule 2J'!B23:D23=0,"",'As-Filed Schedule 2J'!B23:D23)</f>
        <v/>
      </c>
      <c r="C23" s="543"/>
      <c r="D23" s="543"/>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43" t="str">
        <f>IF('As-Filed Schedule 2J'!B24:D24=0,"",'As-Filed Schedule 2J'!B24:D24)</f>
        <v/>
      </c>
      <c r="C24" s="543"/>
      <c r="D24" s="543"/>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43" t="str">
        <f>IF('As-Filed Schedule 2J'!B25:D25=0,"",'As-Filed Schedule 2J'!B25:D25)</f>
        <v/>
      </c>
      <c r="C25" s="543"/>
      <c r="D25" s="543"/>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43" t="str">
        <f>IF('As-Filed Schedule 2J'!B26:D26=0,"",'As-Filed Schedule 2J'!B26:D26)</f>
        <v/>
      </c>
      <c r="C26" s="543"/>
      <c r="D26" s="543"/>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43" t="str">
        <f>IF('As-Filed Schedule 2J'!B27:D27=0,"",'As-Filed Schedule 2J'!B27:D27)</f>
        <v/>
      </c>
      <c r="C27" s="543"/>
      <c r="D27" s="543"/>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43" t="str">
        <f>IF('As-Filed Schedule 2J'!B28:D28=0,"",'As-Filed Schedule 2J'!B28:D28)</f>
        <v/>
      </c>
      <c r="C28" s="543"/>
      <c r="D28" s="543"/>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43" t="str">
        <f>IF('As-Filed Schedule 2J'!B29:D29=0,"",'As-Filed Schedule 2J'!B29:D29)</f>
        <v/>
      </c>
      <c r="C29" s="543"/>
      <c r="D29" s="543"/>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43" t="str">
        <f>IF('As-Filed Schedule 2J'!B30:D30=0,"",'As-Filed Schedule 2J'!B30:D30)</f>
        <v/>
      </c>
      <c r="C30" s="543"/>
      <c r="D30" s="543"/>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43" t="str">
        <f>IF('As-Filed Schedule 2J'!B31:D31=0,"",'As-Filed Schedule 2J'!B31:D31)</f>
        <v/>
      </c>
      <c r="C31" s="543"/>
      <c r="D31" s="543"/>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43" t="str">
        <f>IF('As-Filed Schedule 2J'!B32:D32=0,"",'As-Filed Schedule 2J'!B32:D32)</f>
        <v/>
      </c>
      <c r="C32" s="543"/>
      <c r="D32" s="543"/>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43" t="str">
        <f>IF('As-Filed Schedule 2J'!B33:D33=0,"",'As-Filed Schedule 2J'!B33:D33)</f>
        <v/>
      </c>
      <c r="C33" s="543"/>
      <c r="D33" s="543"/>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43" t="str">
        <f>IF('As-Filed Schedule 2J'!B34:D34=0,"",'As-Filed Schedule 2J'!B34:D34)</f>
        <v/>
      </c>
      <c r="C34" s="543"/>
      <c r="D34" s="543"/>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43" t="str">
        <f>IF('As-Filed Schedule 2J'!B35:D35=0,"",'As-Filed Schedule 2J'!B35:D35)</f>
        <v/>
      </c>
      <c r="C35" s="543"/>
      <c r="D35" s="543"/>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43" t="str">
        <f>IF('As-Filed Schedule 2J'!B36:D36=0,"",'As-Filed Schedule 2J'!B36:D36)</f>
        <v/>
      </c>
      <c r="C36" s="543"/>
      <c r="D36" s="543"/>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43" t="str">
        <f>IF('As-Filed Schedule 2J'!B37:D37=0,"",'As-Filed Schedule 2J'!B37:D37)</f>
        <v/>
      </c>
      <c r="C37" s="543"/>
      <c r="D37" s="543"/>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43" t="str">
        <f>IF('As-Filed Schedule 2J'!B38:D38=0,"",'As-Filed Schedule 2J'!B38:D38)</f>
        <v/>
      </c>
      <c r="C38" s="543"/>
      <c r="D38" s="543"/>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43" t="str">
        <f>IF('As-Filed Schedule 2J'!B39:D39=0,"",'As-Filed Schedule 2J'!B39:D39)</f>
        <v/>
      </c>
      <c r="C39" s="543"/>
      <c r="D39" s="543"/>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43" t="str">
        <f>IF('As-Filed Schedule 2J'!B40:D40=0,"",'As-Filed Schedule 2J'!B40:D40)</f>
        <v/>
      </c>
      <c r="C40" s="543"/>
      <c r="D40" s="543"/>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43" t="str">
        <f>IF('As-Filed Schedule 2J'!B41:D41=0,"",'As-Filed Schedule 2J'!B41:D41)</f>
        <v/>
      </c>
      <c r="C41" s="543"/>
      <c r="D41" s="543"/>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43" t="str">
        <f>IF('As-Filed Schedule 2J'!B42:D42=0,"",'As-Filed Schedule 2J'!B42:D42)</f>
        <v/>
      </c>
      <c r="C42" s="543"/>
      <c r="D42" s="543"/>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43" t="str">
        <f>IF('As-Filed Schedule 2J'!B43:D43=0,"",'As-Filed Schedule 2J'!B43:D43)</f>
        <v/>
      </c>
      <c r="C43" s="543"/>
      <c r="D43" s="543"/>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43" t="str">
        <f>IF('As-Filed Schedule 2J'!B44:D44=0,"",'As-Filed Schedule 2J'!B44:D44)</f>
        <v/>
      </c>
      <c r="C44" s="543"/>
      <c r="D44" s="543"/>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43" t="str">
        <f>IF('As-Filed Schedule 2J'!B45:D45=0,"",'As-Filed Schedule 2J'!B45:D45)</f>
        <v/>
      </c>
      <c r="C45" s="543"/>
      <c r="D45" s="543"/>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43" t="str">
        <f>IF('As-Filed Schedule 2J'!B46:D46=0,"",'As-Filed Schedule 2J'!B46:D46)</f>
        <v/>
      </c>
      <c r="C46" s="543"/>
      <c r="D46" s="543"/>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43" t="str">
        <f>IF('As-Filed Schedule 2J'!B47:D47=0,"",'As-Filed Schedule 2J'!B47:D47)</f>
        <v/>
      </c>
      <c r="C47" s="543"/>
      <c r="D47" s="543"/>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43" t="str">
        <f>IF('As-Filed Schedule 2J'!B48:D48=0,"",'As-Filed Schedule 2J'!B48:D48)</f>
        <v/>
      </c>
      <c r="C48" s="543"/>
      <c r="D48" s="543"/>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43" t="str">
        <f>IF('As-Filed Schedule 2J'!B49:D49=0,"",'As-Filed Schedule 2J'!B49:D49)</f>
        <v/>
      </c>
      <c r="C49" s="543"/>
      <c r="D49" s="543"/>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43" t="str">
        <f>IF('As-Filed Schedule 2J'!B50:D50=0,"",'As-Filed Schedule 2J'!B50:D50)</f>
        <v/>
      </c>
      <c r="C50" s="543"/>
      <c r="D50" s="543"/>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43" t="str">
        <f>IF('As-Filed Schedule 2J'!B51:D51=0,"",'As-Filed Schedule 2J'!B51:D51)</f>
        <v/>
      </c>
      <c r="C51" s="543"/>
      <c r="D51" s="543"/>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43" t="str">
        <f>IF('As-Filed Schedule 2J'!B52:D52=0,"",'As-Filed Schedule 2J'!B52:D52)</f>
        <v/>
      </c>
      <c r="C52" s="543"/>
      <c r="D52" s="543"/>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43" t="str">
        <f>IF('As-Filed Schedule 2J'!B53:D53=0,"",'As-Filed Schedule 2J'!B53:D53)</f>
        <v/>
      </c>
      <c r="C53" s="543"/>
      <c r="D53" s="543"/>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43" t="str">
        <f>IF('As-Filed Schedule 2J'!B54:D54=0,"",'As-Filed Schedule 2J'!B54:D54)</f>
        <v/>
      </c>
      <c r="C54" s="543"/>
      <c r="D54" s="543"/>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43" t="str">
        <f>IF('As-Filed Schedule 2J'!B55:D55=0,"",'As-Filed Schedule 2J'!B55:D55)</f>
        <v/>
      </c>
      <c r="C55" s="543"/>
      <c r="D55" s="543"/>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43" t="str">
        <f>IF('As-Filed Schedule 2J'!B56:D56=0,"",'As-Filed Schedule 2J'!B56:D56)</f>
        <v/>
      </c>
      <c r="C56" s="543"/>
      <c r="D56" s="543"/>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43" t="str">
        <f>IF('As-Filed Schedule 2J'!B57:D57=0,"",'As-Filed Schedule 2J'!B57:D57)</f>
        <v/>
      </c>
      <c r="C57" s="543"/>
      <c r="D57" s="543"/>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43" t="str">
        <f>IF('As-Filed Schedule 2J'!B58:D58=0,"",'As-Filed Schedule 2J'!B58:D58)</f>
        <v/>
      </c>
      <c r="C58" s="543"/>
      <c r="D58" s="543"/>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43" t="str">
        <f>IF('As-Filed Schedule 2J'!B59:D59=0,"",'As-Filed Schedule 2J'!B59:D59)</f>
        <v/>
      </c>
      <c r="C59" s="543"/>
      <c r="D59" s="543"/>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43" t="str">
        <f>IF('As-Filed Schedule 2J'!B60:D60=0,"",'As-Filed Schedule 2J'!B60:D60)</f>
        <v/>
      </c>
      <c r="C60" s="543"/>
      <c r="D60" s="543"/>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43" t="str">
        <f>IF('As-Filed Schedule 2J'!B61:D61=0,"",'As-Filed Schedule 2J'!B61:D61)</f>
        <v/>
      </c>
      <c r="C61" s="543"/>
      <c r="D61" s="543"/>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43" t="str">
        <f>IF('As-Filed Schedule 2J'!B62:D62=0,"",'As-Filed Schedule 2J'!B62:D62)</f>
        <v/>
      </c>
      <c r="C62" s="543"/>
      <c r="D62" s="543"/>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43" t="str">
        <f>IF('As-Filed Schedule 2J'!B63:D63=0,"",'As-Filed Schedule 2J'!B63:D63)</f>
        <v/>
      </c>
      <c r="C63" s="543"/>
      <c r="D63" s="543"/>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43" t="str">
        <f>IF('As-Filed Schedule 2J'!B64:D64=0,"",'As-Filed Schedule 2J'!B64:D64)</f>
        <v/>
      </c>
      <c r="C64" s="543"/>
      <c r="D64" s="543"/>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43" t="str">
        <f>IF('As-Filed Schedule 2J'!B65:D65=0,"",'As-Filed Schedule 2J'!B65:D65)</f>
        <v/>
      </c>
      <c r="C65" s="543"/>
      <c r="D65" s="543"/>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43" t="str">
        <f>IF('As-Filed Schedule 2J'!B66:D66=0,"",'As-Filed Schedule 2J'!B66:D66)</f>
        <v/>
      </c>
      <c r="C66" s="543"/>
      <c r="D66" s="543"/>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43" t="str">
        <f>IF('As-Filed Schedule 2J'!B67:D67=0,"",'As-Filed Schedule 2J'!B67:D67)</f>
        <v/>
      </c>
      <c r="C67" s="543"/>
      <c r="D67" s="543"/>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43" t="str">
        <f>IF('As-Filed Schedule 2J'!B68:D68=0,"",'As-Filed Schedule 2J'!B68:D68)</f>
        <v/>
      </c>
      <c r="C68" s="543"/>
      <c r="D68" s="543"/>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43" t="str">
        <f>IF('As-Filed Schedule 2J'!B69:D69=0,"",'As-Filed Schedule 2J'!B69:D69)</f>
        <v/>
      </c>
      <c r="C69" s="543"/>
      <c r="D69" s="543"/>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43" t="str">
        <f>IF('As-Filed Schedule 2J'!B70:D70=0,"",'As-Filed Schedule 2J'!B70:D70)</f>
        <v/>
      </c>
      <c r="C70" s="543"/>
      <c r="D70" s="543"/>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43" t="str">
        <f>IF('As-Filed Schedule 2J'!B71:D71=0,"",'As-Filed Schedule 2J'!B71:D71)</f>
        <v/>
      </c>
      <c r="C71" s="543"/>
      <c r="D71" s="543"/>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43" t="str">
        <f>IF('As-Filed Schedule 2J'!B72:D72=0,"",'As-Filed Schedule 2J'!B72:D72)</f>
        <v/>
      </c>
      <c r="C72" s="543"/>
      <c r="D72" s="543"/>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845</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828</v>
      </c>
      <c r="C8" s="1"/>
      <c r="F8" s="119" t="str">
        <f>'As-Filed Schedule 2K'!F8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2K'!B15:D15=0,"",'As-Filed Schedule 2K'!B15:D15)</f>
        <v/>
      </c>
      <c r="C15" s="543"/>
      <c r="D15" s="543"/>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43" t="str">
        <f>IF('As-Filed Schedule 2K'!B16:D16=0,"",'As-Filed Schedule 2K'!B16:D16)</f>
        <v/>
      </c>
      <c r="C16" s="543"/>
      <c r="D16" s="543"/>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43" t="str">
        <f>IF('As-Filed Schedule 2K'!B17:D17=0,"",'As-Filed Schedule 2K'!B17:D17)</f>
        <v/>
      </c>
      <c r="C17" s="543"/>
      <c r="D17" s="543"/>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43" t="str">
        <f>IF('As-Filed Schedule 2K'!B18:D18=0,"",'As-Filed Schedule 2K'!B18:D18)</f>
        <v/>
      </c>
      <c r="C18" s="543"/>
      <c r="D18" s="543"/>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43" t="str">
        <f>IF('As-Filed Schedule 2K'!B19:D19=0,"",'As-Filed Schedule 2K'!B19:D19)</f>
        <v/>
      </c>
      <c r="C19" s="543"/>
      <c r="D19" s="543"/>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43" t="str">
        <f>IF('As-Filed Schedule 2K'!B20:D20=0,"",'As-Filed Schedule 2K'!B20:D20)</f>
        <v/>
      </c>
      <c r="C20" s="543"/>
      <c r="D20" s="543"/>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43" t="str">
        <f>IF('As-Filed Schedule 2K'!B21:D21=0,"",'As-Filed Schedule 2K'!B21:D21)</f>
        <v/>
      </c>
      <c r="C21" s="543"/>
      <c r="D21" s="543"/>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43" t="str">
        <f>IF('As-Filed Schedule 2K'!B22:D22=0,"",'As-Filed Schedule 2K'!B22:D22)</f>
        <v/>
      </c>
      <c r="C22" s="543"/>
      <c r="D22" s="543"/>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43" t="str">
        <f>IF('As-Filed Schedule 2K'!B23:D23=0,"",'As-Filed Schedule 2K'!B23:D23)</f>
        <v/>
      </c>
      <c r="C23" s="543"/>
      <c r="D23" s="543"/>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43" t="str">
        <f>IF('As-Filed Schedule 2K'!B24:D24=0,"",'As-Filed Schedule 2K'!B24:D24)</f>
        <v/>
      </c>
      <c r="C24" s="543"/>
      <c r="D24" s="543"/>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43" t="str">
        <f>IF('As-Filed Schedule 2K'!B25:D25=0,"",'As-Filed Schedule 2K'!B25:D25)</f>
        <v/>
      </c>
      <c r="C25" s="543"/>
      <c r="D25" s="543"/>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43" t="str">
        <f>IF('As-Filed Schedule 2K'!B26:D26=0,"",'As-Filed Schedule 2K'!B26:D26)</f>
        <v/>
      </c>
      <c r="C26" s="543"/>
      <c r="D26" s="543"/>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43" t="str">
        <f>IF('As-Filed Schedule 2K'!B27:D27=0,"",'As-Filed Schedule 2K'!B27:D27)</f>
        <v/>
      </c>
      <c r="C27" s="543"/>
      <c r="D27" s="543"/>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43" t="str">
        <f>IF('As-Filed Schedule 2K'!B28:D28=0,"",'As-Filed Schedule 2K'!B28:D28)</f>
        <v/>
      </c>
      <c r="C28" s="543"/>
      <c r="D28" s="543"/>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43" t="str">
        <f>IF('As-Filed Schedule 2K'!B29:D29=0,"",'As-Filed Schedule 2K'!B29:D29)</f>
        <v/>
      </c>
      <c r="C29" s="543"/>
      <c r="D29" s="543"/>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43" t="str">
        <f>IF('As-Filed Schedule 2K'!B30:D30=0,"",'As-Filed Schedule 2K'!B30:D30)</f>
        <v/>
      </c>
      <c r="C30" s="543"/>
      <c r="D30" s="543"/>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43" t="str">
        <f>IF('As-Filed Schedule 2K'!B31:D31=0,"",'As-Filed Schedule 2K'!B31:D31)</f>
        <v/>
      </c>
      <c r="C31" s="543"/>
      <c r="D31" s="543"/>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43" t="str">
        <f>IF('As-Filed Schedule 2K'!B32:D32=0,"",'As-Filed Schedule 2K'!B32:D32)</f>
        <v/>
      </c>
      <c r="C32" s="543"/>
      <c r="D32" s="543"/>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43" t="str">
        <f>IF('As-Filed Schedule 2K'!B33:D33=0,"",'As-Filed Schedule 2K'!B33:D33)</f>
        <v/>
      </c>
      <c r="C33" s="543"/>
      <c r="D33" s="543"/>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43" t="str">
        <f>IF('As-Filed Schedule 2K'!B34:D34=0,"",'As-Filed Schedule 2K'!B34:D34)</f>
        <v/>
      </c>
      <c r="C34" s="543"/>
      <c r="D34" s="543"/>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43" t="str">
        <f>IF('As-Filed Schedule 2K'!B35:D35=0,"",'As-Filed Schedule 2K'!B35:D35)</f>
        <v/>
      </c>
      <c r="C35" s="543"/>
      <c r="D35" s="543"/>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43" t="str">
        <f>IF('As-Filed Schedule 2K'!B36:D36=0,"",'As-Filed Schedule 2K'!B36:D36)</f>
        <v/>
      </c>
      <c r="C36" s="543"/>
      <c r="D36" s="543"/>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43" t="str">
        <f>IF('As-Filed Schedule 2K'!B37:D37=0,"",'As-Filed Schedule 2K'!B37:D37)</f>
        <v/>
      </c>
      <c r="C37" s="543"/>
      <c r="D37" s="543"/>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43" t="str">
        <f>IF('As-Filed Schedule 2K'!B38:D38=0,"",'As-Filed Schedule 2K'!B38:D38)</f>
        <v/>
      </c>
      <c r="C38" s="543"/>
      <c r="D38" s="543"/>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43" t="str">
        <f>IF('As-Filed Schedule 2K'!B39:D39=0,"",'As-Filed Schedule 2K'!B39:D39)</f>
        <v/>
      </c>
      <c r="C39" s="543"/>
      <c r="D39" s="543"/>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43" t="str">
        <f>IF('As-Filed Schedule 2K'!B40:D40=0,"",'As-Filed Schedule 2K'!B40:D40)</f>
        <v/>
      </c>
      <c r="C40" s="543"/>
      <c r="D40" s="543"/>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43" t="str">
        <f>IF('As-Filed Schedule 2K'!B41:D41=0,"",'As-Filed Schedule 2K'!B41:D41)</f>
        <v/>
      </c>
      <c r="C41" s="543"/>
      <c r="D41" s="543"/>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43" t="str">
        <f>IF('As-Filed Schedule 2K'!B42:D42=0,"",'As-Filed Schedule 2K'!B42:D42)</f>
        <v/>
      </c>
      <c r="C42" s="543"/>
      <c r="D42" s="543"/>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43" t="str">
        <f>IF('As-Filed Schedule 2K'!B43:D43=0,"",'As-Filed Schedule 2K'!B43:D43)</f>
        <v/>
      </c>
      <c r="C43" s="543"/>
      <c r="D43" s="543"/>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43" t="str">
        <f>IF('As-Filed Schedule 2K'!B44:D44=0,"",'As-Filed Schedule 2K'!B44:D44)</f>
        <v/>
      </c>
      <c r="C44" s="543"/>
      <c r="D44" s="543"/>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43" t="str">
        <f>IF('As-Filed Schedule 2K'!B45:D45=0,"",'As-Filed Schedule 2K'!B45:D45)</f>
        <v/>
      </c>
      <c r="C45" s="543"/>
      <c r="D45" s="543"/>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43" t="str">
        <f>IF('As-Filed Schedule 2K'!B46:D46=0,"",'As-Filed Schedule 2K'!B46:D46)</f>
        <v/>
      </c>
      <c r="C46" s="543"/>
      <c r="D46" s="543"/>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43" t="str">
        <f>IF('As-Filed Schedule 2K'!B47:D47=0,"",'As-Filed Schedule 2K'!B47:D47)</f>
        <v/>
      </c>
      <c r="C47" s="543"/>
      <c r="D47" s="543"/>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43" t="str">
        <f>IF('As-Filed Schedule 2K'!B48:D48=0,"",'As-Filed Schedule 2K'!B48:D48)</f>
        <v/>
      </c>
      <c r="C48" s="543"/>
      <c r="D48" s="543"/>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43" t="str">
        <f>IF('As-Filed Schedule 2K'!B49:D49=0,"",'As-Filed Schedule 2K'!B49:D49)</f>
        <v/>
      </c>
      <c r="C49" s="543"/>
      <c r="D49" s="543"/>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43" t="str">
        <f>IF('As-Filed Schedule 2K'!B50:D50=0,"",'As-Filed Schedule 2K'!B50:D50)</f>
        <v/>
      </c>
      <c r="C50" s="543"/>
      <c r="D50" s="543"/>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43" t="str">
        <f>IF('As-Filed Schedule 2K'!B51:D51=0,"",'As-Filed Schedule 2K'!B51:D51)</f>
        <v/>
      </c>
      <c r="C51" s="543"/>
      <c r="D51" s="543"/>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43" t="str">
        <f>IF('As-Filed Schedule 2K'!B52:D52=0,"",'As-Filed Schedule 2K'!B52:D52)</f>
        <v/>
      </c>
      <c r="C52" s="543"/>
      <c r="D52" s="543"/>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43" t="str">
        <f>IF('As-Filed Schedule 2K'!B53:D53=0,"",'As-Filed Schedule 2K'!B53:D53)</f>
        <v/>
      </c>
      <c r="C53" s="543"/>
      <c r="D53" s="543"/>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43" t="str">
        <f>IF('As-Filed Schedule 2K'!B54:D54=0,"",'As-Filed Schedule 2K'!B54:D54)</f>
        <v/>
      </c>
      <c r="C54" s="543"/>
      <c r="D54" s="543"/>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43" t="str">
        <f>IF('As-Filed Schedule 2K'!B55:D55=0,"",'As-Filed Schedule 2K'!B55:D55)</f>
        <v/>
      </c>
      <c r="C55" s="543"/>
      <c r="D55" s="543"/>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43" t="str">
        <f>IF('As-Filed Schedule 2K'!B56:D56=0,"",'As-Filed Schedule 2K'!B56:D56)</f>
        <v/>
      </c>
      <c r="C56" s="543"/>
      <c r="D56" s="543"/>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43" t="str">
        <f>IF('As-Filed Schedule 2K'!B57:D57=0,"",'As-Filed Schedule 2K'!B57:D57)</f>
        <v/>
      </c>
      <c r="C57" s="543"/>
      <c r="D57" s="543"/>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43" t="str">
        <f>IF('As-Filed Schedule 2K'!B58:D58=0,"",'As-Filed Schedule 2K'!B58:D58)</f>
        <v/>
      </c>
      <c r="C58" s="543"/>
      <c r="D58" s="543"/>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43" t="str">
        <f>IF('As-Filed Schedule 2K'!B59:D59=0,"",'As-Filed Schedule 2K'!B59:D59)</f>
        <v/>
      </c>
      <c r="C59" s="543"/>
      <c r="D59" s="543"/>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43" t="str">
        <f>IF('As-Filed Schedule 2K'!B60:D60=0,"",'As-Filed Schedule 2K'!B60:D60)</f>
        <v/>
      </c>
      <c r="C60" s="543"/>
      <c r="D60" s="543"/>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43" t="str">
        <f>IF('As-Filed Schedule 2K'!B61:D61=0,"",'As-Filed Schedule 2K'!B61:D61)</f>
        <v/>
      </c>
      <c r="C61" s="543"/>
      <c r="D61" s="543"/>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43" t="str">
        <f>IF('As-Filed Schedule 2K'!B62:D62=0,"",'As-Filed Schedule 2K'!B62:D62)</f>
        <v/>
      </c>
      <c r="C62" s="543"/>
      <c r="D62" s="543"/>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43" t="str">
        <f>IF('As-Filed Schedule 2K'!B63:D63=0,"",'As-Filed Schedule 2K'!B63:D63)</f>
        <v/>
      </c>
      <c r="C63" s="543"/>
      <c r="D63" s="543"/>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43" t="str">
        <f>IF('As-Filed Schedule 2K'!B64:D64=0,"",'As-Filed Schedule 2K'!B64:D64)</f>
        <v/>
      </c>
      <c r="C64" s="543"/>
      <c r="D64" s="543"/>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43" t="str">
        <f>IF('As-Filed Schedule 2K'!B65:D65=0,"",'As-Filed Schedule 2K'!B65:D65)</f>
        <v/>
      </c>
      <c r="C65" s="543"/>
      <c r="D65" s="543"/>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43" t="str">
        <f>IF('As-Filed Schedule 2K'!B66:D66=0,"",'As-Filed Schedule 2K'!B66:D66)</f>
        <v/>
      </c>
      <c r="C66" s="543"/>
      <c r="D66" s="543"/>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43" t="str">
        <f>IF('As-Filed Schedule 2K'!B67:D67=0,"",'As-Filed Schedule 2K'!B67:D67)</f>
        <v/>
      </c>
      <c r="C67" s="543"/>
      <c r="D67" s="543"/>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43" t="str">
        <f>IF('As-Filed Schedule 2K'!B68:D68=0,"",'As-Filed Schedule 2K'!B68:D68)</f>
        <v/>
      </c>
      <c r="C68" s="543"/>
      <c r="D68" s="543"/>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43" t="str">
        <f>IF('As-Filed Schedule 2K'!B69:D69=0,"",'As-Filed Schedule 2K'!B69:D69)</f>
        <v/>
      </c>
      <c r="C69" s="543"/>
      <c r="D69" s="543"/>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43" t="str">
        <f>IF('As-Filed Schedule 2K'!B70:D70=0,"",'As-Filed Schedule 2K'!B70:D70)</f>
        <v/>
      </c>
      <c r="C70" s="543"/>
      <c r="D70" s="543"/>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43" t="str">
        <f>IF('As-Filed Schedule 2K'!B71:D71=0,"",'As-Filed Schedule 2K'!B71:D71)</f>
        <v/>
      </c>
      <c r="C71" s="543"/>
      <c r="D71" s="543"/>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43" t="str">
        <f>IF('As-Filed Schedule 2K'!B72:D72=0,"",'As-Filed Schedule 2K'!B72:D72)</f>
        <v/>
      </c>
      <c r="C72" s="543"/>
      <c r="D72" s="543"/>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846</v>
      </c>
      <c r="B3" s="524"/>
      <c r="C3" s="524"/>
      <c r="D3" s="524"/>
      <c r="E3" s="524"/>
      <c r="F3" s="524"/>
      <c r="G3" s="524"/>
      <c r="H3" s="524"/>
      <c r="I3" s="524"/>
      <c r="J3" s="524"/>
      <c r="K3" s="524"/>
      <c r="L3" s="322"/>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831</v>
      </c>
      <c r="C8" s="1"/>
      <c r="F8" s="119" t="str">
        <f>'As-Filed Schedule 2L'!F8</f>
        <v>Yes/No</v>
      </c>
      <c r="G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2L'!B15:D15=0,"",'As-Filed Schedule 2L'!B15:D15)</f>
        <v/>
      </c>
      <c r="C15" s="543"/>
      <c r="D15" s="543"/>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43" t="str">
        <f>IF('As-Filed Schedule 2L'!B16:D16=0,"",'As-Filed Schedule 2L'!B16:D16)</f>
        <v/>
      </c>
      <c r="C16" s="543"/>
      <c r="D16" s="543"/>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43" t="str">
        <f>IF('As-Filed Schedule 2L'!B17:D17=0,"",'As-Filed Schedule 2L'!B17:D17)</f>
        <v/>
      </c>
      <c r="C17" s="543"/>
      <c r="D17" s="543"/>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43" t="str">
        <f>IF('As-Filed Schedule 2L'!B18:D18=0,"",'As-Filed Schedule 2L'!B18:D18)</f>
        <v/>
      </c>
      <c r="C18" s="543"/>
      <c r="D18" s="543"/>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43" t="str">
        <f>IF('As-Filed Schedule 2L'!B19:D19=0,"",'As-Filed Schedule 2L'!B19:D19)</f>
        <v/>
      </c>
      <c r="C19" s="543"/>
      <c r="D19" s="543"/>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43" t="str">
        <f>IF('As-Filed Schedule 2L'!B20:D20=0,"",'As-Filed Schedule 2L'!B20:D20)</f>
        <v/>
      </c>
      <c r="C20" s="543"/>
      <c r="D20" s="543"/>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43" t="str">
        <f>IF('As-Filed Schedule 2L'!B21:D21=0,"",'As-Filed Schedule 2L'!B21:D21)</f>
        <v/>
      </c>
      <c r="C21" s="543"/>
      <c r="D21" s="543"/>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43" t="str">
        <f>IF('As-Filed Schedule 2L'!B22:D22=0,"",'As-Filed Schedule 2L'!B22:D22)</f>
        <v/>
      </c>
      <c r="C22" s="543"/>
      <c r="D22" s="543"/>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43" t="str">
        <f>IF('As-Filed Schedule 2L'!B23:D23=0,"",'As-Filed Schedule 2L'!B23:D23)</f>
        <v/>
      </c>
      <c r="C23" s="543"/>
      <c r="D23" s="543"/>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43" t="str">
        <f>IF('As-Filed Schedule 2L'!B24:D24=0,"",'As-Filed Schedule 2L'!B24:D24)</f>
        <v/>
      </c>
      <c r="C24" s="543"/>
      <c r="D24" s="543"/>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43" t="str">
        <f>IF('As-Filed Schedule 2L'!B25:D25=0,"",'As-Filed Schedule 2L'!B25:D25)</f>
        <v/>
      </c>
      <c r="C25" s="543"/>
      <c r="D25" s="543"/>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43" t="str">
        <f>IF('As-Filed Schedule 2L'!B26:D26=0,"",'As-Filed Schedule 2L'!B26:D26)</f>
        <v/>
      </c>
      <c r="C26" s="543"/>
      <c r="D26" s="543"/>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43" t="str">
        <f>IF('As-Filed Schedule 2L'!B27:D27=0,"",'As-Filed Schedule 2L'!B27:D27)</f>
        <v/>
      </c>
      <c r="C27" s="543"/>
      <c r="D27" s="543"/>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43" t="str">
        <f>IF('As-Filed Schedule 2L'!B28:D28=0,"",'As-Filed Schedule 2L'!B28:D28)</f>
        <v/>
      </c>
      <c r="C28" s="543"/>
      <c r="D28" s="543"/>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43" t="str">
        <f>IF('As-Filed Schedule 2L'!B29:D29=0,"",'As-Filed Schedule 2L'!B29:D29)</f>
        <v/>
      </c>
      <c r="C29" s="543"/>
      <c r="D29" s="543"/>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43" t="str">
        <f>IF('As-Filed Schedule 2L'!B30:D30=0,"",'As-Filed Schedule 2L'!B30:D30)</f>
        <v/>
      </c>
      <c r="C30" s="543"/>
      <c r="D30" s="543"/>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43" t="str">
        <f>IF('As-Filed Schedule 2L'!B31:D31=0,"",'As-Filed Schedule 2L'!B31:D31)</f>
        <v/>
      </c>
      <c r="C31" s="543"/>
      <c r="D31" s="543"/>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43" t="str">
        <f>IF('As-Filed Schedule 2L'!B32:D32=0,"",'As-Filed Schedule 2L'!B32:D32)</f>
        <v/>
      </c>
      <c r="C32" s="543"/>
      <c r="D32" s="543"/>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43" t="str">
        <f>IF('As-Filed Schedule 2L'!B33:D33=0,"",'As-Filed Schedule 2L'!B33:D33)</f>
        <v/>
      </c>
      <c r="C33" s="543"/>
      <c r="D33" s="543"/>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43" t="str">
        <f>IF('As-Filed Schedule 2L'!B34:D34=0,"",'As-Filed Schedule 2L'!B34:D34)</f>
        <v/>
      </c>
      <c r="C34" s="543"/>
      <c r="D34" s="543"/>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43" t="str">
        <f>IF('As-Filed Schedule 2L'!B35:D35=0,"",'As-Filed Schedule 2L'!B35:D35)</f>
        <v/>
      </c>
      <c r="C35" s="543"/>
      <c r="D35" s="543"/>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43" t="str">
        <f>IF('As-Filed Schedule 2L'!B36:D36=0,"",'As-Filed Schedule 2L'!B36:D36)</f>
        <v/>
      </c>
      <c r="C36" s="543"/>
      <c r="D36" s="543"/>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43" t="str">
        <f>IF('As-Filed Schedule 2L'!B37:D37=0,"",'As-Filed Schedule 2L'!B37:D37)</f>
        <v/>
      </c>
      <c r="C37" s="543"/>
      <c r="D37" s="543"/>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43" t="str">
        <f>IF('As-Filed Schedule 2L'!B38:D38=0,"",'As-Filed Schedule 2L'!B38:D38)</f>
        <v/>
      </c>
      <c r="C38" s="543"/>
      <c r="D38" s="543"/>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43" t="str">
        <f>IF('As-Filed Schedule 2L'!B39:D39=0,"",'As-Filed Schedule 2L'!B39:D39)</f>
        <v/>
      </c>
      <c r="C39" s="543"/>
      <c r="D39" s="543"/>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43" t="str">
        <f>IF('As-Filed Schedule 2L'!B40:D40=0,"",'As-Filed Schedule 2L'!B40:D40)</f>
        <v/>
      </c>
      <c r="C40" s="543"/>
      <c r="D40" s="543"/>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43" t="str">
        <f>IF('As-Filed Schedule 2L'!B41:D41=0,"",'As-Filed Schedule 2L'!B41:D41)</f>
        <v/>
      </c>
      <c r="C41" s="543"/>
      <c r="D41" s="543"/>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43" t="str">
        <f>IF('As-Filed Schedule 2L'!B42:D42=0,"",'As-Filed Schedule 2L'!B42:D42)</f>
        <v/>
      </c>
      <c r="C42" s="543"/>
      <c r="D42" s="543"/>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43" t="str">
        <f>IF('As-Filed Schedule 2L'!B43:D43=0,"",'As-Filed Schedule 2L'!B43:D43)</f>
        <v/>
      </c>
      <c r="C43" s="543"/>
      <c r="D43" s="543"/>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43" t="str">
        <f>IF('As-Filed Schedule 2L'!B44:D44=0,"",'As-Filed Schedule 2L'!B44:D44)</f>
        <v/>
      </c>
      <c r="C44" s="543"/>
      <c r="D44" s="543"/>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43" t="str">
        <f>IF('As-Filed Schedule 2L'!B45:D45=0,"",'As-Filed Schedule 2L'!B45:D45)</f>
        <v/>
      </c>
      <c r="C45" s="543"/>
      <c r="D45" s="543"/>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43" t="str">
        <f>IF('As-Filed Schedule 2L'!B46:D46=0,"",'As-Filed Schedule 2L'!B46:D46)</f>
        <v/>
      </c>
      <c r="C46" s="543"/>
      <c r="D46" s="543"/>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43" t="str">
        <f>IF('As-Filed Schedule 2L'!B47:D47=0,"",'As-Filed Schedule 2L'!B47:D47)</f>
        <v/>
      </c>
      <c r="C47" s="543"/>
      <c r="D47" s="543"/>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43" t="str">
        <f>IF('As-Filed Schedule 2L'!B48:D48=0,"",'As-Filed Schedule 2L'!B48:D48)</f>
        <v/>
      </c>
      <c r="C48" s="543"/>
      <c r="D48" s="543"/>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43" t="str">
        <f>IF('As-Filed Schedule 2L'!B49:D49=0,"",'As-Filed Schedule 2L'!B49:D49)</f>
        <v/>
      </c>
      <c r="C49" s="543"/>
      <c r="D49" s="543"/>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43" t="str">
        <f>IF('As-Filed Schedule 2L'!B50:D50=0,"",'As-Filed Schedule 2L'!B50:D50)</f>
        <v/>
      </c>
      <c r="C50" s="543"/>
      <c r="D50" s="543"/>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43" t="str">
        <f>IF('As-Filed Schedule 2L'!B51:D51=0,"",'As-Filed Schedule 2L'!B51:D51)</f>
        <v/>
      </c>
      <c r="C51" s="543"/>
      <c r="D51" s="543"/>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43" t="str">
        <f>IF('As-Filed Schedule 2L'!B52:D52=0,"",'As-Filed Schedule 2L'!B52:D52)</f>
        <v/>
      </c>
      <c r="C52" s="543"/>
      <c r="D52" s="543"/>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43" t="str">
        <f>IF('As-Filed Schedule 2L'!B53:D53=0,"",'As-Filed Schedule 2L'!B53:D53)</f>
        <v/>
      </c>
      <c r="C53" s="543"/>
      <c r="D53" s="543"/>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43" t="str">
        <f>IF('As-Filed Schedule 2L'!B54:D54=0,"",'As-Filed Schedule 2L'!B54:D54)</f>
        <v/>
      </c>
      <c r="C54" s="543"/>
      <c r="D54" s="543"/>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43" t="str">
        <f>IF('As-Filed Schedule 2L'!B55:D55=0,"",'As-Filed Schedule 2L'!B55:D55)</f>
        <v/>
      </c>
      <c r="C55" s="543"/>
      <c r="D55" s="543"/>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43" t="str">
        <f>IF('As-Filed Schedule 2L'!B56:D56=0,"",'As-Filed Schedule 2L'!B56:D56)</f>
        <v/>
      </c>
      <c r="C56" s="543"/>
      <c r="D56" s="543"/>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43" t="str">
        <f>IF('As-Filed Schedule 2L'!B57:D57=0,"",'As-Filed Schedule 2L'!B57:D57)</f>
        <v/>
      </c>
      <c r="C57" s="543"/>
      <c r="D57" s="543"/>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43" t="str">
        <f>IF('As-Filed Schedule 2L'!B58:D58=0,"",'As-Filed Schedule 2L'!B58:D58)</f>
        <v/>
      </c>
      <c r="C58" s="543"/>
      <c r="D58" s="543"/>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43" t="str">
        <f>IF('As-Filed Schedule 2L'!B59:D59=0,"",'As-Filed Schedule 2L'!B59:D59)</f>
        <v/>
      </c>
      <c r="C59" s="543"/>
      <c r="D59" s="543"/>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43" t="str">
        <f>IF('As-Filed Schedule 2L'!B60:D60=0,"",'As-Filed Schedule 2L'!B60:D60)</f>
        <v/>
      </c>
      <c r="C60" s="543"/>
      <c r="D60" s="543"/>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43" t="str">
        <f>IF('As-Filed Schedule 2L'!B61:D61=0,"",'As-Filed Schedule 2L'!B61:D61)</f>
        <v/>
      </c>
      <c r="C61" s="543"/>
      <c r="D61" s="543"/>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43" t="str">
        <f>IF('As-Filed Schedule 2L'!B62:D62=0,"",'As-Filed Schedule 2L'!B62:D62)</f>
        <v/>
      </c>
      <c r="C62" s="543"/>
      <c r="D62" s="543"/>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43" t="str">
        <f>IF('As-Filed Schedule 2L'!B63:D63=0,"",'As-Filed Schedule 2L'!B63:D63)</f>
        <v/>
      </c>
      <c r="C63" s="543"/>
      <c r="D63" s="543"/>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43" t="str">
        <f>IF('As-Filed Schedule 2L'!B64:D64=0,"",'As-Filed Schedule 2L'!B64:D64)</f>
        <v/>
      </c>
      <c r="C64" s="543"/>
      <c r="D64" s="543"/>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43" t="str">
        <f>IF('As-Filed Schedule 2L'!B65:D65=0,"",'As-Filed Schedule 2L'!B65:D65)</f>
        <v/>
      </c>
      <c r="C65" s="543"/>
      <c r="D65" s="543"/>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43" t="str">
        <f>IF('As-Filed Schedule 2L'!B66:D66=0,"",'As-Filed Schedule 2L'!B66:D66)</f>
        <v/>
      </c>
      <c r="C66" s="543"/>
      <c r="D66" s="543"/>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43" t="str">
        <f>IF('As-Filed Schedule 2L'!B67:D67=0,"",'As-Filed Schedule 2L'!B67:D67)</f>
        <v/>
      </c>
      <c r="C67" s="543"/>
      <c r="D67" s="543"/>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43" t="str">
        <f>IF('As-Filed Schedule 2L'!B68:D68=0,"",'As-Filed Schedule 2L'!B68:D68)</f>
        <v/>
      </c>
      <c r="C68" s="543"/>
      <c r="D68" s="543"/>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43" t="str">
        <f>IF('As-Filed Schedule 2L'!B69:D69=0,"",'As-Filed Schedule 2L'!B69:D69)</f>
        <v/>
      </c>
      <c r="C69" s="543"/>
      <c r="D69" s="543"/>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43" t="str">
        <f>IF('As-Filed Schedule 2L'!B70:D70=0,"",'As-Filed Schedule 2L'!B70:D70)</f>
        <v/>
      </c>
      <c r="C70" s="543"/>
      <c r="D70" s="543"/>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43" t="str">
        <f>IF('As-Filed Schedule 2L'!B71:D71=0,"",'As-Filed Schedule 2L'!B71:D71)</f>
        <v/>
      </c>
      <c r="C71" s="543"/>
      <c r="D71" s="543"/>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43" t="str">
        <f>IF('As-Filed Schedule 2L'!B72:D72=0,"",'As-Filed Schedule 2L'!B72:D72)</f>
        <v/>
      </c>
      <c r="C72" s="543"/>
      <c r="D72" s="543"/>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24" t="s">
        <v>847</v>
      </c>
      <c r="B3" s="524"/>
      <c r="C3" s="524"/>
      <c r="D3" s="524"/>
      <c r="E3" s="524"/>
      <c r="F3" s="524"/>
      <c r="G3" s="524"/>
      <c r="H3" s="524"/>
      <c r="I3" s="524"/>
      <c r="J3" s="524"/>
      <c r="K3" s="524"/>
      <c r="L3" s="322"/>
    </row>
    <row r="4" spans="1:27" ht="21" customHeight="1" x14ac:dyDescent="0.5">
      <c r="A4" s="242" t="s">
        <v>834</v>
      </c>
    </row>
    <row r="5" spans="1:27" x14ac:dyDescent="0.35">
      <c r="A5" s="1" t="s">
        <v>773</v>
      </c>
      <c r="C5" s="421" t="str">
        <f>Results!$C$6</f>
        <v>Eagle Valley Behavioral Health</v>
      </c>
    </row>
    <row r="6" spans="1:27" x14ac:dyDescent="0.35">
      <c r="A6" s="1" t="s">
        <v>0</v>
      </c>
      <c r="C6" s="35">
        <f>Results!$C$7</f>
        <v>45473</v>
      </c>
      <c r="F6" s="35"/>
      <c r="G6" s="320"/>
      <c r="H6" s="60"/>
    </row>
    <row r="8" spans="1:27" x14ac:dyDescent="0.35">
      <c r="A8" s="1" t="s">
        <v>253</v>
      </c>
      <c r="B8" s="1" t="s">
        <v>835</v>
      </c>
      <c r="C8" s="1"/>
      <c r="I8" s="119" t="str">
        <f>'As-Filed Schedule 2M'!K8</f>
        <v>Yes/No</v>
      </c>
      <c r="J8" s="41" t="s">
        <v>259</v>
      </c>
    </row>
    <row r="10" spans="1:27" x14ac:dyDescent="0.35">
      <c r="A10" s="1" t="s">
        <v>254</v>
      </c>
      <c r="B10" s="1" t="s">
        <v>256</v>
      </c>
      <c r="C10" s="1"/>
    </row>
    <row r="12" spans="1:27" x14ac:dyDescent="0.35">
      <c r="B12" s="535">
        <v>1</v>
      </c>
      <c r="C12" s="535"/>
      <c r="D12" s="53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6" t="s">
        <v>255</v>
      </c>
      <c r="C13" s="536"/>
      <c r="D13" s="536"/>
      <c r="F13" s="538" t="s">
        <v>261</v>
      </c>
      <c r="G13" s="550"/>
      <c r="H13" s="550"/>
      <c r="I13" s="550"/>
      <c r="J13" s="550"/>
      <c r="K13" s="550"/>
      <c r="L13" s="539"/>
      <c r="N13" s="538" t="s">
        <v>262</v>
      </c>
      <c r="O13" s="550"/>
      <c r="P13" s="550"/>
      <c r="Q13" s="550"/>
      <c r="R13" s="550"/>
      <c r="S13" s="550"/>
      <c r="T13" s="539"/>
      <c r="V13" s="537" t="s">
        <v>250</v>
      </c>
      <c r="W13" s="608" t="s">
        <v>620</v>
      </c>
      <c r="X13" s="609" t="s">
        <v>621</v>
      </c>
      <c r="Y13" s="537" t="s">
        <v>312</v>
      </c>
      <c r="Z13" s="608" t="s">
        <v>630</v>
      </c>
      <c r="AA13" s="609" t="s">
        <v>631</v>
      </c>
    </row>
    <row r="14" spans="1:27" ht="55.5" customHeight="1" x14ac:dyDescent="0.35">
      <c r="B14" s="536"/>
      <c r="C14" s="536"/>
      <c r="D14" s="53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7"/>
      <c r="W14" s="608"/>
      <c r="X14" s="609"/>
      <c r="Y14" s="537"/>
      <c r="Z14" s="608"/>
      <c r="AA14" s="609"/>
    </row>
    <row r="15" spans="1:27" x14ac:dyDescent="0.35">
      <c r="A15" s="24">
        <v>1</v>
      </c>
      <c r="B15" s="543" t="str">
        <f>IF('As-Filed Schedule 2M'!B15:D15=0,"",'As-Filed Schedule 2M'!B15:D15)</f>
        <v/>
      </c>
      <c r="C15" s="543"/>
      <c r="D15" s="543"/>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43" t="str">
        <f>IF('As-Filed Schedule 2M'!B16:D16=0,"",'As-Filed Schedule 2M'!B16:D16)</f>
        <v/>
      </c>
      <c r="C16" s="543"/>
      <c r="D16" s="543"/>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43" t="str">
        <f>IF('As-Filed Schedule 2M'!B17:D17=0,"",'As-Filed Schedule 2M'!B17:D17)</f>
        <v/>
      </c>
      <c r="C17" s="543"/>
      <c r="D17" s="543"/>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43" t="str">
        <f>IF('As-Filed Schedule 2M'!B18:D18=0,"",'As-Filed Schedule 2M'!B18:D18)</f>
        <v/>
      </c>
      <c r="C18" s="543"/>
      <c r="D18" s="543"/>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43" t="str">
        <f>IF('As-Filed Schedule 2M'!B19:D19=0,"",'As-Filed Schedule 2M'!B19:D19)</f>
        <v/>
      </c>
      <c r="C19" s="543"/>
      <c r="D19" s="543"/>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43" t="str">
        <f>IF('As-Filed Schedule 2M'!B20:D20=0,"",'As-Filed Schedule 2M'!B20:D20)</f>
        <v/>
      </c>
      <c r="C20" s="543"/>
      <c r="D20" s="543"/>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43" t="str">
        <f>IF('As-Filed Schedule 2M'!B21:D21=0,"",'As-Filed Schedule 2M'!B21:D21)</f>
        <v/>
      </c>
      <c r="C21" s="543"/>
      <c r="D21" s="543"/>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43" t="str">
        <f>IF('As-Filed Schedule 2M'!B22:D22=0,"",'As-Filed Schedule 2M'!B22:D22)</f>
        <v/>
      </c>
      <c r="C22" s="543"/>
      <c r="D22" s="543"/>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43" t="str">
        <f>IF('As-Filed Schedule 2M'!B23:D23=0,"",'As-Filed Schedule 2M'!B23:D23)</f>
        <v/>
      </c>
      <c r="C23" s="543"/>
      <c r="D23" s="543"/>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43" t="str">
        <f>IF('As-Filed Schedule 2M'!B24:D24=0,"",'As-Filed Schedule 2M'!B24:D24)</f>
        <v/>
      </c>
      <c r="C24" s="543"/>
      <c r="D24" s="543"/>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43" t="str">
        <f>IF('As-Filed Schedule 2M'!B25:D25=0,"",'As-Filed Schedule 2M'!B25:D25)</f>
        <v/>
      </c>
      <c r="C25" s="543"/>
      <c r="D25" s="543"/>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43" t="str">
        <f>IF('As-Filed Schedule 2M'!B26:D26=0,"",'As-Filed Schedule 2M'!B26:D26)</f>
        <v/>
      </c>
      <c r="C26" s="543"/>
      <c r="D26" s="543"/>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43" t="str">
        <f>IF('As-Filed Schedule 2M'!B27:D27=0,"",'As-Filed Schedule 2M'!B27:D27)</f>
        <v/>
      </c>
      <c r="C27" s="543"/>
      <c r="D27" s="543"/>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43" t="str">
        <f>IF('As-Filed Schedule 2M'!B28:D28=0,"",'As-Filed Schedule 2M'!B28:D28)</f>
        <v/>
      </c>
      <c r="C28" s="543"/>
      <c r="D28" s="543"/>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43" t="str">
        <f>IF('As-Filed Schedule 2M'!B29:D29=0,"",'As-Filed Schedule 2M'!B29:D29)</f>
        <v/>
      </c>
      <c r="C29" s="543"/>
      <c r="D29" s="543"/>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43" t="str">
        <f>IF('As-Filed Schedule 2M'!B30:D30=0,"",'As-Filed Schedule 2M'!B30:D30)</f>
        <v/>
      </c>
      <c r="C30" s="543"/>
      <c r="D30" s="543"/>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43" t="str">
        <f>IF('As-Filed Schedule 2M'!B31:D31=0,"",'As-Filed Schedule 2M'!B31:D31)</f>
        <v/>
      </c>
      <c r="C31" s="543"/>
      <c r="D31" s="543"/>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43" t="str">
        <f>IF('As-Filed Schedule 2M'!B32:D32=0,"",'As-Filed Schedule 2M'!B32:D32)</f>
        <v/>
      </c>
      <c r="C32" s="543"/>
      <c r="D32" s="543"/>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43" t="str">
        <f>IF('As-Filed Schedule 2M'!B33:D33=0,"",'As-Filed Schedule 2M'!B33:D33)</f>
        <v/>
      </c>
      <c r="C33" s="543"/>
      <c r="D33" s="543"/>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43" t="str">
        <f>IF('As-Filed Schedule 2M'!B34:D34=0,"",'As-Filed Schedule 2M'!B34:D34)</f>
        <v/>
      </c>
      <c r="C34" s="543"/>
      <c r="D34" s="543"/>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43" t="str">
        <f>IF('As-Filed Schedule 2M'!B35:D35=0,"",'As-Filed Schedule 2M'!B35:D35)</f>
        <v/>
      </c>
      <c r="C35" s="543"/>
      <c r="D35" s="543"/>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43" t="str">
        <f>IF('As-Filed Schedule 2M'!B36:D36=0,"",'As-Filed Schedule 2M'!B36:D36)</f>
        <v/>
      </c>
      <c r="C36" s="543"/>
      <c r="D36" s="543"/>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43" t="str">
        <f>IF('As-Filed Schedule 2M'!B37:D37=0,"",'As-Filed Schedule 2M'!B37:D37)</f>
        <v/>
      </c>
      <c r="C37" s="543"/>
      <c r="D37" s="543"/>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43" t="str">
        <f>IF('As-Filed Schedule 2M'!B38:D38=0,"",'As-Filed Schedule 2M'!B38:D38)</f>
        <v/>
      </c>
      <c r="C38" s="543"/>
      <c r="D38" s="543"/>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43" t="str">
        <f>IF('As-Filed Schedule 2M'!B39:D39=0,"",'As-Filed Schedule 2M'!B39:D39)</f>
        <v/>
      </c>
      <c r="C39" s="543"/>
      <c r="D39" s="543"/>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43" t="str">
        <f>IF('As-Filed Schedule 2M'!B40:D40=0,"",'As-Filed Schedule 2M'!B40:D40)</f>
        <v/>
      </c>
      <c r="C40" s="543"/>
      <c r="D40" s="543"/>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43" t="str">
        <f>IF('As-Filed Schedule 2M'!B41:D41=0,"",'As-Filed Schedule 2M'!B41:D41)</f>
        <v/>
      </c>
      <c r="C41" s="543"/>
      <c r="D41" s="543"/>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43" t="str">
        <f>IF('As-Filed Schedule 2M'!B42:D42=0,"",'As-Filed Schedule 2M'!B42:D42)</f>
        <v/>
      </c>
      <c r="C42" s="543"/>
      <c r="D42" s="543"/>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43" t="str">
        <f>IF('As-Filed Schedule 2M'!B43:D43=0,"",'As-Filed Schedule 2M'!B43:D43)</f>
        <v/>
      </c>
      <c r="C43" s="543"/>
      <c r="D43" s="543"/>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43" t="str">
        <f>IF('As-Filed Schedule 2M'!B44:D44=0,"",'As-Filed Schedule 2M'!B44:D44)</f>
        <v/>
      </c>
      <c r="C44" s="543"/>
      <c r="D44" s="543"/>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43" t="str">
        <f>IF('As-Filed Schedule 2M'!B45:D45=0,"",'As-Filed Schedule 2M'!B45:D45)</f>
        <v/>
      </c>
      <c r="C45" s="543"/>
      <c r="D45" s="543"/>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43" t="str">
        <f>IF('As-Filed Schedule 2M'!B46:D46=0,"",'As-Filed Schedule 2M'!B46:D46)</f>
        <v/>
      </c>
      <c r="C46" s="543"/>
      <c r="D46" s="543"/>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43" t="str">
        <f>IF('As-Filed Schedule 2M'!B47:D47=0,"",'As-Filed Schedule 2M'!B47:D47)</f>
        <v/>
      </c>
      <c r="C47" s="543"/>
      <c r="D47" s="543"/>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43" t="str">
        <f>IF('As-Filed Schedule 2M'!B48:D48=0,"",'As-Filed Schedule 2M'!B48:D48)</f>
        <v/>
      </c>
      <c r="C48" s="543"/>
      <c r="D48" s="543"/>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43" t="str">
        <f>IF('As-Filed Schedule 2M'!B49:D49=0,"",'As-Filed Schedule 2M'!B49:D49)</f>
        <v/>
      </c>
      <c r="C49" s="543"/>
      <c r="D49" s="543"/>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43" t="str">
        <f>IF('As-Filed Schedule 2M'!B50:D50=0,"",'As-Filed Schedule 2M'!B50:D50)</f>
        <v/>
      </c>
      <c r="C50" s="543"/>
      <c r="D50" s="543"/>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43" t="str">
        <f>IF('As-Filed Schedule 2M'!B51:D51=0,"",'As-Filed Schedule 2M'!B51:D51)</f>
        <v/>
      </c>
      <c r="C51" s="543"/>
      <c r="D51" s="543"/>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43" t="str">
        <f>IF('As-Filed Schedule 2M'!B52:D52=0,"",'As-Filed Schedule 2M'!B52:D52)</f>
        <v/>
      </c>
      <c r="C52" s="543"/>
      <c r="D52" s="543"/>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43" t="str">
        <f>IF('As-Filed Schedule 2M'!B53:D53=0,"",'As-Filed Schedule 2M'!B53:D53)</f>
        <v/>
      </c>
      <c r="C53" s="543"/>
      <c r="D53" s="543"/>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43" t="str">
        <f>IF('As-Filed Schedule 2M'!B54:D54=0,"",'As-Filed Schedule 2M'!B54:D54)</f>
        <v/>
      </c>
      <c r="C54" s="543"/>
      <c r="D54" s="543"/>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43" t="str">
        <f>IF('As-Filed Schedule 2M'!B55:D55=0,"",'As-Filed Schedule 2M'!B55:D55)</f>
        <v/>
      </c>
      <c r="C55" s="543"/>
      <c r="D55" s="543"/>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43" t="str">
        <f>IF('As-Filed Schedule 2M'!B56:D56=0,"",'As-Filed Schedule 2M'!B56:D56)</f>
        <v/>
      </c>
      <c r="C56" s="543"/>
      <c r="D56" s="543"/>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43" t="str">
        <f>IF('As-Filed Schedule 2M'!B57:D57=0,"",'As-Filed Schedule 2M'!B57:D57)</f>
        <v/>
      </c>
      <c r="C57" s="543"/>
      <c r="D57" s="543"/>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43" t="str">
        <f>IF('As-Filed Schedule 2M'!B58:D58=0,"",'As-Filed Schedule 2M'!B58:D58)</f>
        <v/>
      </c>
      <c r="C58" s="543"/>
      <c r="D58" s="543"/>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43" t="str">
        <f>IF('As-Filed Schedule 2M'!B59:D59=0,"",'As-Filed Schedule 2M'!B59:D59)</f>
        <v/>
      </c>
      <c r="C59" s="543"/>
      <c r="D59" s="543"/>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43" t="str">
        <f>IF('As-Filed Schedule 2M'!B60:D60=0,"",'As-Filed Schedule 2M'!B60:D60)</f>
        <v/>
      </c>
      <c r="C60" s="543"/>
      <c r="D60" s="543"/>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43" t="str">
        <f>IF('As-Filed Schedule 2M'!B61:D61=0,"",'As-Filed Schedule 2M'!B61:D61)</f>
        <v/>
      </c>
      <c r="C61" s="543"/>
      <c r="D61" s="543"/>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43" t="str">
        <f>IF('As-Filed Schedule 2M'!B62:D62=0,"",'As-Filed Schedule 2M'!B62:D62)</f>
        <v/>
      </c>
      <c r="C62" s="543"/>
      <c r="D62" s="543"/>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43" t="str">
        <f>IF('As-Filed Schedule 2M'!B63:D63=0,"",'As-Filed Schedule 2M'!B63:D63)</f>
        <v/>
      </c>
      <c r="C63" s="543"/>
      <c r="D63" s="543"/>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43" t="str">
        <f>IF('As-Filed Schedule 2M'!B64:D64=0,"",'As-Filed Schedule 2M'!B64:D64)</f>
        <v/>
      </c>
      <c r="C64" s="543"/>
      <c r="D64" s="543"/>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43" t="str">
        <f>IF('As-Filed Schedule 2M'!B65:D65=0,"",'As-Filed Schedule 2M'!B65:D65)</f>
        <v/>
      </c>
      <c r="C65" s="543"/>
      <c r="D65" s="543"/>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43" t="str">
        <f>IF('As-Filed Schedule 2M'!B66:D66=0,"",'As-Filed Schedule 2M'!B66:D66)</f>
        <v/>
      </c>
      <c r="C66" s="543"/>
      <c r="D66" s="543"/>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43" t="str">
        <f>IF('As-Filed Schedule 2M'!B67:D67=0,"",'As-Filed Schedule 2M'!B67:D67)</f>
        <v/>
      </c>
      <c r="C67" s="543"/>
      <c r="D67" s="543"/>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43" t="str">
        <f>IF('As-Filed Schedule 2M'!B68:D68=0,"",'As-Filed Schedule 2M'!B68:D68)</f>
        <v/>
      </c>
      <c r="C68" s="543"/>
      <c r="D68" s="543"/>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43" t="str">
        <f>IF('As-Filed Schedule 2M'!B69:D69=0,"",'As-Filed Schedule 2M'!B69:D69)</f>
        <v/>
      </c>
      <c r="C69" s="543"/>
      <c r="D69" s="543"/>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43" t="str">
        <f>IF('As-Filed Schedule 2M'!B70:D70=0,"",'As-Filed Schedule 2M'!B70:D70)</f>
        <v/>
      </c>
      <c r="C70" s="543"/>
      <c r="D70" s="543"/>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43" t="str">
        <f>IF('As-Filed Schedule 2M'!B71:D71=0,"",'As-Filed Schedule 2M'!B71:D71)</f>
        <v/>
      </c>
      <c r="C71" s="543"/>
      <c r="D71" s="543"/>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43" t="str">
        <f>IF('As-Filed Schedule 2M'!B72:D72=0,"",'As-Filed Schedule 2M'!B72:D72)</f>
        <v/>
      </c>
      <c r="C72" s="543"/>
      <c r="D72" s="543"/>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5"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Eagle Valley Behavioral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31" t="s">
        <v>480</v>
      </c>
      <c r="B9" s="531"/>
      <c r="C9" s="531"/>
      <c r="D9" s="531"/>
      <c r="E9" s="531"/>
      <c r="F9" s="531"/>
      <c r="G9" s="531"/>
      <c r="H9" s="531"/>
      <c r="I9" s="531"/>
      <c r="J9" s="531"/>
      <c r="K9" s="531"/>
      <c r="L9" s="343"/>
      <c r="M9" s="338"/>
      <c r="N9" s="100"/>
      <c r="AE9" s="40"/>
      <c r="AF9" s="40"/>
      <c r="AG9" s="40"/>
    </row>
    <row r="10" spans="1:33" x14ac:dyDescent="0.35">
      <c r="A10" s="531"/>
      <c r="B10" s="531"/>
      <c r="C10" s="531"/>
      <c r="D10" s="531"/>
      <c r="E10" s="531"/>
      <c r="F10" s="531"/>
      <c r="G10" s="531"/>
      <c r="H10" s="531"/>
      <c r="I10" s="531"/>
      <c r="J10" s="531"/>
      <c r="K10" s="531"/>
      <c r="L10" s="343"/>
      <c r="M10" s="338"/>
      <c r="N10" s="100"/>
      <c r="AE10" s="40"/>
      <c r="AF10" s="40"/>
      <c r="AG10" s="40"/>
    </row>
    <row r="11" spans="1:33" x14ac:dyDescent="0.35">
      <c r="A11" s="531"/>
      <c r="B11" s="531"/>
      <c r="C11" s="531"/>
      <c r="D11" s="531"/>
      <c r="E11" s="531"/>
      <c r="F11" s="531"/>
      <c r="G11" s="531"/>
      <c r="H11" s="531"/>
      <c r="I11" s="531"/>
      <c r="J11" s="531"/>
      <c r="K11" s="531"/>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26">
        <v>1</v>
      </c>
      <c r="C13" s="527"/>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56" t="s">
        <v>632</v>
      </c>
      <c r="C14" s="557"/>
      <c r="D14" s="560" t="s">
        <v>633</v>
      </c>
      <c r="E14" s="560" t="s">
        <v>634</v>
      </c>
      <c r="F14" s="560" t="s">
        <v>635</v>
      </c>
      <c r="G14" s="562" t="s">
        <v>636</v>
      </c>
      <c r="H14" s="562" t="s">
        <v>637</v>
      </c>
      <c r="I14" s="208"/>
      <c r="J14" s="208"/>
      <c r="K14" s="560" t="s">
        <v>160</v>
      </c>
      <c r="L14" s="604" t="s">
        <v>639</v>
      </c>
      <c r="M14" s="606" t="s">
        <v>640</v>
      </c>
      <c r="N14" s="560" t="s">
        <v>161</v>
      </c>
      <c r="O14" s="606" t="s">
        <v>641</v>
      </c>
      <c r="P14" s="538" t="s">
        <v>168</v>
      </c>
      <c r="Q14" s="550"/>
      <c r="R14" s="550"/>
      <c r="S14" s="550"/>
      <c r="T14" s="539"/>
      <c r="U14" s="538" t="s">
        <v>34</v>
      </c>
      <c r="V14" s="550"/>
      <c r="W14" s="550"/>
      <c r="X14" s="550"/>
      <c r="Y14" s="539"/>
      <c r="Z14" s="538" t="s">
        <v>169</v>
      </c>
      <c r="AA14" s="550"/>
      <c r="AB14" s="550"/>
      <c r="AC14" s="550"/>
    </row>
    <row r="15" spans="1:33" ht="60" customHeight="1" x14ac:dyDescent="0.35">
      <c r="A15" s="100"/>
      <c r="B15" s="558"/>
      <c r="C15" s="559"/>
      <c r="D15" s="561"/>
      <c r="E15" s="561"/>
      <c r="F15" s="561"/>
      <c r="G15" s="563"/>
      <c r="H15" s="563"/>
      <c r="I15" s="209" t="s">
        <v>454</v>
      </c>
      <c r="J15" s="209" t="s">
        <v>638</v>
      </c>
      <c r="K15" s="561"/>
      <c r="L15" s="605"/>
      <c r="M15" s="607"/>
      <c r="N15" s="561"/>
      <c r="O15" s="607"/>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54" t="str">
        <f>'As-Filed Schedule 3'!B17:C17</f>
        <v>Precourt Healing Center (PHC)</v>
      </c>
      <c r="C17" s="555"/>
      <c r="D17" s="365" t="str">
        <f>'As-Filed Schedule 3'!D17</f>
        <v>Inpatient Hospital</v>
      </c>
      <c r="E17" s="365">
        <f>'As-Filed Schedule 3'!E17</f>
        <v>0</v>
      </c>
      <c r="F17" s="364">
        <f>'As-Filed Schedule 3'!F17</f>
        <v>28</v>
      </c>
      <c r="G17" s="363">
        <f>'As-Filed Schedule 3'!G17</f>
        <v>45781</v>
      </c>
      <c r="H17" s="363">
        <f>'As-Filed Schedule 3'!H17</f>
        <v>0</v>
      </c>
      <c r="I17" s="213">
        <f>IF(B17=0,"",IF(AND(G17=0,H17=0),365,IF(AND(G17&gt;0,H17=0),$C$6-G17+1,IF(AND(G17=0,H17&gt;0),H17-($C$6-365),H17-G17+1))))</f>
        <v>-307</v>
      </c>
      <c r="J17" s="98"/>
      <c r="K17" s="414">
        <f>SUM(K18:K20)</f>
        <v>0</v>
      </c>
      <c r="L17" s="416">
        <f>SUM(L18:L20)</f>
        <v>0</v>
      </c>
      <c r="M17" s="418">
        <f>SUM(M18:M20)</f>
        <v>0</v>
      </c>
      <c r="N17" s="215" t="str">
        <f>IF(K17&gt;0,K17/(F17*I17),"")</f>
        <v/>
      </c>
      <c r="O17" s="346" t="str">
        <f>IF(M17&gt;0,M17/(F17*I17),"")</f>
        <v/>
      </c>
      <c r="P17" s="126">
        <f>'As-Filed Schedule 3'!M17</f>
        <v>374224.83969920815</v>
      </c>
      <c r="Q17" s="349">
        <f>SUMIFS(Adjustments!$G:$G,Adjustments!$H:$H,"3",Adjustments!$I:$I,'Schedule 3 Adjustments'!$P$13,Adjustments!$J:$J,$A17)</f>
        <v>-75557.947112226218</v>
      </c>
      <c r="R17" s="353">
        <f>SUM(P17:Q17)</f>
        <v>298666.89258698194</v>
      </c>
      <c r="S17" s="85" t="str">
        <f>IFERROR(P17/K17,"")</f>
        <v/>
      </c>
      <c r="T17" s="357" t="str">
        <f>IFERROR(R17/M17,"")</f>
        <v/>
      </c>
      <c r="U17" s="126">
        <f>'As-Filed Schedule 3'!O17</f>
        <v>0</v>
      </c>
      <c r="V17" s="349">
        <f>SUMIFS(Adjustments!$G:$G,Adjustments!$H:$H,"3",Adjustments!$I:$I,'Schedule 3 Adjustments'!$U$13,Adjustments!$J:$J,$A17)</f>
        <v>0</v>
      </c>
      <c r="W17" s="353">
        <f>SUM(U17:V17)</f>
        <v>0</v>
      </c>
      <c r="X17" s="85" t="str">
        <f>IFERROR(U17/K17,"")</f>
        <v/>
      </c>
      <c r="Y17" s="85" t="str">
        <f>IFERROR(W17/M17,"")</f>
        <v/>
      </c>
      <c r="Z17" s="85">
        <f>IF(P17=0,"",P17-U17)</f>
        <v>374224.83969920815</v>
      </c>
      <c r="AA17" s="85">
        <f>IF(R17=0,"",R17-W17)</f>
        <v>298666.89258698194</v>
      </c>
      <c r="AB17" s="85" t="str">
        <f>IFERROR(Z17/K17,"")</f>
        <v/>
      </c>
      <c r="AC17" s="357" t="str">
        <f>IFERROR(AA17/M17,"")</f>
        <v/>
      </c>
    </row>
    <row r="18" spans="1:29" x14ac:dyDescent="0.35">
      <c r="A18" s="216" t="s">
        <v>447</v>
      </c>
      <c r="B18" s="217"/>
      <c r="C18" s="217"/>
      <c r="D18" s="217"/>
      <c r="E18" s="217"/>
      <c r="F18" s="218"/>
      <c r="G18" s="219"/>
      <c r="H18" s="219"/>
      <c r="I18" s="220"/>
      <c r="J18" s="369">
        <f>'As-Filed Schedule 3'!J18</f>
        <v>0</v>
      </c>
      <c r="K18" s="415">
        <f>'As-Filed Schedule 3'!K18</f>
        <v>0</v>
      </c>
      <c r="L18" s="417">
        <f>SUMIFS(Adjustments!$G:$G,Adjustments!$H:$H,"3",Adjustments!$I:$I,'Schedule 3 Adjustments'!$K$13,Adjustments!$J:$J,"1a")</f>
        <v>0</v>
      </c>
      <c r="M18" s="419">
        <f>SUM(K18:L18)</f>
        <v>0</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54">
        <f>'As-Filed Schedule 3'!B22:C22</f>
        <v>0</v>
      </c>
      <c r="C22" s="555"/>
      <c r="D22" s="365">
        <f>'As-Filed Schedule 3'!D22</f>
        <v>0</v>
      </c>
      <c r="E22" s="365">
        <f>'As-Filed Schedule 3'!E22</f>
        <v>0</v>
      </c>
      <c r="F22" s="364">
        <f>'As-Filed Schedule 3'!F22</f>
        <v>0</v>
      </c>
      <c r="G22" s="363">
        <f>'As-Filed Schedule 3'!G22</f>
        <v>0</v>
      </c>
      <c r="H22" s="363">
        <f>'As-Filed Schedule 3'!H22</f>
        <v>0</v>
      </c>
      <c r="I22" s="139" t="str">
        <f>IF(B22=0,"",IF(AND(G22=0,H22=0),365,IF(AND(G22&gt;0,H22=0),$C$6-G22+1,IF(AND(G22=0,H22&gt;0),H22-($C$6-365),H22-G22+1))))</f>
        <v/>
      </c>
      <c r="J22" s="98"/>
      <c r="K22" s="414">
        <f>SUM(K23:K25)</f>
        <v>0</v>
      </c>
      <c r="L22" s="416">
        <f>SUM(L23:L25)</f>
        <v>0</v>
      </c>
      <c r="M22" s="418">
        <f>SUM(M23:M25)</f>
        <v>0</v>
      </c>
      <c r="N22" s="91" t="str">
        <f>IF(K22&gt;0,K22/(F22*I22),"")</f>
        <v/>
      </c>
      <c r="O22" s="346" t="str">
        <f>IF(M22&gt;0,M22/(F22*I22),"")</f>
        <v/>
      </c>
      <c r="P22" s="126">
        <f>'As-Filed Schedule 3'!M22</f>
        <v>0</v>
      </c>
      <c r="Q22" s="349">
        <f>SUMIFS(Adjustments!$G:$G,Adjustments!$H:$H,"3",Adjustments!$I:$I,'Schedule 3 Adjustments'!$P$13,Adjustments!$J:$J,$A22)</f>
        <v>0</v>
      </c>
      <c r="R22" s="353">
        <f>SUM(P22:Q22)</f>
        <v>0</v>
      </c>
      <c r="S22" s="85" t="str">
        <f>IFERROR(P22/K22,"")</f>
        <v/>
      </c>
      <c r="T22" s="357" t="str">
        <f>IFERROR(R22/M22,"")</f>
        <v/>
      </c>
      <c r="U22" s="126">
        <f>'As-Filed Schedule 3'!O22</f>
        <v>0</v>
      </c>
      <c r="V22" s="349">
        <f>SUMIFS(Adjustments!$G:$G,Adjustments!$H:$H,"3",Adjustments!$I:$I,'Schedule 3 Adjustments'!$U$13,Adjustments!$J:$J,$A22)</f>
        <v>0</v>
      </c>
      <c r="W22" s="353">
        <f>SUM(U22:V22)</f>
        <v>0</v>
      </c>
      <c r="X22" s="85" t="str">
        <f>IFERROR(U22/K22,"")</f>
        <v/>
      </c>
      <c r="Y22" s="85" t="str">
        <f>IFERROR(W22/M22,"")</f>
        <v/>
      </c>
      <c r="Z22" s="86" t="str">
        <f>IF(P22=0,"",P22-U22)</f>
        <v/>
      </c>
      <c r="AA22" s="359" t="str">
        <f>IF(R22=0,"",R22-W22)</f>
        <v/>
      </c>
      <c r="AB22" s="85" t="str">
        <f>IFERROR(Z22/K22,"")</f>
        <v/>
      </c>
      <c r="AC22" s="357" t="str">
        <f>IFERROR(AA22/M22,"")</f>
        <v/>
      </c>
    </row>
    <row r="23" spans="1:29" x14ac:dyDescent="0.35">
      <c r="A23" s="101" t="s">
        <v>447</v>
      </c>
      <c r="B23" s="87"/>
      <c r="C23" s="87"/>
      <c r="D23" s="87"/>
      <c r="E23" s="87"/>
      <c r="F23" s="132"/>
      <c r="G23" s="135"/>
      <c r="H23" s="135"/>
      <c r="I23" s="104"/>
      <c r="J23" s="369">
        <f>'As-Filed Schedule 3'!J23</f>
        <v>0</v>
      </c>
      <c r="K23" s="415">
        <f>'As-Filed Schedule 3'!K23</f>
        <v>0</v>
      </c>
      <c r="L23" s="417">
        <f>SUMIFS(Adjustments!$G:$G,Adjustments!$H:$H,"3",Adjustments!$I:$I,'Schedule 3 Adjustments'!$K$13,Adjustments!$J:$J,"2a")</f>
        <v>0</v>
      </c>
      <c r="M23" s="419">
        <f>SUM(K23:L23)</f>
        <v>0</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54">
        <f>'As-Filed Schedule 3'!B27:C27</f>
        <v>0</v>
      </c>
      <c r="C27" s="555"/>
      <c r="D27" s="365">
        <f>'As-Filed Schedule 3'!D27</f>
        <v>0</v>
      </c>
      <c r="E27" s="365">
        <f>'As-Filed Schedule 3'!E27</f>
        <v>0</v>
      </c>
      <c r="F27" s="364">
        <f>'As-Filed Schedule 3'!F27</f>
        <v>0</v>
      </c>
      <c r="G27" s="363">
        <f>'As-Filed Schedule 3'!G27</f>
        <v>0</v>
      </c>
      <c r="H27" s="363">
        <f>'As-Filed Schedule 3'!H27</f>
        <v>0</v>
      </c>
      <c r="I27" s="139" t="str">
        <f>IF(B27=0,"",IF(AND(G27=0,H27=0),365,IF(AND(G27&gt;0,H27=0),$C$6-G27+1,IF(AND(G27=0,H27&gt;0),H27-($C$6-365),H27-G27+1))))</f>
        <v/>
      </c>
      <c r="J27" s="98"/>
      <c r="K27" s="414">
        <f>SUM(K28:K30)</f>
        <v>0</v>
      </c>
      <c r="L27" s="416">
        <f>SUM(L28:L30)</f>
        <v>0</v>
      </c>
      <c r="M27" s="418">
        <f>SUM(M28:M30)</f>
        <v>0</v>
      </c>
      <c r="N27" s="91" t="str">
        <f>IF(K27&gt;0,K27/(F27*I27),"")</f>
        <v/>
      </c>
      <c r="O27" s="346" t="str">
        <f>IF(M27&gt;0,M27/(F27*I27),"")</f>
        <v/>
      </c>
      <c r="P27" s="126">
        <f>'As-Filed Schedule 3'!M27</f>
        <v>0</v>
      </c>
      <c r="Q27" s="349">
        <f>SUMIFS(Adjustments!$G:$G,Adjustments!$H:$H,"3",Adjustments!$I:$I,'Schedule 3 Adjustments'!$P$13,Adjustments!$J:$J,'As-Filed Schedule 3'!A27)</f>
        <v>0</v>
      </c>
      <c r="R27" s="353">
        <f>SUM(P27:Q27)</f>
        <v>0</v>
      </c>
      <c r="S27" s="85" t="str">
        <f>IFERROR(P27/K27,"")</f>
        <v/>
      </c>
      <c r="T27" s="357" t="str">
        <f>IFERROR(R27/M27,"")</f>
        <v/>
      </c>
      <c r="U27" s="126">
        <f>'As-Filed Schedule 3'!O27</f>
        <v>0</v>
      </c>
      <c r="V27" s="349">
        <f>SUMIFS(Adjustments!$G:$G,Adjustments!$H:$H,"3",Adjustments!$I:$I,'Schedule 3 Adjustments'!$U$13,Adjustments!$J:$J,$A27)</f>
        <v>0</v>
      </c>
      <c r="W27" s="353">
        <f>SUM(U27:V27)</f>
        <v>0</v>
      </c>
      <c r="X27" s="85" t="str">
        <f>IFERROR(U27/K27,"")</f>
        <v/>
      </c>
      <c r="Y27" s="85" t="str">
        <f>IFERROR(W27/M27,"")</f>
        <v/>
      </c>
      <c r="Z27" s="86" t="str">
        <f>IF(P27=0,"",P27-U27)</f>
        <v/>
      </c>
      <c r="AA27" s="359" t="str">
        <f>IF(R27=0,"",R27-W27)</f>
        <v/>
      </c>
      <c r="AB27" s="85" t="str">
        <f>IFERROR(Z27/K27,"")</f>
        <v/>
      </c>
      <c r="AC27" s="357" t="str">
        <f>IFERROR(AA27/M27,"")</f>
        <v/>
      </c>
    </row>
    <row r="28" spans="1:29" x14ac:dyDescent="0.35">
      <c r="A28" s="101" t="s">
        <v>447</v>
      </c>
      <c r="B28" s="87"/>
      <c r="C28" s="87"/>
      <c r="D28" s="87"/>
      <c r="E28" s="87"/>
      <c r="F28" s="132"/>
      <c r="G28" s="135"/>
      <c r="H28" s="135"/>
      <c r="I28" s="104"/>
      <c r="J28" s="369">
        <f>'As-Filed Schedule 3'!J28</f>
        <v>0</v>
      </c>
      <c r="K28" s="415">
        <f>'As-Filed Schedule 3'!K28</f>
        <v>0</v>
      </c>
      <c r="L28" s="417">
        <f>SUMIFS(Adjustments!$G:$G,Adjustments!$H:$H,"3",Adjustments!$I:$I,'Schedule 3 Adjustments'!$K$13,Adjustments!$J:$J,"3a")</f>
        <v>0</v>
      </c>
      <c r="M28" s="419">
        <f>SUM(K28:L28)</f>
        <v>0</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54">
        <f>'As-Filed Schedule 3'!B32:C32</f>
        <v>0</v>
      </c>
      <c r="C32" s="555"/>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447</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54">
        <f>'As-Filed Schedule 3'!B37:C37</f>
        <v>0</v>
      </c>
      <c r="C37" s="555"/>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447</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54">
        <f>'As-Filed Schedule 3'!B42:C42</f>
        <v>0</v>
      </c>
      <c r="C42" s="555"/>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447</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54">
        <f>'As-Filed Schedule 3'!B47:C47</f>
        <v>0</v>
      </c>
      <c r="C47" s="555"/>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54">
        <f>'As-Filed Schedule 3'!B52:C52</f>
        <v>0</v>
      </c>
      <c r="C52" s="555"/>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54">
        <f>'As-Filed Schedule 3'!B57:C57</f>
        <v>0</v>
      </c>
      <c r="C57" s="555"/>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54">
        <f>'As-Filed Schedule 3'!B62:C62</f>
        <v>0</v>
      </c>
      <c r="C62" s="555"/>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54">
        <f>'As-Filed Schedule 3'!B67:C67</f>
        <v>0</v>
      </c>
      <c r="C67" s="555"/>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54">
        <f>'As-Filed Schedule 3'!B72:C72</f>
        <v>0</v>
      </c>
      <c r="C72" s="555"/>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54">
        <f>'As-Filed Schedule 3'!B77:C77</f>
        <v>0</v>
      </c>
      <c r="C77" s="555"/>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54">
        <f>'As-Filed Schedule 3'!B82:C82</f>
        <v>0</v>
      </c>
      <c r="C82" s="555"/>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54">
        <f>'As-Filed Schedule 3'!B87:C87</f>
        <v>0</v>
      </c>
      <c r="C87" s="555"/>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54">
        <f>'As-Filed Schedule 3'!B92:C92</f>
        <v>0</v>
      </c>
      <c r="C92" s="555"/>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54">
        <f>'As-Filed Schedule 3'!B97:C97</f>
        <v>0</v>
      </c>
      <c r="C97" s="555"/>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54">
        <f>'As-Filed Schedule 3'!B102:C102</f>
        <v>0</v>
      </c>
      <c r="C102" s="555"/>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54">
        <f>'As-Filed Schedule 3'!B107:C107</f>
        <v>0</v>
      </c>
      <c r="C107" s="555"/>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54">
        <f>'As-Filed Schedule 3'!B112:C112</f>
        <v>0</v>
      </c>
      <c r="C112" s="555"/>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54">
        <f>'As-Filed Schedule 3'!B117:C117</f>
        <v>0</v>
      </c>
      <c r="C117" s="555"/>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54">
        <f>'As-Filed Schedule 3'!B122:C122</f>
        <v>0</v>
      </c>
      <c r="C122" s="555"/>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54">
        <f>'As-Filed Schedule 3'!B127:C127</f>
        <v>0</v>
      </c>
      <c r="C127" s="555"/>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54">
        <f>'As-Filed Schedule 3'!B132:C132</f>
        <v>0</v>
      </c>
      <c r="C132" s="555"/>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54">
        <f>'As-Filed Schedule 3'!B137:C137</f>
        <v>0</v>
      </c>
      <c r="C137" s="555"/>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54">
        <f>'As-Filed Schedule 3'!B142:C142</f>
        <v>0</v>
      </c>
      <c r="C142" s="555"/>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54">
        <f>'As-Filed Schedule 3'!B147:C147</f>
        <v>0</v>
      </c>
      <c r="C147" s="555"/>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54">
        <f>'As-Filed Schedule 3'!B152:C152</f>
        <v>0</v>
      </c>
      <c r="C152" s="555"/>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54">
        <f>'As-Filed Schedule 3'!B157:C157</f>
        <v>0</v>
      </c>
      <c r="C157" s="555"/>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54">
        <f>'As-Filed Schedule 3'!B162:C162</f>
        <v>0</v>
      </c>
      <c r="C162" s="555"/>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64" t="s">
        <v>173</v>
      </c>
      <c r="C167" s="564"/>
      <c r="D167" s="564"/>
      <c r="E167" s="564"/>
      <c r="F167" s="27">
        <f>F162+F157+F152+F147+F142+F137+F132+F127+F122+F117+F112+F107+F102+F97+F92+F87+F82+F77+F72+F67+F62+F57+F52+F47+F42+F37+F32+F27+F22+F17</f>
        <v>28</v>
      </c>
      <c r="G167" s="32"/>
      <c r="H167" s="32"/>
      <c r="I167" s="32"/>
      <c r="J167" s="32"/>
      <c r="K167" s="27">
        <f>K162+K157+K152+K147+K142+K137+K132+K127+K122+K117+K112+K107+K102+K97+K92+K87+K82+K77+K72+K67+K62+K57+K52+K47+K42+K37+K32+K27+K22+K17</f>
        <v>0</v>
      </c>
      <c r="L167" s="345">
        <f>L162+L157+L152+L147+L142+L137+L132+L127+L122+L117+L112+L107+L102+L97+L92+L87+L82+L77+L72+L67+L62+L57+L52+L47+L42+L37+L32+L27+L22+L17</f>
        <v>0</v>
      </c>
      <c r="M167" s="339">
        <f>M162+M157+M152+M147+M142+M137+M132+M127+M122+M117+M112+M107+M102+M97+M92+M87+M82+M77+M72+M67+M62+M57+M52+M47+M42+M37+M32+M27+M22+M17</f>
        <v>0</v>
      </c>
      <c r="N167" s="29" t="str">
        <f>IF(K167&gt;0,K167/(F167*365),"")</f>
        <v/>
      </c>
      <c r="O167" s="348" t="str">
        <f>IF(M167&gt;0,M167/(F167*365),"")</f>
        <v/>
      </c>
      <c r="P167" s="27">
        <f>P162+P157+P152+P147+P142+P137+P132+P127+P122+P117+P112+P107+P102+P97+P92+P87+P82+P77+P72+P67+P62+P57+P52+P47+P42+P37+P32+P27+P22+P17</f>
        <v>374224.83969920815</v>
      </c>
      <c r="Q167" s="345">
        <f>Q162+Q157+Q152+Q147+Q142+Q137+Q132+Q127+Q122+Q117+Q112+Q107+Q102+Q97+Q92+Q87+Q82+Q77+Q72+Q67+Q62+Q57+Q52+Q47+Q42+Q37+Q32+Q27+Q22+Q17</f>
        <v>-75557.947112226218</v>
      </c>
      <c r="R167" s="339">
        <f>R162+R157+R152+R147+R142+R137+R132+R127+R122+R117+R112+R107+R102+R97+R92+R87+R82+R77+R72+R67+R62+R57+R52+R47+R42+R37+R32+R27+R22+R17</f>
        <v>298666.89258698194</v>
      </c>
      <c r="S167" s="17" t="str">
        <f>IFERROR(P167/K167,"")</f>
        <v/>
      </c>
      <c r="T167" s="358" t="str">
        <f>IFERROR(R167/M167,"")</f>
        <v/>
      </c>
      <c r="U167" s="27">
        <f>U162+U157+U152+U147+U142+U137+U132+U127+U122+U117+U112+U107+U102+U97+U92+U87+U82+U77+U72+U67+U62+U57+U52+U47+U42+U37+U32+U27+U22+U17</f>
        <v>0</v>
      </c>
      <c r="V167" s="345">
        <f>V162+V157+V152+V147+V142+V137+V132+V127+V122+V117+V112+V107+V102+V97+V92+V87+V82+V77+V72+V67+V62+V57+V52+V47+V42+V37+V32+V27+V22+V17</f>
        <v>0</v>
      </c>
      <c r="W167" s="339">
        <f>W162+W157+W152+W147+W142+W137+W132+W127+W122+W117+W112+W107+W102+W97+W92+W87+W82+W77+W72+W67+W62+W57+W52+W47+W42+W37+W32+W27+W22+W17</f>
        <v>0</v>
      </c>
      <c r="X167" s="17" t="str">
        <f t="shared" ref="X167" si="0">IFERROR(U167/K167,"")</f>
        <v/>
      </c>
      <c r="Y167" s="358" t="str">
        <f>IFERROR(W167/M167,"")</f>
        <v/>
      </c>
      <c r="Z167" s="30">
        <f t="shared" ref="Z167" si="1">IF(P167=0,"",P167-U167)</f>
        <v>374224.83969920815</v>
      </c>
      <c r="AA167" s="360">
        <f>IF(R167=0,"",R167-W167)</f>
        <v>298666.89258698194</v>
      </c>
      <c r="AB167" s="17" t="str">
        <f>IFERROR(Z167/K167,"")</f>
        <v/>
      </c>
      <c r="AC167" s="358" t="str">
        <f>IFERROR(AA167/M167,"")</f>
        <v/>
      </c>
    </row>
    <row r="169" spans="1:29" x14ac:dyDescent="0.35">
      <c r="A169" s="19">
        <v>32</v>
      </c>
      <c r="O169" s="37" t="s">
        <v>199</v>
      </c>
      <c r="P169" s="39">
        <f>'As-Filed Schedule 1'!G91</f>
        <v>214656.93402367301</v>
      </c>
      <c r="Q169"/>
      <c r="R169" s="311">
        <f>'Schedule 1 Adjustments'!O92</f>
        <v>214656.93402367301</v>
      </c>
    </row>
    <row r="170" spans="1:29" x14ac:dyDescent="0.35">
      <c r="A170" s="19">
        <v>33</v>
      </c>
      <c r="O170" s="37" t="s">
        <v>186</v>
      </c>
      <c r="P170" s="39">
        <f>'As-Filed Schedule 1'!G93</f>
        <v>159567.90567553512</v>
      </c>
      <c r="Q170"/>
      <c r="R170" s="311">
        <f>'Schedule 1 Adjustments'!O94</f>
        <v>84009.958563308901</v>
      </c>
    </row>
    <row r="171" spans="1:29" x14ac:dyDescent="0.35">
      <c r="A171" s="19">
        <v>34</v>
      </c>
      <c r="O171" s="37" t="s">
        <v>200</v>
      </c>
      <c r="P171" s="18">
        <f>SUM(P169:P170)</f>
        <v>374224.83969920815</v>
      </c>
      <c r="Q171"/>
      <c r="R171" s="312">
        <f>SUM(R169:R170)</f>
        <v>298666.89258698188</v>
      </c>
    </row>
    <row r="172" spans="1:29" x14ac:dyDescent="0.35">
      <c r="A172" s="19">
        <v>35</v>
      </c>
      <c r="O172" s="37" t="s">
        <v>10</v>
      </c>
      <c r="P172" s="18">
        <f>P167-P171</f>
        <v>0</v>
      </c>
      <c r="Q172"/>
      <c r="R172" s="312">
        <f>R167-R171</f>
        <v>0</v>
      </c>
    </row>
    <row r="173" spans="1:29" x14ac:dyDescent="0.35">
      <c r="P173" s="38" t="str">
        <f>IF(P172&lt;&gt;0,"ERROR","")</f>
        <v/>
      </c>
      <c r="Q173" s="352"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9">
        <f>SUMIF($J$17:$J$167,"H0010 3.2 WM",$M$17:$M$167)</f>
        <v>0</v>
      </c>
      <c r="M175" s="27">
        <f>'As-Filed Schedule 4'!D122+'As-Filed Schedule 4'!H122</f>
        <v>0</v>
      </c>
      <c r="N175" s="339">
        <f>'Adjusted Schedule 4'!D123+'Adjusted Schedule 4'!H123</f>
        <v>0</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0</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0</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5"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65"/>
      <c r="S4" s="610"/>
      <c r="T4" s="565"/>
    </row>
    <row r="5" spans="1:20" ht="15" customHeight="1" x14ac:dyDescent="0.35">
      <c r="A5" s="1" t="s">
        <v>773</v>
      </c>
      <c r="C5" s="421" t="str">
        <f>Results!$C$6</f>
        <v>Eagle Valley Behavioral Health</v>
      </c>
      <c r="D5" s="55"/>
      <c r="E5" s="386"/>
      <c r="F5" s="55"/>
      <c r="G5" s="53"/>
      <c r="H5" s="53"/>
      <c r="I5" s="53"/>
      <c r="J5" s="50"/>
      <c r="L5" s="50"/>
      <c r="R5" s="565"/>
      <c r="S5" s="610"/>
      <c r="T5" s="565"/>
    </row>
    <row r="6" spans="1:20" x14ac:dyDescent="0.35">
      <c r="A6" s="1" t="s">
        <v>0</v>
      </c>
      <c r="C6" s="35">
        <f>Results!$C$7</f>
        <v>45473</v>
      </c>
      <c r="D6" s="35"/>
      <c r="E6" s="320"/>
      <c r="F6" s="60"/>
      <c r="G6" s="35"/>
      <c r="H6" s="35"/>
      <c r="I6" s="60"/>
      <c r="R6" s="565"/>
      <c r="S6" s="610"/>
      <c r="T6" s="565"/>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19439768.300450038</v>
      </c>
      <c r="E8" s="407" t="s">
        <v>761</v>
      </c>
      <c r="F8" s="384">
        <f>'Schedule 1 Adjustments'!L96</f>
        <v>20278294.945672415</v>
      </c>
      <c r="G8" s="46" t="s">
        <v>197</v>
      </c>
      <c r="H8" s="31">
        <f>H197</f>
        <v>45778.080000000002</v>
      </c>
      <c r="I8" s="382">
        <f>I197</f>
        <v>45778.080000000002</v>
      </c>
      <c r="L8" s="427" t="s">
        <v>857</v>
      </c>
      <c r="M8" s="26">
        <f>'As-Filed Schedule 1'!F95</f>
        <v>19439768.300450038</v>
      </c>
      <c r="N8" s="407" t="s">
        <v>761</v>
      </c>
      <c r="O8" s="384">
        <f>'Schedule 1 Adjustments'!L96</f>
        <v>20278294.945672415</v>
      </c>
      <c r="P8" s="427" t="s">
        <v>858</v>
      </c>
      <c r="Q8" s="180">
        <f>'As-Filed Schedule 4'!K8</f>
        <v>45863</v>
      </c>
      <c r="R8" s="388">
        <f>SUMIFS(Adjustments!$G:$G,Adjustments!$H:$H,"4",Adjustments!$I:$I,'Schedule 4 Adjustments'!$Q$7,Adjustments!$J:$J,'Schedule 4 Adjustments'!$A8)</f>
        <v>-908</v>
      </c>
      <c r="S8" s="310">
        <f>SUM(Q8:R8)</f>
        <v>44955</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82929.980000000025</v>
      </c>
      <c r="I9" s="382">
        <f>Q197</f>
        <v>82929.980000000025</v>
      </c>
      <c r="L9" s="427" t="s">
        <v>859</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19439768.300450038</v>
      </c>
      <c r="E10" s="408" t="s">
        <v>761</v>
      </c>
      <c r="F10" s="312">
        <f>F8-F9</f>
        <v>20278294.945672415</v>
      </c>
      <c r="G10" s="42" t="s">
        <v>195</v>
      </c>
      <c r="H10" s="9">
        <f>SUM(H8:H9)</f>
        <v>128708.06000000003</v>
      </c>
      <c r="I10" s="379">
        <f>SUM(I8:I9)</f>
        <v>128708.06000000003</v>
      </c>
      <c r="L10" s="428" t="s">
        <v>860</v>
      </c>
      <c r="M10" s="185">
        <f>M8-M9</f>
        <v>19439768.300450038</v>
      </c>
      <c r="N10" s="408" t="s">
        <v>761</v>
      </c>
      <c r="O10" s="312">
        <f>O8-O9</f>
        <v>20278294.945672415</v>
      </c>
      <c r="P10" s="432"/>
      <c r="Q10" s="432"/>
      <c r="T10" s="45"/>
    </row>
    <row r="11" spans="1:20" x14ac:dyDescent="0.35">
      <c r="A11" s="1"/>
      <c r="L11" s="206"/>
      <c r="M11" s="206"/>
      <c r="N11" s="431"/>
      <c r="O11" s="431"/>
      <c r="P11" s="432"/>
      <c r="Q11" s="433"/>
      <c r="T11" s="45"/>
    </row>
    <row r="12" spans="1:20" ht="18.5" x14ac:dyDescent="0.45">
      <c r="A12" s="19">
        <v>4</v>
      </c>
      <c r="G12" s="44" t="s">
        <v>196</v>
      </c>
      <c r="H12" s="43">
        <f>D10/H10</f>
        <v>151.03769181549342</v>
      </c>
      <c r="I12" s="383">
        <f>F10/I10</f>
        <v>157.5526423572262</v>
      </c>
      <c r="L12" s="206"/>
      <c r="M12" s="206"/>
      <c r="N12" s="429"/>
      <c r="O12" s="448"/>
      <c r="P12" s="429" t="s">
        <v>861</v>
      </c>
      <c r="Q12" s="430">
        <f>M10/Q8</f>
        <v>423.86604235331396</v>
      </c>
      <c r="S12" s="430">
        <f>O10/S8</f>
        <v>451.07985642692506</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66" t="s">
        <v>191</v>
      </c>
      <c r="E15" s="567"/>
      <c r="F15" s="567"/>
      <c r="G15" s="567"/>
      <c r="H15" s="567"/>
      <c r="I15" s="567"/>
      <c r="J15" s="568"/>
      <c r="K15" s="381"/>
      <c r="L15" s="566" t="s">
        <v>192</v>
      </c>
      <c r="M15" s="567"/>
      <c r="N15" s="567"/>
      <c r="O15" s="567"/>
      <c r="P15" s="567"/>
      <c r="Q15" s="567"/>
      <c r="R15" s="568"/>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332</v>
      </c>
      <c r="M18" s="388">
        <f>SUMIFS(Adjustments!$G:$G,Adjustments!$H:$H,"4",Adjustments!$I:$I,'Schedule 4 Adjustments'!$L$14,Adjustments!$J:$J,'Schedule 4 Adjustments'!$A18)</f>
        <v>0</v>
      </c>
      <c r="N18" s="380">
        <f>SUM(L18:M18)</f>
        <v>332</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0</v>
      </c>
      <c r="E21" s="388">
        <f>SUMIFS(Adjustments!$G:$G,Adjustments!$H:$H,"4",Adjustments!$I:$I,'Schedule 4 Adjustments'!$D$14,Adjustments!$J:$J,'Schedule 4 Adjustments'!$A21)</f>
        <v>0</v>
      </c>
      <c r="F21" s="380">
        <f t="shared" si="0"/>
        <v>0</v>
      </c>
      <c r="G21" s="410">
        <v>0.44</v>
      </c>
      <c r="H21" s="47">
        <f t="shared" si="8"/>
        <v>0</v>
      </c>
      <c r="I21" s="378">
        <f t="shared" si="1"/>
        <v>0</v>
      </c>
      <c r="J21" s="21">
        <f t="shared" si="2"/>
        <v>66.4565843988171</v>
      </c>
      <c r="K21" s="376">
        <f t="shared" si="3"/>
        <v>69.323162637179536</v>
      </c>
      <c r="L21" s="150">
        <f>'As-Filed Schedule 4'!H21</f>
        <v>1</v>
      </c>
      <c r="M21" s="388">
        <f>SUMIFS(Adjustments!$G:$G,Adjustments!$H:$H,"4",Adjustments!$I:$I,'Schedule 4 Adjustments'!$L$14,Adjustments!$J:$J,'Schedule 4 Adjustments'!$A21)</f>
        <v>0</v>
      </c>
      <c r="N21" s="380">
        <f t="shared" si="4"/>
        <v>1</v>
      </c>
      <c r="O21" s="410">
        <v>0.39</v>
      </c>
      <c r="P21" s="47">
        <f t="shared" si="9"/>
        <v>0.39</v>
      </c>
      <c r="Q21" s="378">
        <f>N21*O21</f>
        <v>0.39</v>
      </c>
      <c r="R21" s="21">
        <f t="shared" si="6"/>
        <v>58.904699808042437</v>
      </c>
      <c r="S21" s="376">
        <f t="shared" si="7"/>
        <v>61.445530519318218</v>
      </c>
    </row>
    <row r="22" spans="1:19" s="22" customFormat="1" x14ac:dyDescent="0.35">
      <c r="A22" s="19">
        <v>10</v>
      </c>
      <c r="B22" s="19">
        <v>90791</v>
      </c>
      <c r="C22" s="20" t="s">
        <v>320</v>
      </c>
      <c r="D22" s="116">
        <f>'As-Filed Schedule 4'!D22</f>
        <v>594</v>
      </c>
      <c r="E22" s="388">
        <f>SUMIFS(Adjustments!$G:$G,Adjustments!$H:$H,"4",Adjustments!$I:$I,'Schedule 4 Adjustments'!$D$14,Adjustments!$J:$J,'Schedule 4 Adjustments'!$A22)</f>
        <v>0</v>
      </c>
      <c r="F22" s="380">
        <f t="shared" si="0"/>
        <v>594</v>
      </c>
      <c r="G22" s="410">
        <v>5.17</v>
      </c>
      <c r="H22" s="47">
        <f t="shared" si="8"/>
        <v>3070.98</v>
      </c>
      <c r="I22" s="378">
        <f t="shared" si="1"/>
        <v>3070.98</v>
      </c>
      <c r="J22" s="21">
        <f t="shared" si="2"/>
        <v>780.86486668610098</v>
      </c>
      <c r="K22" s="376">
        <f t="shared" si="3"/>
        <v>814.54716098685947</v>
      </c>
      <c r="L22" s="150">
        <f>'As-Filed Schedule 4'!H22</f>
        <v>1151</v>
      </c>
      <c r="M22" s="388">
        <f>SUMIFS(Adjustments!$G:$G,Adjustments!$H:$H,"4",Adjustments!$I:$I,'Schedule 4 Adjustments'!$L$14,Adjustments!$J:$J,'Schedule 4 Adjustments'!$A22)</f>
        <v>0</v>
      </c>
      <c r="N22" s="380">
        <f t="shared" si="4"/>
        <v>1151</v>
      </c>
      <c r="O22" s="410">
        <v>4.43</v>
      </c>
      <c r="P22" s="47">
        <f t="shared" si="9"/>
        <v>5098.9299999999994</v>
      </c>
      <c r="Q22" s="378">
        <f>N22*O22</f>
        <v>5098.9299999999994</v>
      </c>
      <c r="R22" s="21">
        <f t="shared" si="6"/>
        <v>669.09697474263578</v>
      </c>
      <c r="S22" s="376">
        <f t="shared" si="7"/>
        <v>697.9582056425121</v>
      </c>
    </row>
    <row r="23" spans="1:19" s="22" customFormat="1" x14ac:dyDescent="0.35">
      <c r="A23" s="19">
        <v>11</v>
      </c>
      <c r="B23" s="19">
        <v>90792</v>
      </c>
      <c r="C23" s="20" t="s">
        <v>321</v>
      </c>
      <c r="D23" s="116">
        <f>'As-Filed Schedule 4'!D23</f>
        <v>0</v>
      </c>
      <c r="E23" s="388">
        <f>SUMIFS(Adjustments!$G:$G,Adjustments!$H:$H,"4",Adjustments!$I:$I,'Schedule 4 Adjustments'!$D$14,Adjustments!$J:$J,'Schedule 4 Adjustments'!$A23)</f>
        <v>0</v>
      </c>
      <c r="F23" s="380">
        <f t="shared" si="0"/>
        <v>0</v>
      </c>
      <c r="G23" s="410">
        <v>5.82</v>
      </c>
      <c r="H23" s="47">
        <f t="shared" si="8"/>
        <v>0</v>
      </c>
      <c r="I23" s="378">
        <f t="shared" si="1"/>
        <v>0</v>
      </c>
      <c r="J23" s="21">
        <f t="shared" si="2"/>
        <v>879.03936636617175</v>
      </c>
      <c r="K23" s="376">
        <f t="shared" si="3"/>
        <v>916.95637851905656</v>
      </c>
      <c r="L23" s="150">
        <f>'As-Filed Schedule 4'!H23</f>
        <v>914</v>
      </c>
      <c r="M23" s="388">
        <f>SUMIFS(Adjustments!$G:$G,Adjustments!$H:$H,"4",Adjustments!$I:$I,'Schedule 4 Adjustments'!$L$14,Adjustments!$J:$J,'Schedule 4 Adjustments'!$A23)</f>
        <v>0</v>
      </c>
      <c r="N23" s="380">
        <f t="shared" si="4"/>
        <v>914</v>
      </c>
      <c r="O23" s="410">
        <v>5.08</v>
      </c>
      <c r="P23" s="47">
        <f t="shared" si="9"/>
        <v>4643.12</v>
      </c>
      <c r="Q23" s="378">
        <f t="shared" si="5"/>
        <v>4643.12</v>
      </c>
      <c r="R23" s="21">
        <f t="shared" si="6"/>
        <v>767.27147442270655</v>
      </c>
      <c r="S23" s="376">
        <f>O23*$I$12</f>
        <v>800.36742317470907</v>
      </c>
    </row>
    <row r="24" spans="1:19" s="22" customFormat="1" x14ac:dyDescent="0.35">
      <c r="A24" s="19">
        <v>12</v>
      </c>
      <c r="B24" s="19">
        <v>90832</v>
      </c>
      <c r="C24" s="20" t="s">
        <v>325</v>
      </c>
      <c r="D24" s="116">
        <f>'As-Filed Schedule 4'!D24</f>
        <v>2112</v>
      </c>
      <c r="E24" s="388">
        <f>SUMIFS(Adjustments!$G:$G,Adjustments!$H:$H,"4",Adjustments!$I:$I,'Schedule 4 Adjustments'!$D$14,Adjustments!$J:$J,'Schedule 4 Adjustments'!$A24)</f>
        <v>0</v>
      </c>
      <c r="F24" s="380">
        <f t="shared" si="0"/>
        <v>2112</v>
      </c>
      <c r="G24" s="410">
        <v>2.35</v>
      </c>
      <c r="H24" s="47">
        <f t="shared" si="8"/>
        <v>4963.2</v>
      </c>
      <c r="I24" s="378">
        <f t="shared" si="1"/>
        <v>4963.2</v>
      </c>
      <c r="J24" s="21">
        <f t="shared" si="2"/>
        <v>354.93857576640954</v>
      </c>
      <c r="K24" s="376">
        <f t="shared" si="3"/>
        <v>370.24870953948158</v>
      </c>
      <c r="L24" s="150">
        <f>'As-Filed Schedule 4'!H24</f>
        <v>496</v>
      </c>
      <c r="M24" s="388">
        <f>SUMIFS(Adjustments!$G:$G,Adjustments!$H:$H,"4",Adjustments!$I:$I,'Schedule 4 Adjustments'!$L$14,Adjustments!$J:$J,'Schedule 4 Adjustments'!$A24)</f>
        <v>0</v>
      </c>
      <c r="N24" s="380">
        <f t="shared" si="4"/>
        <v>496</v>
      </c>
      <c r="O24" s="410">
        <v>2.0499999999999998</v>
      </c>
      <c r="P24" s="47">
        <f t="shared" si="9"/>
        <v>1016.8</v>
      </c>
      <c r="Q24" s="378">
        <f t="shared" si="5"/>
        <v>1016.8</v>
      </c>
      <c r="R24" s="21">
        <f t="shared" si="6"/>
        <v>309.62726822176148</v>
      </c>
      <c r="S24" s="376">
        <f>O24*$I$12</f>
        <v>322.98291683231372</v>
      </c>
    </row>
    <row r="25" spans="1:19" s="22" customFormat="1" x14ac:dyDescent="0.35">
      <c r="A25" s="19">
        <v>13</v>
      </c>
      <c r="B25" s="19">
        <v>90833</v>
      </c>
      <c r="C25" s="20" t="s">
        <v>322</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326.24141432146581</v>
      </c>
      <c r="K25" s="376">
        <f t="shared" si="3"/>
        <v>340.31370749160862</v>
      </c>
      <c r="L25" s="150">
        <f>'As-Filed Schedule 4'!H25</f>
        <v>1</v>
      </c>
      <c r="M25" s="388">
        <f>SUMIFS(Adjustments!$G:$G,Adjustments!$H:$H,"4",Adjustments!$I:$I,'Schedule 4 Adjustments'!$L$14,Adjustments!$J:$J,'Schedule 4 Adjustments'!$A25)</f>
        <v>0</v>
      </c>
      <c r="N25" s="380">
        <f t="shared" si="4"/>
        <v>1</v>
      </c>
      <c r="O25" s="410">
        <v>1.92</v>
      </c>
      <c r="P25" s="47">
        <f t="shared" si="9"/>
        <v>1.92</v>
      </c>
      <c r="Q25" s="378">
        <f t="shared" si="5"/>
        <v>1.92</v>
      </c>
      <c r="R25" s="21">
        <f t="shared" si="6"/>
        <v>289.99236828574738</v>
      </c>
      <c r="S25" s="376">
        <f t="shared" si="7"/>
        <v>302.5010733258743</v>
      </c>
    </row>
    <row r="26" spans="1:19" s="22" customFormat="1" x14ac:dyDescent="0.35">
      <c r="A26" s="19">
        <v>14</v>
      </c>
      <c r="B26" s="19">
        <v>90834</v>
      </c>
      <c r="C26" s="20" t="s">
        <v>323</v>
      </c>
      <c r="D26" s="116">
        <f>'As-Filed Schedule 4'!D26</f>
        <v>2735</v>
      </c>
      <c r="E26" s="388">
        <f>SUMIFS(Adjustments!$G:$G,Adjustments!$H:$H,"4",Adjustments!$I:$I,'Schedule 4 Adjustments'!$D$14,Adjustments!$J:$J,'Schedule 4 Adjustments'!$A26)</f>
        <v>0</v>
      </c>
      <c r="F26" s="380">
        <f t="shared" si="0"/>
        <v>2735</v>
      </c>
      <c r="G26" s="410">
        <v>3.1</v>
      </c>
      <c r="H26" s="47">
        <f t="shared" si="8"/>
        <v>8478.5</v>
      </c>
      <c r="I26" s="378">
        <f t="shared" si="1"/>
        <v>8478.5</v>
      </c>
      <c r="J26" s="21">
        <f t="shared" si="2"/>
        <v>468.21684462802961</v>
      </c>
      <c r="K26" s="376">
        <f t="shared" si="3"/>
        <v>488.41319130740123</v>
      </c>
      <c r="L26" s="150">
        <f>'As-Filed Schedule 4'!H26</f>
        <v>418</v>
      </c>
      <c r="M26" s="388">
        <f>SUMIFS(Adjustments!$G:$G,Adjustments!$H:$H,"4",Adjustments!$I:$I,'Schedule 4 Adjustments'!$L$14,Adjustments!$J:$J,'Schedule 4 Adjustments'!$A26)</f>
        <v>0</v>
      </c>
      <c r="N26" s="380">
        <f t="shared" si="4"/>
        <v>418</v>
      </c>
      <c r="O26" s="410">
        <v>2.71</v>
      </c>
      <c r="P26" s="47">
        <f t="shared" si="9"/>
        <v>1132.78</v>
      </c>
      <c r="Q26" s="378">
        <f t="shared" si="5"/>
        <v>1132.78</v>
      </c>
      <c r="R26" s="21">
        <f t="shared" si="6"/>
        <v>409.31214481998717</v>
      </c>
      <c r="S26" s="376">
        <f t="shared" si="7"/>
        <v>426.96766078808304</v>
      </c>
    </row>
    <row r="27" spans="1:19" s="22" customFormat="1" x14ac:dyDescent="0.35">
      <c r="A27" s="19">
        <v>15</v>
      </c>
      <c r="B27" s="19">
        <v>90836</v>
      </c>
      <c r="C27" s="20" t="s">
        <v>326</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412.332898656297</v>
      </c>
      <c r="K27" s="376">
        <f t="shared" si="3"/>
        <v>430.11871363522755</v>
      </c>
      <c r="L27" s="150">
        <f>'As-Filed Schedule 4'!H27</f>
        <v>2</v>
      </c>
      <c r="M27" s="388">
        <f>SUMIFS(Adjustments!$G:$G,Adjustments!$H:$H,"4",Adjustments!$I:$I,'Schedule 4 Adjustments'!$L$14,Adjustments!$J:$J,'Schedule 4 Adjustments'!$A27)</f>
        <v>0</v>
      </c>
      <c r="N27" s="380">
        <f t="shared" si="4"/>
        <v>2</v>
      </c>
      <c r="O27" s="410">
        <v>2.4300000000000002</v>
      </c>
      <c r="P27" s="47">
        <f t="shared" si="9"/>
        <v>4.8600000000000003</v>
      </c>
      <c r="Q27" s="378">
        <f t="shared" si="5"/>
        <v>4.8600000000000003</v>
      </c>
      <c r="R27" s="21">
        <f t="shared" si="6"/>
        <v>367.021591111649</v>
      </c>
      <c r="S27" s="376">
        <f>O27*$I$12</f>
        <v>382.85292092805969</v>
      </c>
    </row>
    <row r="28" spans="1:19" s="22" customFormat="1" x14ac:dyDescent="0.35">
      <c r="A28" s="19">
        <v>16</v>
      </c>
      <c r="B28" s="19">
        <v>90837</v>
      </c>
      <c r="C28" s="20" t="s">
        <v>324</v>
      </c>
      <c r="D28" s="116">
        <f>'As-Filed Schedule 4'!D28</f>
        <v>1914</v>
      </c>
      <c r="E28" s="388">
        <f>SUMIFS(Adjustments!$G:$G,Adjustments!$H:$H,"4",Adjustments!$I:$I,'Schedule 4 Adjustments'!$D$14,Adjustments!$J:$J,'Schedule 4 Adjustments'!$A28)</f>
        <v>0</v>
      </c>
      <c r="F28" s="380">
        <f t="shared" si="0"/>
        <v>1914</v>
      </c>
      <c r="G28" s="410">
        <v>4.57</v>
      </c>
      <c r="H28" s="47">
        <f t="shared" si="8"/>
        <v>8746.9800000000014</v>
      </c>
      <c r="I28" s="378">
        <f t="shared" si="1"/>
        <v>8746.9800000000014</v>
      </c>
      <c r="J28" s="21">
        <f t="shared" si="2"/>
        <v>690.24225159680498</v>
      </c>
      <c r="K28" s="376">
        <f t="shared" si="3"/>
        <v>720.01557557252374</v>
      </c>
      <c r="L28" s="150">
        <f>'As-Filed Schedule 4'!H28</f>
        <v>9733</v>
      </c>
      <c r="M28" s="388">
        <f>SUMIFS(Adjustments!$G:$G,Adjustments!$H:$H,"4",Adjustments!$I:$I,'Schedule 4 Adjustments'!$L$14,Adjustments!$J:$J,'Schedule 4 Adjustments'!$A28)</f>
        <v>0</v>
      </c>
      <c r="N28" s="380">
        <f t="shared" si="4"/>
        <v>9733</v>
      </c>
      <c r="O28" s="410">
        <v>4</v>
      </c>
      <c r="P28" s="47">
        <f t="shared" si="9"/>
        <v>38932</v>
      </c>
      <c r="Q28" s="378">
        <f t="shared" si="5"/>
        <v>38932</v>
      </c>
      <c r="R28" s="21">
        <f t="shared" si="6"/>
        <v>604.15076726197367</v>
      </c>
      <c r="S28" s="376">
        <f t="shared" si="7"/>
        <v>630.21056942890482</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546.75644437208621</v>
      </c>
      <c r="K29" s="376">
        <f t="shared" si="3"/>
        <v>570.34056533315891</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486.34136764588885</v>
      </c>
      <c r="S29" s="376">
        <f t="shared" si="7"/>
        <v>507.31950839026842</v>
      </c>
    </row>
    <row r="30" spans="1:19" s="22" customFormat="1" x14ac:dyDescent="0.35">
      <c r="A30" s="19">
        <v>18</v>
      </c>
      <c r="B30" s="19">
        <v>90839</v>
      </c>
      <c r="C30" s="20" t="s">
        <v>329</v>
      </c>
      <c r="D30" s="116">
        <f>'As-Filed Schedule 4'!D30</f>
        <v>462</v>
      </c>
      <c r="E30" s="388">
        <f>SUMIFS(Adjustments!$G:$G,Adjustments!$H:$H,"4",Adjustments!$I:$I,'Schedule 4 Adjustments'!$D$14,Adjustments!$J:$J,'Schedule 4 Adjustments'!$A30)</f>
        <v>0</v>
      </c>
      <c r="F30" s="380">
        <f t="shared" si="0"/>
        <v>462</v>
      </c>
      <c r="G30" s="410">
        <v>4.4000000000000004</v>
      </c>
      <c r="H30" s="47">
        <f t="shared" si="8"/>
        <v>2032.8000000000002</v>
      </c>
      <c r="I30" s="378">
        <f t="shared" si="1"/>
        <v>2032.8000000000002</v>
      </c>
      <c r="J30" s="21">
        <f t="shared" si="2"/>
        <v>664.56584398817108</v>
      </c>
      <c r="K30" s="376">
        <f t="shared" si="3"/>
        <v>693.2316263717953</v>
      </c>
      <c r="L30" s="150">
        <f>'As-Filed Schedule 4'!H30</f>
        <v>13</v>
      </c>
      <c r="M30" s="388">
        <f>SUMIFS(Adjustments!$G:$G,Adjustments!$H:$H,"4",Adjustments!$I:$I,'Schedule 4 Adjustments'!$L$14,Adjustments!$J:$J,'Schedule 4 Adjustments'!$A30)</f>
        <v>0</v>
      </c>
      <c r="N30" s="380">
        <f t="shared" si="4"/>
        <v>13</v>
      </c>
      <c r="O30" s="410">
        <v>3.87</v>
      </c>
      <c r="P30" s="47">
        <f t="shared" si="9"/>
        <v>50.31</v>
      </c>
      <c r="Q30" s="378">
        <f t="shared" si="5"/>
        <v>50.31</v>
      </c>
      <c r="R30" s="21">
        <f t="shared" si="6"/>
        <v>584.51586732595956</v>
      </c>
      <c r="S30" s="376">
        <f t="shared" si="7"/>
        <v>609.7287259224654</v>
      </c>
    </row>
    <row r="31" spans="1:19" s="22" customFormat="1" x14ac:dyDescent="0.35">
      <c r="A31" s="19">
        <v>19</v>
      </c>
      <c r="B31" s="19">
        <v>90840</v>
      </c>
      <c r="C31" s="20" t="s">
        <v>328</v>
      </c>
      <c r="D31" s="116">
        <f>'As-Filed Schedule 4'!D31</f>
        <v>0</v>
      </c>
      <c r="E31" s="388">
        <f>SUMIFS(Adjustments!$G:$G,Adjustments!$H:$H,"4",Adjustments!$I:$I,'Schedule 4 Adjustments'!$D$14,Adjustments!$J:$J,'Schedule 4 Adjustments'!$A31)</f>
        <v>0</v>
      </c>
      <c r="F31" s="380">
        <f t="shared" si="0"/>
        <v>0</v>
      </c>
      <c r="G31" s="410">
        <v>2.1800000000000002</v>
      </c>
      <c r="H31" s="47">
        <f t="shared" si="8"/>
        <v>0</v>
      </c>
      <c r="I31" s="378">
        <f t="shared" si="1"/>
        <v>0</v>
      </c>
      <c r="J31" s="21">
        <f t="shared" si="2"/>
        <v>329.26216815777565</v>
      </c>
      <c r="K31" s="376">
        <f t="shared" si="3"/>
        <v>343.46476033875314</v>
      </c>
      <c r="L31" s="150">
        <f>'As-Filed Schedule 4'!H31</f>
        <v>9</v>
      </c>
      <c r="M31" s="388">
        <f>SUMIFS(Adjustments!$G:$G,Adjustments!$H:$H,"4",Adjustments!$I:$I,'Schedule 4 Adjustments'!$L$14,Adjustments!$J:$J,'Schedule 4 Adjustments'!$A31)</f>
        <v>0</v>
      </c>
      <c r="N31" s="380">
        <f t="shared" si="4"/>
        <v>9</v>
      </c>
      <c r="O31" s="410">
        <v>1.94</v>
      </c>
      <c r="P31" s="47">
        <f t="shared" si="9"/>
        <v>17.46</v>
      </c>
      <c r="Q31" s="378">
        <f>N31*O31</f>
        <v>17.46</v>
      </c>
      <c r="R31" s="21">
        <f t="shared" si="6"/>
        <v>293.01312212205721</v>
      </c>
      <c r="S31" s="376">
        <f t="shared" si="7"/>
        <v>305.65212617301881</v>
      </c>
    </row>
    <row r="32" spans="1:19" s="22" customFormat="1" x14ac:dyDescent="0.35">
      <c r="A32" s="19">
        <v>20</v>
      </c>
      <c r="B32" s="19">
        <v>90846</v>
      </c>
      <c r="C32" s="20" t="s">
        <v>113</v>
      </c>
      <c r="D32" s="116">
        <f>'As-Filed Schedule 4'!D32</f>
        <v>464</v>
      </c>
      <c r="E32" s="388">
        <f>SUMIFS(Adjustments!$G:$G,Adjustments!$H:$H,"4",Adjustments!$I:$I,'Schedule 4 Adjustments'!$D$14,Adjustments!$J:$J,'Schedule 4 Adjustments'!$A32)</f>
        <v>0</v>
      </c>
      <c r="F32" s="380">
        <f t="shared" si="0"/>
        <v>464</v>
      </c>
      <c r="G32" s="410">
        <v>2.93</v>
      </c>
      <c r="H32" s="47">
        <f t="shared" si="8"/>
        <v>1359.52</v>
      </c>
      <c r="I32" s="378">
        <f t="shared" si="1"/>
        <v>1359.52</v>
      </c>
      <c r="J32" s="21">
        <f t="shared" si="2"/>
        <v>442.54043701939571</v>
      </c>
      <c r="K32" s="376">
        <f t="shared" si="3"/>
        <v>461.62924210667279</v>
      </c>
      <c r="L32" s="150">
        <f>'As-Filed Schedule 4'!H32</f>
        <v>12</v>
      </c>
      <c r="M32" s="388">
        <f>SUMIFS(Adjustments!$G:$G,Adjustments!$H:$H,"4",Adjustments!$I:$I,'Schedule 4 Adjustments'!$L$14,Adjustments!$J:$J,'Schedule 4 Adjustments'!$A32)</f>
        <v>0</v>
      </c>
      <c r="N32" s="380">
        <f t="shared" si="4"/>
        <v>12</v>
      </c>
      <c r="O32" s="410">
        <v>2.92</v>
      </c>
      <c r="P32" s="47">
        <f t="shared" si="9"/>
        <v>35.04</v>
      </c>
      <c r="Q32" s="378">
        <f t="shared" si="5"/>
        <v>35.04</v>
      </c>
      <c r="R32" s="21">
        <f t="shared" si="6"/>
        <v>441.03006010124079</v>
      </c>
      <c r="S32" s="376">
        <f t="shared" si="7"/>
        <v>460.05371568310051</v>
      </c>
    </row>
    <row r="33" spans="1:19" s="22" customFormat="1" x14ac:dyDescent="0.35">
      <c r="A33" s="19">
        <v>21</v>
      </c>
      <c r="B33" s="19">
        <v>90847</v>
      </c>
      <c r="C33" s="20" t="s">
        <v>114</v>
      </c>
      <c r="D33" s="116">
        <f>'As-Filed Schedule 4'!D33</f>
        <v>65</v>
      </c>
      <c r="E33" s="388">
        <f>SUMIFS(Adjustments!$G:$G,Adjustments!$H:$H,"4",Adjustments!$I:$I,'Schedule 4 Adjustments'!$D$14,Adjustments!$J:$J,'Schedule 4 Adjustments'!$A33)</f>
        <v>0</v>
      </c>
      <c r="F33" s="380">
        <f t="shared" si="0"/>
        <v>65</v>
      </c>
      <c r="G33" s="410">
        <v>3.07</v>
      </c>
      <c r="H33" s="47">
        <f t="shared" si="8"/>
        <v>199.54999999999998</v>
      </c>
      <c r="I33" s="378">
        <f t="shared" si="1"/>
        <v>199.54999999999998</v>
      </c>
      <c r="J33" s="21">
        <f t="shared" si="2"/>
        <v>463.68571387356479</v>
      </c>
      <c r="K33" s="376">
        <f t="shared" si="3"/>
        <v>483.68661203668444</v>
      </c>
      <c r="L33" s="150">
        <f>'As-Filed Schedule 4'!H33</f>
        <v>86</v>
      </c>
      <c r="M33" s="388">
        <f>SUMIFS(Adjustments!$G:$G,Adjustments!$H:$H,"4",Adjustments!$I:$I,'Schedule 4 Adjustments'!$L$14,Adjustments!$J:$J,'Schedule 4 Adjustments'!$A33)</f>
        <v>0</v>
      </c>
      <c r="N33" s="380">
        <f t="shared" si="4"/>
        <v>86</v>
      </c>
      <c r="O33" s="410">
        <v>3.05</v>
      </c>
      <c r="P33" s="47">
        <f t="shared" si="9"/>
        <v>262.3</v>
      </c>
      <c r="Q33" s="378">
        <f t="shared" si="5"/>
        <v>262.3</v>
      </c>
      <c r="R33" s="21">
        <f t="shared" si="6"/>
        <v>460.6649600372549</v>
      </c>
      <c r="S33" s="376">
        <f t="shared" si="7"/>
        <v>480.53555918953992</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170.67259175150755</v>
      </c>
      <c r="K34" s="376">
        <f t="shared" si="3"/>
        <v>178.03448586366559</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132.9131687976342</v>
      </c>
      <c r="S34" s="376">
        <f t="shared" si="7"/>
        <v>138.64632527435907</v>
      </c>
    </row>
    <row r="35" spans="1:19" s="22" customFormat="1" x14ac:dyDescent="0.35">
      <c r="A35" s="19">
        <v>23</v>
      </c>
      <c r="B35" s="19">
        <v>90853</v>
      </c>
      <c r="C35" s="20" t="s">
        <v>116</v>
      </c>
      <c r="D35" s="116">
        <f>'As-Filed Schedule 4'!D35</f>
        <v>1566</v>
      </c>
      <c r="E35" s="388">
        <f>SUMIFS(Adjustments!$G:$G,Adjustments!$H:$H,"4",Adjustments!$I:$I,'Schedule 4 Adjustments'!$D$14,Adjustments!$J:$J,'Schedule 4 Adjustments'!$A35)</f>
        <v>0</v>
      </c>
      <c r="F35" s="380">
        <f t="shared" si="0"/>
        <v>1566</v>
      </c>
      <c r="G35" s="410">
        <v>0.83</v>
      </c>
      <c r="H35" s="47">
        <f t="shared" si="8"/>
        <v>1299.78</v>
      </c>
      <c r="I35" s="378">
        <f t="shared" si="1"/>
        <v>1299.78</v>
      </c>
      <c r="J35" s="21">
        <f t="shared" si="2"/>
        <v>125.36128420685954</v>
      </c>
      <c r="K35" s="376">
        <f t="shared" si="3"/>
        <v>130.76869315649773</v>
      </c>
      <c r="L35" s="150">
        <f>'As-Filed Schedule 4'!H35</f>
        <v>14</v>
      </c>
      <c r="M35" s="388">
        <f>SUMIFS(Adjustments!$G:$G,Adjustments!$H:$H,"4",Adjustments!$I:$I,'Schedule 4 Adjustments'!$L$14,Adjustments!$J:$J,'Schedule 4 Adjustments'!$A35)</f>
        <v>0</v>
      </c>
      <c r="N35" s="380">
        <f t="shared" si="4"/>
        <v>14</v>
      </c>
      <c r="O35" s="410">
        <v>0.72</v>
      </c>
      <c r="P35" s="47">
        <f t="shared" si="9"/>
        <v>10.08</v>
      </c>
      <c r="Q35" s="378">
        <f t="shared" si="5"/>
        <v>10.08</v>
      </c>
      <c r="R35" s="21">
        <f t="shared" si="6"/>
        <v>108.74713810715525</v>
      </c>
      <c r="S35" s="376">
        <f t="shared" si="7"/>
        <v>113.43790249720287</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782.37524360425584</v>
      </c>
      <c r="K36" s="376">
        <f t="shared" si="3"/>
        <v>816.12268741043169</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471.2375984643395</v>
      </c>
      <c r="S36" s="376">
        <f t="shared" si="7"/>
        <v>491.56424415454575</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264.31596067711348</v>
      </c>
      <c r="K37" s="376">
        <f t="shared" si="3"/>
        <v>275.71712412514586</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262.80558375895856</v>
      </c>
      <c r="S37" s="376">
        <f t="shared" si="7"/>
        <v>274.14159770157357</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465.19609079171971</v>
      </c>
      <c r="K38" s="376">
        <f t="shared" si="3"/>
        <v>485.26213846025672</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416.86402941076182</v>
      </c>
      <c r="S38" s="376">
        <f t="shared" si="7"/>
        <v>434.84529290594429</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386.65649104766317</v>
      </c>
      <c r="K39" s="376">
        <f t="shared" si="3"/>
        <v>403.33476443449911</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323.22066048515592</v>
      </c>
      <c r="S39" s="376">
        <f t="shared" si="7"/>
        <v>337.16265464446411</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416.86402941076182</v>
      </c>
      <c r="K40" s="376">
        <f t="shared" si="3"/>
        <v>434.84529290594429</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357.95932960271944</v>
      </c>
      <c r="S40" s="376">
        <f t="shared" si="7"/>
        <v>373.39976238662609</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339.83480658486019</v>
      </c>
      <c r="K41" s="376">
        <f t="shared" si="3"/>
        <v>354.49344530375896</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297.54425287652202</v>
      </c>
      <c r="S41" s="376">
        <f t="shared" si="7"/>
        <v>310.37870544373561</v>
      </c>
    </row>
    <row r="42" spans="1:19" s="22" customFormat="1" x14ac:dyDescent="0.35">
      <c r="A42" s="19">
        <v>30</v>
      </c>
      <c r="B42" s="19">
        <v>96130</v>
      </c>
      <c r="C42" s="20" t="s">
        <v>338</v>
      </c>
      <c r="D42" s="116">
        <f>'As-Filed Schedule 4'!D42</f>
        <v>2</v>
      </c>
      <c r="E42" s="388">
        <f>SUMIFS(Adjustments!$G:$G,Adjustments!$H:$H,"4",Adjustments!$I:$I,'Schedule 4 Adjustments'!$D$14,Adjustments!$J:$J,'Schedule 4 Adjustments'!$A42)</f>
        <v>0</v>
      </c>
      <c r="F42" s="380">
        <f t="shared" si="0"/>
        <v>2</v>
      </c>
      <c r="G42" s="410">
        <v>3.6</v>
      </c>
      <c r="H42" s="47">
        <f t="shared" si="8"/>
        <v>7.2</v>
      </c>
      <c r="I42" s="378">
        <f t="shared" si="1"/>
        <v>7.2</v>
      </c>
      <c r="J42" s="21">
        <f t="shared" si="2"/>
        <v>543.73569053577637</v>
      </c>
      <c r="K42" s="376">
        <f t="shared" si="3"/>
        <v>567.18951248601434</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490.87249840035361</v>
      </c>
      <c r="S42" s="376">
        <f t="shared" si="7"/>
        <v>512.04608766098522</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388.16686796581808</v>
      </c>
      <c r="K43" s="376">
        <f t="shared" si="3"/>
        <v>404.91029085807133</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339.83480658486019</v>
      </c>
      <c r="S43" s="376">
        <f t="shared" si="7"/>
        <v>354.49344530375896</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581.49511348964973</v>
      </c>
      <c r="K44" s="376">
        <f t="shared" si="3"/>
        <v>606.57767307532094</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474.25835230064934</v>
      </c>
      <c r="S44" s="376">
        <f t="shared" si="7"/>
        <v>494.71529700169032</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441.03006010124079</v>
      </c>
      <c r="K45" s="376">
        <f t="shared" si="3"/>
        <v>460.05371568310051</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341.34518350301511</v>
      </c>
      <c r="S45" s="376">
        <f t="shared" si="7"/>
        <v>356.06897172733119</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188.79711476936677</v>
      </c>
      <c r="K46" s="376">
        <f t="shared" si="3"/>
        <v>196.94080294653276</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104.21600735269045</v>
      </c>
      <c r="S46" s="376">
        <f t="shared" si="7"/>
        <v>108.71132322648607</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170.67259175150755</v>
      </c>
      <c r="K47" s="376">
        <f t="shared" si="3"/>
        <v>178.03448586366559</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80.04997666221152</v>
      </c>
      <c r="S47" s="376">
        <f t="shared" si="7"/>
        <v>83.502900449329886</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155.56882256995823</v>
      </c>
      <c r="K48" s="376">
        <f t="shared" si="3"/>
        <v>162.279221627943</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86.091484334831236</v>
      </c>
      <c r="S48" s="376">
        <f t="shared" si="7"/>
        <v>89.805006143618925</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160.09995332442304</v>
      </c>
      <c r="K49" s="376">
        <f t="shared" si="3"/>
        <v>167.00580089865977</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75.518845907746709</v>
      </c>
      <c r="S49" s="376">
        <f t="shared" si="7"/>
        <v>78.776321178613102</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10.57263842708454</v>
      </c>
      <c r="K50" s="376">
        <f t="shared" si="3"/>
        <v>11.028684965005835</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10.57263842708454</v>
      </c>
      <c r="S50" s="376">
        <f t="shared" si="7"/>
        <v>11.028684965005835</v>
      </c>
    </row>
    <row r="51" spans="1:19" s="22" customFormat="1" x14ac:dyDescent="0.35">
      <c r="A51" s="19">
        <v>39</v>
      </c>
      <c r="B51" s="19">
        <v>96372</v>
      </c>
      <c r="C51" s="20" t="s">
        <v>118</v>
      </c>
      <c r="D51" s="116">
        <f>'As-Filed Schedule 4'!D51</f>
        <v>0</v>
      </c>
      <c r="E51" s="388">
        <f>SUMIFS(Adjustments!$G:$G,Adjustments!$H:$H,"4",Adjustments!$I:$I,'Schedule 4 Adjustments'!$D$14,Adjustments!$J:$J,'Schedule 4 Adjustments'!$A51)</f>
        <v>0</v>
      </c>
      <c r="F51" s="380">
        <f t="shared" si="0"/>
        <v>0</v>
      </c>
      <c r="G51" s="410">
        <v>0.43</v>
      </c>
      <c r="H51" s="47">
        <f t="shared" si="8"/>
        <v>0</v>
      </c>
      <c r="I51" s="378">
        <f t="shared" si="1"/>
        <v>0</v>
      </c>
      <c r="J51" s="21">
        <f t="shared" si="2"/>
        <v>64.946207480662167</v>
      </c>
      <c r="K51" s="376">
        <f t="shared" si="3"/>
        <v>67.747636213607265</v>
      </c>
      <c r="L51" s="150">
        <f>'As-Filed Schedule 4'!H51</f>
        <v>0</v>
      </c>
      <c r="M51" s="388">
        <f>SUMIFS(Adjustments!$G:$G,Adjustments!$H:$H,"4",Adjustments!$I:$I,'Schedule 4 Adjustments'!$L$14,Adjustments!$J:$J,'Schedule 4 Adjustments'!$A51)</f>
        <v>0</v>
      </c>
      <c r="N51" s="380">
        <f t="shared" si="4"/>
        <v>0</v>
      </c>
      <c r="O51" s="410">
        <v>0.43</v>
      </c>
      <c r="P51" s="47">
        <f t="shared" si="9"/>
        <v>0</v>
      </c>
      <c r="Q51" s="378">
        <f t="shared" si="5"/>
        <v>0</v>
      </c>
      <c r="R51" s="21">
        <f t="shared" si="6"/>
        <v>64.946207480662167</v>
      </c>
      <c r="S51" s="376">
        <f t="shared" si="7"/>
        <v>67.747636213607265</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148.01693797918355</v>
      </c>
      <c r="K52" s="376">
        <f t="shared" si="3"/>
        <v>154.40158951008169</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148.01693797918355</v>
      </c>
      <c r="S52" s="376">
        <f t="shared" si="7"/>
        <v>154.40158951008169</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143.48580722471874</v>
      </c>
      <c r="K53" s="376">
        <f t="shared" si="3"/>
        <v>149.67501023936489</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143.48580722471874</v>
      </c>
      <c r="S53" s="376">
        <f t="shared" si="7"/>
        <v>149.67501023936489</v>
      </c>
    </row>
    <row r="54" spans="1:19" s="22" customFormat="1" x14ac:dyDescent="0.35">
      <c r="A54" s="19">
        <v>42</v>
      </c>
      <c r="B54" s="19">
        <v>98966</v>
      </c>
      <c r="C54" s="20" t="s">
        <v>342</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58.904699808042437</v>
      </c>
      <c r="K54" s="376">
        <f t="shared" si="3"/>
        <v>61.445530519318218</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51.352815217267768</v>
      </c>
      <c r="S54" s="376">
        <f t="shared" si="7"/>
        <v>53.567898401456915</v>
      </c>
    </row>
    <row r="55" spans="1:19" s="22" customFormat="1" x14ac:dyDescent="0.35">
      <c r="A55" s="19">
        <v>43</v>
      </c>
      <c r="B55" s="19">
        <v>98967</v>
      </c>
      <c r="C55" s="20" t="s">
        <v>343</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108.74713810715525</v>
      </c>
      <c r="K55" s="376">
        <f t="shared" si="3"/>
        <v>113.43790249720287</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99.684876598225657</v>
      </c>
      <c r="S55" s="376">
        <f t="shared" si="7"/>
        <v>103.9847439557693</v>
      </c>
    </row>
    <row r="56" spans="1:19" s="22" customFormat="1" x14ac:dyDescent="0.35">
      <c r="A56" s="19">
        <v>44</v>
      </c>
      <c r="B56" s="19">
        <v>98968</v>
      </c>
      <c r="C56" s="20" t="s">
        <v>344</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149.52731489733847</v>
      </c>
      <c r="K56" s="376">
        <f t="shared" si="3"/>
        <v>155.97711593365395</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138.95467647025396</v>
      </c>
      <c r="S56" s="376">
        <f t="shared" si="7"/>
        <v>144.94843096864813</v>
      </c>
    </row>
    <row r="57" spans="1:19" s="22" customFormat="1" x14ac:dyDescent="0.35">
      <c r="A57" s="19">
        <v>45</v>
      </c>
      <c r="B57" s="19">
        <v>99202</v>
      </c>
      <c r="C57" s="20" t="s">
        <v>154</v>
      </c>
      <c r="D57" s="116">
        <f>'As-Filed Schedule 4'!D57</f>
        <v>0</v>
      </c>
      <c r="E57" s="388">
        <f>SUMIFS(Adjustments!$G:$G,Adjustments!$H:$H,"4",Adjustments!$I:$I,'Schedule 4 Adjustments'!$D$14,Adjustments!$J:$J,'Schedule 4 Adjustments'!$A57)</f>
        <v>0</v>
      </c>
      <c r="F57" s="380">
        <f t="shared" si="0"/>
        <v>0</v>
      </c>
      <c r="G57" s="410">
        <v>2.17</v>
      </c>
      <c r="H57" s="47">
        <f t="shared" si="8"/>
        <v>0</v>
      </c>
      <c r="I57" s="378">
        <f t="shared" si="1"/>
        <v>0</v>
      </c>
      <c r="J57" s="21">
        <f t="shared" si="2"/>
        <v>327.75179123962073</v>
      </c>
      <c r="K57" s="376">
        <f t="shared" si="3"/>
        <v>341.88923391518085</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212.96314545984572</v>
      </c>
      <c r="S57" s="376">
        <f t="shared" si="7"/>
        <v>222.14922572368894</v>
      </c>
    </row>
    <row r="58" spans="1:19" s="22" customFormat="1" x14ac:dyDescent="0.35">
      <c r="A58" s="19">
        <v>46</v>
      </c>
      <c r="B58" s="19">
        <v>99203</v>
      </c>
      <c r="C58" s="20" t="s">
        <v>154</v>
      </c>
      <c r="D58" s="116">
        <f>'As-Filed Schedule 4'!D58</f>
        <v>0</v>
      </c>
      <c r="E58" s="388">
        <f>SUMIFS(Adjustments!$G:$G,Adjustments!$H:$H,"4",Adjustments!$I:$I,'Schedule 4 Adjustments'!$D$14,Adjustments!$J:$J,'Schedule 4 Adjustments'!$A58)</f>
        <v>0</v>
      </c>
      <c r="F58" s="380">
        <f t="shared" si="0"/>
        <v>0</v>
      </c>
      <c r="G58" s="410">
        <v>3.35</v>
      </c>
      <c r="H58" s="47">
        <f t="shared" si="8"/>
        <v>0</v>
      </c>
      <c r="I58" s="378">
        <f t="shared" si="1"/>
        <v>0</v>
      </c>
      <c r="J58" s="21">
        <f t="shared" si="2"/>
        <v>505.97626758190296</v>
      </c>
      <c r="K58" s="376">
        <f t="shared" si="3"/>
        <v>527.80135189670784</v>
      </c>
      <c r="L58" s="150">
        <f>'As-Filed Schedule 4'!H58</f>
        <v>2</v>
      </c>
      <c r="M58" s="388">
        <f>SUMIFS(Adjustments!$G:$G,Adjustments!$H:$H,"4",Adjustments!$I:$I,'Schedule 4 Adjustments'!$L$14,Adjustments!$J:$J,'Schedule 4 Adjustments'!$A58)</f>
        <v>0</v>
      </c>
      <c r="N58" s="380">
        <f t="shared" si="4"/>
        <v>2</v>
      </c>
      <c r="O58" s="410">
        <v>2.44</v>
      </c>
      <c r="P58" s="47">
        <f t="shared" si="9"/>
        <v>4.88</v>
      </c>
      <c r="Q58" s="378">
        <f t="shared" si="5"/>
        <v>4.88</v>
      </c>
      <c r="R58" s="21">
        <f t="shared" si="6"/>
        <v>368.53196802980392</v>
      </c>
      <c r="S58" s="376">
        <f t="shared" si="7"/>
        <v>384.42844735163192</v>
      </c>
    </row>
    <row r="59" spans="1:19" s="22" customFormat="1" x14ac:dyDescent="0.35">
      <c r="A59" s="19">
        <v>47</v>
      </c>
      <c r="B59" s="19">
        <v>99204</v>
      </c>
      <c r="C59" s="20" t="s">
        <v>154</v>
      </c>
      <c r="D59" s="116">
        <f>'As-Filed Schedule 4'!D59</f>
        <v>0</v>
      </c>
      <c r="E59" s="388">
        <f>SUMIFS(Adjustments!$G:$G,Adjustments!$H:$H,"4",Adjustments!$I:$I,'Schedule 4 Adjustments'!$D$14,Adjustments!$J:$J,'Schedule 4 Adjustments'!$A59)</f>
        <v>0</v>
      </c>
      <c r="F59" s="380">
        <f t="shared" si="0"/>
        <v>0</v>
      </c>
      <c r="G59" s="410">
        <v>5.0199999999999996</v>
      </c>
      <c r="H59" s="47">
        <f t="shared" si="8"/>
        <v>0</v>
      </c>
      <c r="I59" s="378">
        <f t="shared" si="1"/>
        <v>0</v>
      </c>
      <c r="J59" s="21">
        <f t="shared" si="2"/>
        <v>758.20921291377692</v>
      </c>
      <c r="K59" s="376">
        <f t="shared" si="3"/>
        <v>790.91426463327548</v>
      </c>
      <c r="L59" s="150">
        <f>'As-Filed Schedule 4'!H59</f>
        <v>9</v>
      </c>
      <c r="M59" s="388">
        <f>SUMIFS(Adjustments!$G:$G,Adjustments!$H:$H,"4",Adjustments!$I:$I,'Schedule 4 Adjustments'!$L$14,Adjustments!$J:$J,'Schedule 4 Adjustments'!$A59)</f>
        <v>0</v>
      </c>
      <c r="N59" s="380">
        <f t="shared" si="4"/>
        <v>9</v>
      </c>
      <c r="O59" s="410">
        <v>3.97</v>
      </c>
      <c r="P59" s="47">
        <f t="shared" si="9"/>
        <v>35.730000000000004</v>
      </c>
      <c r="Q59" s="378">
        <f t="shared" si="5"/>
        <v>35.730000000000004</v>
      </c>
      <c r="R59" s="21">
        <f t="shared" si="6"/>
        <v>599.61963650750886</v>
      </c>
      <c r="S59" s="376">
        <f t="shared" si="7"/>
        <v>625.48399015818802</v>
      </c>
    </row>
    <row r="60" spans="1:19" s="22" customFormat="1" x14ac:dyDescent="0.35">
      <c r="A60" s="19">
        <v>48</v>
      </c>
      <c r="B60" s="19">
        <v>99205</v>
      </c>
      <c r="C60" s="20" t="s">
        <v>154</v>
      </c>
      <c r="D60" s="116">
        <f>'As-Filed Schedule 4'!D60</f>
        <v>0</v>
      </c>
      <c r="E60" s="388">
        <f>SUMIFS(Adjustments!$G:$G,Adjustments!$H:$H,"4",Adjustments!$I:$I,'Schedule 4 Adjustments'!$D$14,Adjustments!$J:$J,'Schedule 4 Adjustments'!$A60)</f>
        <v>0</v>
      </c>
      <c r="F60" s="380">
        <f t="shared" si="0"/>
        <v>0</v>
      </c>
      <c r="G60" s="410">
        <v>6.62</v>
      </c>
      <c r="H60" s="47">
        <f t="shared" si="8"/>
        <v>0</v>
      </c>
      <c r="I60" s="378">
        <f t="shared" si="1"/>
        <v>0</v>
      </c>
      <c r="J60" s="21">
        <f t="shared" si="2"/>
        <v>999.86951981856646</v>
      </c>
      <c r="K60" s="376">
        <f t="shared" si="3"/>
        <v>1042.9984924048374</v>
      </c>
      <c r="L60" s="150">
        <f>'As-Filed Schedule 4'!H60</f>
        <v>47</v>
      </c>
      <c r="M60" s="388">
        <f>SUMIFS(Adjustments!$G:$G,Adjustments!$H:$H,"4",Adjustments!$I:$I,'Schedule 4 Adjustments'!$L$14,Adjustments!$J:$J,'Schedule 4 Adjustments'!$A60)</f>
        <v>0</v>
      </c>
      <c r="N60" s="380">
        <f t="shared" si="4"/>
        <v>47</v>
      </c>
      <c r="O60" s="410">
        <v>5.4</v>
      </c>
      <c r="P60" s="47">
        <f t="shared" si="9"/>
        <v>253.8</v>
      </c>
      <c r="Q60" s="378">
        <f t="shared" si="5"/>
        <v>253.8</v>
      </c>
      <c r="R60" s="21">
        <f t="shared" si="6"/>
        <v>815.6035358036645</v>
      </c>
      <c r="S60" s="376">
        <f t="shared" si="7"/>
        <v>850.78426872902151</v>
      </c>
    </row>
    <row r="61" spans="1:19" s="22" customFormat="1" ht="43.5" x14ac:dyDescent="0.35">
      <c r="A61" s="19">
        <v>49</v>
      </c>
      <c r="B61" s="19">
        <v>99211</v>
      </c>
      <c r="C61" s="20" t="s">
        <v>345</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105.72638427084539</v>
      </c>
      <c r="K61" s="376">
        <f t="shared" si="3"/>
        <v>110.28684965005834</v>
      </c>
      <c r="L61" s="150">
        <f>'As-Filed Schedule 4'!H61</f>
        <v>1</v>
      </c>
      <c r="M61" s="388">
        <f>SUMIFS(Adjustments!$G:$G,Adjustments!$H:$H,"4",Adjustments!$I:$I,'Schedule 4 Adjustments'!$L$14,Adjustments!$J:$J,'Schedule 4 Adjustments'!$A61)</f>
        <v>0</v>
      </c>
      <c r="N61" s="380">
        <f t="shared" si="4"/>
        <v>1</v>
      </c>
      <c r="O61" s="410">
        <v>0.26</v>
      </c>
      <c r="P61" s="47">
        <f t="shared" si="9"/>
        <v>0.26</v>
      </c>
      <c r="Q61" s="378">
        <f t="shared" si="5"/>
        <v>0.26</v>
      </c>
      <c r="R61" s="21">
        <f t="shared" si="6"/>
        <v>39.269799872028287</v>
      </c>
      <c r="S61" s="376">
        <f t="shared" si="7"/>
        <v>40.963687012878815</v>
      </c>
    </row>
    <row r="62" spans="1:19" s="22" customFormat="1" x14ac:dyDescent="0.35">
      <c r="A62" s="19">
        <v>50</v>
      </c>
      <c r="B62" s="19">
        <v>99212</v>
      </c>
      <c r="C62" s="20" t="s">
        <v>155</v>
      </c>
      <c r="D62" s="116">
        <f>'As-Filed Schedule 4'!D62</f>
        <v>0</v>
      </c>
      <c r="E62" s="388">
        <f>SUMIFS(Adjustments!$G:$G,Adjustments!$H:$H,"4",Adjustments!$I:$I,'Schedule 4 Adjustments'!$D$14,Adjustments!$J:$J,'Schedule 4 Adjustments'!$A62)</f>
        <v>0</v>
      </c>
      <c r="F62" s="380">
        <f t="shared" si="0"/>
        <v>0</v>
      </c>
      <c r="G62" s="410">
        <v>1.7</v>
      </c>
      <c r="H62" s="47">
        <f t="shared" si="8"/>
        <v>0</v>
      </c>
      <c r="I62" s="378">
        <f t="shared" si="1"/>
        <v>0</v>
      </c>
      <c r="J62" s="21">
        <f t="shared" si="2"/>
        <v>256.76407608633878</v>
      </c>
      <c r="K62" s="376">
        <f t="shared" si="3"/>
        <v>267.83949200728455</v>
      </c>
      <c r="L62" s="150">
        <f>'As-Filed Schedule 4'!H62</f>
        <v>0</v>
      </c>
      <c r="M62" s="388">
        <f>SUMIFS(Adjustments!$G:$G,Adjustments!$H:$H,"4",Adjustments!$I:$I,'Schedule 4 Adjustments'!$L$14,Adjustments!$J:$J,'Schedule 4 Adjustments'!$A62)</f>
        <v>0</v>
      </c>
      <c r="N62" s="380">
        <f t="shared" si="4"/>
        <v>0</v>
      </c>
      <c r="O62" s="410">
        <v>1.05</v>
      </c>
      <c r="P62" s="47">
        <f t="shared" si="9"/>
        <v>0</v>
      </c>
      <c r="Q62" s="378">
        <f t="shared" si="5"/>
        <v>0</v>
      </c>
      <c r="R62" s="21">
        <f t="shared" si="6"/>
        <v>158.58957640626809</v>
      </c>
      <c r="S62" s="376">
        <f t="shared" si="7"/>
        <v>165.43027447508751</v>
      </c>
    </row>
    <row r="63" spans="1:19" s="22" customFormat="1" x14ac:dyDescent="0.35">
      <c r="A63" s="19">
        <v>51</v>
      </c>
      <c r="B63" s="19">
        <v>99213</v>
      </c>
      <c r="C63" s="20" t="s">
        <v>155</v>
      </c>
      <c r="D63" s="116">
        <f>'As-Filed Schedule 4'!D63</f>
        <v>0</v>
      </c>
      <c r="E63" s="388">
        <f>SUMIFS(Adjustments!$G:$G,Adjustments!$H:$H,"4",Adjustments!$I:$I,'Schedule 4 Adjustments'!$D$14,Adjustments!$J:$J,'Schedule 4 Adjustments'!$A63)</f>
        <v>0</v>
      </c>
      <c r="F63" s="380">
        <f t="shared" si="0"/>
        <v>0</v>
      </c>
      <c r="G63" s="410">
        <v>2.73</v>
      </c>
      <c r="H63" s="47">
        <f t="shared" si="8"/>
        <v>0</v>
      </c>
      <c r="I63" s="378">
        <f t="shared" si="1"/>
        <v>0</v>
      </c>
      <c r="J63" s="21">
        <f t="shared" si="2"/>
        <v>412.332898656297</v>
      </c>
      <c r="K63" s="376">
        <f t="shared" si="3"/>
        <v>430.11871363522755</v>
      </c>
      <c r="L63" s="150">
        <f>'As-Filed Schedule 4'!H63</f>
        <v>71</v>
      </c>
      <c r="M63" s="388">
        <f>SUMIFS(Adjustments!$G:$G,Adjustments!$H:$H,"4",Adjustments!$I:$I,'Schedule 4 Adjustments'!$L$14,Adjustments!$J:$J,'Schedule 4 Adjustments'!$A63)</f>
        <v>0</v>
      </c>
      <c r="N63" s="380">
        <f t="shared" si="4"/>
        <v>71</v>
      </c>
      <c r="O63" s="410">
        <v>1.96</v>
      </c>
      <c r="P63" s="47">
        <f t="shared" si="9"/>
        <v>139.16</v>
      </c>
      <c r="Q63" s="378">
        <f t="shared" si="5"/>
        <v>139.16</v>
      </c>
      <c r="R63" s="21">
        <f t="shared" si="6"/>
        <v>296.0338759583671</v>
      </c>
      <c r="S63" s="376">
        <f t="shared" si="7"/>
        <v>308.80317902016338</v>
      </c>
    </row>
    <row r="64" spans="1:19" s="22" customFormat="1" x14ac:dyDescent="0.35">
      <c r="A64" s="19">
        <v>52</v>
      </c>
      <c r="B64" s="19">
        <v>99214</v>
      </c>
      <c r="C64" s="20" t="s">
        <v>155</v>
      </c>
      <c r="D64" s="116">
        <f>'As-Filed Schedule 4'!D64</f>
        <v>0</v>
      </c>
      <c r="E64" s="388">
        <f>SUMIFS(Adjustments!$G:$G,Adjustments!$H:$H,"4",Adjustments!$I:$I,'Schedule 4 Adjustments'!$D$14,Adjustments!$J:$J,'Schedule 4 Adjustments'!$A64)</f>
        <v>0</v>
      </c>
      <c r="F64" s="380">
        <f t="shared" si="0"/>
        <v>0</v>
      </c>
      <c r="G64" s="410">
        <v>3.85</v>
      </c>
      <c r="H64" s="47">
        <f t="shared" si="8"/>
        <v>0</v>
      </c>
      <c r="I64" s="378">
        <f t="shared" si="1"/>
        <v>0</v>
      </c>
      <c r="J64" s="21">
        <f t="shared" si="2"/>
        <v>581.49511348964973</v>
      </c>
      <c r="K64" s="376">
        <f t="shared" si="3"/>
        <v>606.57767307532094</v>
      </c>
      <c r="L64" s="150">
        <f>'As-Filed Schedule 4'!H64</f>
        <v>1300</v>
      </c>
      <c r="M64" s="388">
        <f>SUMIFS(Adjustments!$G:$G,Adjustments!$H:$H,"4",Adjustments!$I:$I,'Schedule 4 Adjustments'!$L$14,Adjustments!$J:$J,'Schedule 4 Adjustments'!$A64)</f>
        <v>0</v>
      </c>
      <c r="N64" s="380">
        <f t="shared" si="4"/>
        <v>1300</v>
      </c>
      <c r="O64" s="410">
        <v>2.89</v>
      </c>
      <c r="P64" s="47">
        <f t="shared" si="9"/>
        <v>3757</v>
      </c>
      <c r="Q64" s="378">
        <f t="shared" si="5"/>
        <v>3757</v>
      </c>
      <c r="R64" s="21">
        <f t="shared" si="6"/>
        <v>436.49892934677598</v>
      </c>
      <c r="S64" s="376">
        <f t="shared" si="7"/>
        <v>455.32713641238377</v>
      </c>
    </row>
    <row r="65" spans="1:19" s="22" customFormat="1" x14ac:dyDescent="0.35">
      <c r="A65" s="19">
        <v>53</v>
      </c>
      <c r="B65" s="19">
        <v>99215</v>
      </c>
      <c r="C65" s="20" t="s">
        <v>155</v>
      </c>
      <c r="D65" s="116">
        <f>'As-Filed Schedule 4'!D65</f>
        <v>0</v>
      </c>
      <c r="E65" s="388">
        <f>SUMIFS(Adjustments!$G:$G,Adjustments!$H:$H,"4",Adjustments!$I:$I,'Schedule 4 Adjustments'!$D$14,Adjustments!$J:$J,'Schedule 4 Adjustments'!$A65)</f>
        <v>0</v>
      </c>
      <c r="F65" s="380">
        <f t="shared" si="0"/>
        <v>0</v>
      </c>
      <c r="G65" s="410">
        <v>5.42</v>
      </c>
      <c r="H65" s="47">
        <f t="shared" si="8"/>
        <v>0</v>
      </c>
      <c r="I65" s="378">
        <f t="shared" si="1"/>
        <v>0</v>
      </c>
      <c r="J65" s="21">
        <f t="shared" si="2"/>
        <v>818.62428963997434</v>
      </c>
      <c r="K65" s="376">
        <f t="shared" si="3"/>
        <v>853.93532157616607</v>
      </c>
      <c r="L65" s="150">
        <f>'As-Filed Schedule 4'!H65</f>
        <v>5546</v>
      </c>
      <c r="M65" s="388">
        <f>SUMIFS(Adjustments!$G:$G,Adjustments!$H:$H,"4",Adjustments!$I:$I,'Schedule 4 Adjustments'!$L$14,Adjustments!$J:$J,'Schedule 4 Adjustments'!$A65)</f>
        <v>0</v>
      </c>
      <c r="N65" s="380">
        <f t="shared" si="4"/>
        <v>5546</v>
      </c>
      <c r="O65" s="410">
        <v>4.29</v>
      </c>
      <c r="P65" s="47">
        <f t="shared" si="9"/>
        <v>23792.34</v>
      </c>
      <c r="Q65" s="378">
        <f t="shared" si="5"/>
        <v>23792.34</v>
      </c>
      <c r="R65" s="21">
        <f t="shared" si="6"/>
        <v>647.95169788846681</v>
      </c>
      <c r="S65" s="376">
        <f t="shared" si="7"/>
        <v>675.90083571250045</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371.55272186611381</v>
      </c>
      <c r="K66" s="376">
        <f t="shared" si="3"/>
        <v>387.57950019877649</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371.55272186611381</v>
      </c>
      <c r="S66" s="376">
        <f t="shared" si="7"/>
        <v>387.57950019877649</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586.02624424411442</v>
      </c>
      <c r="K67" s="376">
        <f t="shared" si="3"/>
        <v>611.30425234603763</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586.02624424411442</v>
      </c>
      <c r="S67" s="376">
        <f t="shared" si="7"/>
        <v>611.30425234603763</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776.33373593163617</v>
      </c>
      <c r="K68" s="376">
        <f t="shared" si="3"/>
        <v>809.82058171614267</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776.33373593163617</v>
      </c>
      <c r="S68" s="376">
        <f t="shared" si="7"/>
        <v>809.82058171614267</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222.02540696877531</v>
      </c>
      <c r="K69" s="376">
        <f t="shared" si="3"/>
        <v>231.60238426512251</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222.02540696877531</v>
      </c>
      <c r="S69" s="376">
        <f t="shared" si="7"/>
        <v>231.60238426512251</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353.42819884825457</v>
      </c>
      <c r="K70" s="376">
        <f t="shared" si="3"/>
        <v>368.6731831159093</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353.42819884825457</v>
      </c>
      <c r="S70" s="376">
        <f t="shared" si="7"/>
        <v>368.6731831159093</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531.6526751905368</v>
      </c>
      <c r="K71" s="376">
        <f t="shared" si="3"/>
        <v>554.58530109743629</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531.6526751905368</v>
      </c>
      <c r="S71" s="376">
        <f t="shared" si="7"/>
        <v>554.58530109743629</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438.0093062649309</v>
      </c>
      <c r="K72" s="376">
        <f t="shared" si="3"/>
        <v>456.90266283595599</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438.0093062649309</v>
      </c>
      <c r="S72" s="376">
        <f t="shared" si="7"/>
        <v>456.90266283595599</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714.4082822872839</v>
      </c>
      <c r="K73" s="376">
        <f t="shared" si="3"/>
        <v>745.22399834967996</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714.4082822872839</v>
      </c>
      <c r="S73" s="376">
        <f t="shared" si="7"/>
        <v>745.22399834967996</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933.41293541974926</v>
      </c>
      <c r="K74" s="376">
        <f t="shared" si="3"/>
        <v>973.6753297676579</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933.41293541974926</v>
      </c>
      <c r="S74" s="376">
        <f t="shared" si="7"/>
        <v>973.6753297676579</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364.00083727533917</v>
      </c>
      <c r="K75" s="376">
        <f t="shared" si="3"/>
        <v>379.70186808091518</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364.00083727533917</v>
      </c>
      <c r="S75" s="376">
        <f t="shared" si="7"/>
        <v>379.70186808091518</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513.52815217267755</v>
      </c>
      <c r="K76" s="376">
        <f t="shared" si="3"/>
        <v>535.6789840145691</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513.52815217267755</v>
      </c>
      <c r="S76" s="376">
        <f t="shared" si="7"/>
        <v>535.6789840145691</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339.83480658486019</v>
      </c>
      <c r="K77" s="376">
        <f t="shared" si="3"/>
        <v>354.49344530375896</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250.72256841371907</v>
      </c>
      <c r="S77" s="376">
        <f t="shared" si="7"/>
        <v>261.53738631299547</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508.99702141821285</v>
      </c>
      <c r="K78" s="376">
        <f t="shared" si="3"/>
        <v>530.9524047438523</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395.71875255659279</v>
      </c>
      <c r="S78" s="376">
        <f t="shared" si="7"/>
        <v>412.78792297593264</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726.49129763252324</v>
      </c>
      <c r="K79" s="376">
        <f t="shared" si="3"/>
        <v>757.82820973825801</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602.64039034381881</v>
      </c>
      <c r="S79" s="376">
        <f t="shared" si="7"/>
        <v>628.63504300533259</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948.51670460129867</v>
      </c>
      <c r="K80" s="376">
        <f t="shared" si="3"/>
        <v>989.43059400338063</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809.56202813104471</v>
      </c>
      <c r="S80" s="376">
        <f t="shared" si="7"/>
        <v>844.48216303473248</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318.68952973069111</v>
      </c>
      <c r="K81" s="376">
        <f t="shared" si="3"/>
        <v>332.43607537374726</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318.68952973069111</v>
      </c>
      <c r="S81" s="376">
        <f t="shared" si="7"/>
        <v>332.43607537374726</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447.07156777386052</v>
      </c>
      <c r="K82" s="376">
        <f t="shared" si="3"/>
        <v>466.35582137738959</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447.07156777386052</v>
      </c>
      <c r="S82" s="376">
        <f t="shared" si="7"/>
        <v>466.35582137738959</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620.76491336167794</v>
      </c>
      <c r="K83" s="376">
        <f t="shared" ref="K83:K146" si="14">G83*$I$12</f>
        <v>647.54136008819978</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620.76491336167794</v>
      </c>
      <c r="S83" s="376">
        <f t="shared" ref="S83:S146" si="18">O83*$I$12</f>
        <v>647.54136008819978</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835.23843573967861</v>
      </c>
      <c r="K84" s="376">
        <f t="shared" si="14"/>
        <v>871.26611223546092</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835.23843573967861</v>
      </c>
      <c r="S84" s="376">
        <f t="shared" si="18"/>
        <v>871.26611223546092</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51.352815217267768</v>
      </c>
      <c r="K85" s="376">
        <f t="shared" si="14"/>
        <v>53.567898401456915</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51.352815217267768</v>
      </c>
      <c r="S85" s="376">
        <f t="shared" si="18"/>
        <v>53.567898401456915</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187.28673785121183</v>
      </c>
      <c r="K86" s="376">
        <f t="shared" si="14"/>
        <v>195.3652765229605</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187.28673785121183</v>
      </c>
      <c r="S86" s="376">
        <f t="shared" si="18"/>
        <v>195.3652765229605</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318.68952973069111</v>
      </c>
      <c r="K87" s="376">
        <f t="shared" si="14"/>
        <v>332.43607537374726</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318.68952973069111</v>
      </c>
      <c r="S87" s="376">
        <f t="shared" si="18"/>
        <v>332.43607537374726</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542.2253136176214</v>
      </c>
      <c r="K88" s="376">
        <f t="shared" si="14"/>
        <v>565.61398606244211</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542.2253136176214</v>
      </c>
      <c r="S88" s="376">
        <f t="shared" si="18"/>
        <v>565.61398606244211</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785.39599744056579</v>
      </c>
      <c r="K89" s="376">
        <f t="shared" si="14"/>
        <v>819.27374025757626</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785.39599744056579</v>
      </c>
      <c r="S89" s="376">
        <f t="shared" si="18"/>
        <v>819.27374025757626</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360.98008343902927</v>
      </c>
      <c r="K90" s="376">
        <f t="shared" si="14"/>
        <v>376.55081523377066</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360.98008343902927</v>
      </c>
      <c r="S90" s="376">
        <f t="shared" si="18"/>
        <v>376.55081523377066</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599.61963650750886</v>
      </c>
      <c r="K91" s="376">
        <f t="shared" si="14"/>
        <v>625.48399015818802</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599.61963650750886</v>
      </c>
      <c r="S91" s="376">
        <f t="shared" si="18"/>
        <v>625.48399015818802</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818.62428963997434</v>
      </c>
      <c r="K92" s="376">
        <f t="shared" si="14"/>
        <v>853.93532157616607</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818.62428963997434</v>
      </c>
      <c r="S92" s="376">
        <f t="shared" si="18"/>
        <v>853.93532157616607</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181.2452301785921</v>
      </c>
      <c r="K93" s="376">
        <f t="shared" si="14"/>
        <v>189.06317082867145</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181.2452301785921</v>
      </c>
      <c r="S93" s="376">
        <f t="shared" si="18"/>
        <v>189.06317082867145</v>
      </c>
    </row>
    <row r="94" spans="1:19" s="22" customFormat="1" x14ac:dyDescent="0.35">
      <c r="A94" s="19">
        <v>82</v>
      </c>
      <c r="B94" s="19">
        <v>99308</v>
      </c>
      <c r="C94" s="20" t="s">
        <v>367</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335.30367583039543</v>
      </c>
      <c r="K94" s="376">
        <f t="shared" si="14"/>
        <v>349.76686603304222</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335.30367583039543</v>
      </c>
      <c r="S94" s="376">
        <f t="shared" si="18"/>
        <v>349.76686603304222</v>
      </c>
    </row>
    <row r="95" spans="1:19" s="22" customFormat="1" x14ac:dyDescent="0.35">
      <c r="A95" s="19">
        <v>83</v>
      </c>
      <c r="B95" s="19">
        <v>99309</v>
      </c>
      <c r="C95" s="20" t="s">
        <v>368</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484.83099072773388</v>
      </c>
      <c r="K95" s="376">
        <f t="shared" si="14"/>
        <v>505.74398196669614</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484.83099072773388</v>
      </c>
      <c r="S95" s="376">
        <f t="shared" si="18"/>
        <v>505.74398196669614</v>
      </c>
    </row>
    <row r="96" spans="1:19" s="22" customFormat="1" x14ac:dyDescent="0.35">
      <c r="A96" s="19">
        <v>84</v>
      </c>
      <c r="B96" s="19">
        <v>99310</v>
      </c>
      <c r="C96" s="20" t="s">
        <v>369</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691.75262851495984</v>
      </c>
      <c r="K96" s="376">
        <f t="shared" si="14"/>
        <v>721.59110199609597</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691.75262851495984</v>
      </c>
      <c r="S96" s="376">
        <f t="shared" si="18"/>
        <v>721.59110199609597</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367.021591111649</v>
      </c>
      <c r="K97" s="376">
        <f t="shared" si="14"/>
        <v>382.85292092805969</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367.021591111649</v>
      </c>
      <c r="S97" s="376">
        <f t="shared" si="18"/>
        <v>382.85292092805969</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589.04699808042426</v>
      </c>
      <c r="K98" s="376">
        <f t="shared" si="14"/>
        <v>614.4553051931822</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589.04699808042426</v>
      </c>
      <c r="S98" s="376">
        <f t="shared" si="18"/>
        <v>614.4553051931822</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222.02540696877531</v>
      </c>
      <c r="K99" s="376">
        <f t="shared" si="14"/>
        <v>231.60238426512251</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222.02540696877531</v>
      </c>
      <c r="S99" s="376">
        <f t="shared" si="18"/>
        <v>231.60238426512251</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351.91782193009965</v>
      </c>
      <c r="K100" s="376">
        <f t="shared" si="14"/>
        <v>367.09765669233707</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351.91782193009965</v>
      </c>
      <c r="S100" s="376">
        <f t="shared" si="18"/>
        <v>367.09765669233707</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638.88943637953719</v>
      </c>
      <c r="K101" s="376">
        <f t="shared" si="14"/>
        <v>666.44767717106686</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638.88943637953719</v>
      </c>
      <c r="S101" s="376">
        <f t="shared" si="18"/>
        <v>666.44767717106686</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907.73652781111537</v>
      </c>
      <c r="K102" s="376">
        <f t="shared" si="14"/>
        <v>946.89138056692946</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907.73652781111537</v>
      </c>
      <c r="S102" s="376">
        <f t="shared" si="18"/>
        <v>946.89138056692946</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203.90088395091612</v>
      </c>
      <c r="K103" s="376">
        <f t="shared" si="14"/>
        <v>212.69606718225538</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203.90088395091612</v>
      </c>
      <c r="S103" s="376">
        <f t="shared" si="18"/>
        <v>212.69606718225538</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344.36593733932494</v>
      </c>
      <c r="K104" s="376">
        <f t="shared" si="14"/>
        <v>359.2200245744757</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344.36593733932494</v>
      </c>
      <c r="S104" s="376">
        <f t="shared" si="18"/>
        <v>359.2200245744757</v>
      </c>
    </row>
    <row r="105" spans="1:19" s="22" customFormat="1" x14ac:dyDescent="0.35">
      <c r="A105" s="19">
        <v>93</v>
      </c>
      <c r="B105" s="19">
        <v>99349</v>
      </c>
      <c r="C105" s="20" t="s">
        <v>377</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572.4328519807201</v>
      </c>
      <c r="K105" s="376">
        <f t="shared" si="14"/>
        <v>597.12451453388735</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572.4328519807201</v>
      </c>
      <c r="S105" s="376">
        <f t="shared" si="18"/>
        <v>597.12451453388735</v>
      </c>
    </row>
    <row r="106" spans="1:19" s="22" customFormat="1" x14ac:dyDescent="0.35">
      <c r="A106" s="19">
        <v>94</v>
      </c>
      <c r="B106" s="19">
        <v>99350</v>
      </c>
      <c r="C106" s="20" t="s">
        <v>378</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833.72805882152363</v>
      </c>
      <c r="K106" s="376">
        <f t="shared" si="14"/>
        <v>869.69058581188858</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833.72805882152363</v>
      </c>
      <c r="S106" s="376">
        <f t="shared" si="18"/>
        <v>869.69058581188858</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184.26598401490196</v>
      </c>
      <c r="K107" s="376">
        <f t="shared" si="14"/>
        <v>192.21422367581596</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179.73485326043715</v>
      </c>
      <c r="S107" s="376">
        <f t="shared" si="18"/>
        <v>187.48764440509919</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241.66030690478948</v>
      </c>
      <c r="K108" s="376">
        <f t="shared" si="14"/>
        <v>252.08422777156193</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241.66030690478948</v>
      </c>
      <c r="S108" s="376">
        <f t="shared" si="18"/>
        <v>252.08422777156193</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157.07919948811315</v>
      </c>
      <c r="K109" s="376">
        <f t="shared" si="14"/>
        <v>163.85474805151526</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157.07919948811315</v>
      </c>
      <c r="S109" s="376">
        <f t="shared" si="18"/>
        <v>163.85474805151526</v>
      </c>
    </row>
    <row r="110" spans="1:19" s="22" customFormat="1" x14ac:dyDescent="0.35">
      <c r="A110" s="19">
        <v>98</v>
      </c>
      <c r="B110" s="19">
        <v>99441</v>
      </c>
      <c r="C110" s="20" t="s">
        <v>382</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255.25369916818386</v>
      </c>
      <c r="K110" s="376">
        <f t="shared" si="14"/>
        <v>266.26396558371226</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157.07919948811315</v>
      </c>
      <c r="S110" s="376">
        <f t="shared" si="18"/>
        <v>163.85474805151526</v>
      </c>
    </row>
    <row r="111" spans="1:19" s="22" customFormat="1" x14ac:dyDescent="0.35">
      <c r="A111" s="19">
        <v>99</v>
      </c>
      <c r="B111" s="19">
        <v>99442</v>
      </c>
      <c r="C111" s="20" t="s">
        <v>383</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410.82252173814214</v>
      </c>
      <c r="K111" s="376">
        <f t="shared" si="14"/>
        <v>428.54318721165532</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294.52349904021213</v>
      </c>
      <c r="S111" s="376">
        <f t="shared" si="18"/>
        <v>307.2276525965911</v>
      </c>
    </row>
    <row r="112" spans="1:19" s="22" customFormat="1" x14ac:dyDescent="0.35">
      <c r="A112" s="19">
        <v>100</v>
      </c>
      <c r="B112" s="19">
        <v>99443</v>
      </c>
      <c r="C112" s="20" t="s">
        <v>384</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581.49511348964973</v>
      </c>
      <c r="K112" s="376">
        <f t="shared" si="14"/>
        <v>606.57767307532094</v>
      </c>
      <c r="L112" s="150">
        <f>'As-Filed Schedule 4'!H112</f>
        <v>2</v>
      </c>
      <c r="M112" s="388">
        <f>SUMIFS(Adjustments!$G:$G,Adjustments!$H:$H,"4",Adjustments!$I:$I,'Schedule 4 Adjustments'!$L$14,Adjustments!$J:$J,'Schedule 4 Adjustments'!$A112)</f>
        <v>0</v>
      </c>
      <c r="N112" s="380">
        <f t="shared" si="15"/>
        <v>2</v>
      </c>
      <c r="O112" s="410">
        <v>2.89</v>
      </c>
      <c r="P112" s="47">
        <f t="shared" si="16"/>
        <v>5.78</v>
      </c>
      <c r="Q112" s="378">
        <f t="shared" si="17"/>
        <v>5.78</v>
      </c>
      <c r="R112" s="21">
        <f t="shared" si="11"/>
        <v>436.49892934677598</v>
      </c>
      <c r="S112" s="376">
        <f t="shared" si="18"/>
        <v>455.32713641238377</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191.81786860567664</v>
      </c>
      <c r="K113" s="376">
        <f t="shared" si="14"/>
        <v>200.09185579367727</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167.65183791519772</v>
      </c>
      <c r="S113" s="376">
        <f t="shared" si="18"/>
        <v>174.88343301652111</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113.27826886162006</v>
      </c>
      <c r="K114" s="376">
        <f t="shared" si="14"/>
        <v>118.16448176791965</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55.883945971732565</v>
      </c>
      <c r="S114" s="376">
        <f t="shared" si="18"/>
        <v>58.294477672173699</v>
      </c>
    </row>
    <row r="115" spans="1:19" s="22" customFormat="1" x14ac:dyDescent="0.35">
      <c r="A115" s="19">
        <v>103</v>
      </c>
      <c r="B115" s="19" t="s">
        <v>44</v>
      </c>
      <c r="C115" s="20" t="s">
        <v>129</v>
      </c>
      <c r="D115" s="116">
        <f>'As-Filed Schedule 4'!D115</f>
        <v>0</v>
      </c>
      <c r="E115" s="388">
        <f>SUMIFS(Adjustments!$G:$G,Adjustments!$H:$H,"4",Adjustments!$I:$I,'Schedule 4 Adjustments'!$D$14,Adjustments!$J:$J,'Schedule 4 Adjustments'!$A115)</f>
        <v>0</v>
      </c>
      <c r="F115" s="380">
        <f t="shared" si="12"/>
        <v>0</v>
      </c>
      <c r="G115" s="410">
        <v>5.17</v>
      </c>
      <c r="H115" s="47">
        <f t="shared" si="19"/>
        <v>0</v>
      </c>
      <c r="I115" s="378">
        <f t="shared" si="13"/>
        <v>0</v>
      </c>
      <c r="J115" s="21">
        <f t="shared" si="10"/>
        <v>780.86486668610098</v>
      </c>
      <c r="K115" s="376">
        <f t="shared" si="14"/>
        <v>814.54716098685947</v>
      </c>
      <c r="L115" s="150">
        <f>'As-Filed Schedule 4'!H115</f>
        <v>0</v>
      </c>
      <c r="M115" s="388">
        <f>SUMIFS(Adjustments!$G:$G,Adjustments!$H:$H,"4",Adjustments!$I:$I,'Schedule 4 Adjustments'!$L$14,Adjustments!$J:$J,'Schedule 4 Adjustments'!$A115)</f>
        <v>0</v>
      </c>
      <c r="N115" s="380">
        <f t="shared" si="15"/>
        <v>0</v>
      </c>
      <c r="O115" s="410">
        <v>4.43</v>
      </c>
      <c r="P115" s="47">
        <f t="shared" si="16"/>
        <v>0</v>
      </c>
      <c r="Q115" s="378">
        <f t="shared" si="17"/>
        <v>0</v>
      </c>
      <c r="R115" s="21">
        <f t="shared" si="11"/>
        <v>669.09697474263578</v>
      </c>
      <c r="S115" s="376">
        <f t="shared" si="18"/>
        <v>697.9582056425121</v>
      </c>
    </row>
    <row r="116" spans="1:19" s="22" customFormat="1" x14ac:dyDescent="0.35">
      <c r="A116" s="19">
        <v>104</v>
      </c>
      <c r="B116" s="19" t="s">
        <v>45</v>
      </c>
      <c r="C116" s="20" t="s">
        <v>387</v>
      </c>
      <c r="D116" s="116">
        <f>'As-Filed Schedule 4'!D116</f>
        <v>0</v>
      </c>
      <c r="E116" s="388">
        <f>SUMIFS(Adjustments!$G:$G,Adjustments!$H:$H,"4",Adjustments!$I:$I,'Schedule 4 Adjustments'!$D$14,Adjustments!$J:$J,'Schedule 4 Adjustments'!$A116)</f>
        <v>0</v>
      </c>
      <c r="F116" s="380">
        <f t="shared" si="12"/>
        <v>0</v>
      </c>
      <c r="G116" s="410">
        <v>0.72</v>
      </c>
      <c r="H116" s="47">
        <f t="shared" si="19"/>
        <v>0</v>
      </c>
      <c r="I116" s="378">
        <f t="shared" si="13"/>
        <v>0</v>
      </c>
      <c r="J116" s="21">
        <f t="shared" si="10"/>
        <v>108.74713810715525</v>
      </c>
      <c r="K116" s="376">
        <f t="shared" si="14"/>
        <v>113.43790249720287</v>
      </c>
      <c r="L116" s="150">
        <f>'As-Filed Schedule 4'!H116</f>
        <v>0</v>
      </c>
      <c r="M116" s="388">
        <f>SUMIFS(Adjustments!$G:$G,Adjustments!$H:$H,"4",Adjustments!$I:$I,'Schedule 4 Adjustments'!$L$14,Adjustments!$J:$J,'Schedule 4 Adjustments'!$A116)</f>
        <v>0</v>
      </c>
      <c r="N116" s="380">
        <f t="shared" si="15"/>
        <v>0</v>
      </c>
      <c r="O116" s="410">
        <v>0.66</v>
      </c>
      <c r="P116" s="47">
        <f t="shared" si="16"/>
        <v>0</v>
      </c>
      <c r="Q116" s="378">
        <f t="shared" si="17"/>
        <v>0</v>
      </c>
      <c r="R116" s="21">
        <f t="shared" si="11"/>
        <v>99.684876598225657</v>
      </c>
      <c r="S116" s="376">
        <f t="shared" si="18"/>
        <v>103.9847439557693</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0</v>
      </c>
      <c r="E118" s="388">
        <f>SUMIFS(Adjustments!$G:$G,Adjustments!$H:$H,"4",Adjustments!$I:$I,'Schedule 4 Adjustments'!$D$14,Adjustments!$J:$J,'Schedule 4 Adjustments'!$A118)</f>
        <v>0</v>
      </c>
      <c r="F118" s="380">
        <f t="shared" si="12"/>
        <v>0</v>
      </c>
      <c r="G118" s="410">
        <v>1.18</v>
      </c>
      <c r="H118" s="47">
        <f t="shared" si="19"/>
        <v>0</v>
      </c>
      <c r="I118" s="378">
        <f t="shared" si="13"/>
        <v>0</v>
      </c>
      <c r="J118" s="21">
        <f t="shared" si="10"/>
        <v>178.22447634228223</v>
      </c>
      <c r="K118" s="376">
        <f t="shared" si="14"/>
        <v>185.9121179815269</v>
      </c>
      <c r="L118" s="150">
        <f>'As-Filed Schedule 4'!H118</f>
        <v>0</v>
      </c>
      <c r="M118" s="388">
        <f>SUMIFS(Adjustments!$G:$G,Adjustments!$H:$H,"4",Adjustments!$I:$I,'Schedule 4 Adjustments'!$L$14,Adjustments!$J:$J,'Schedule 4 Adjustments'!$A118)</f>
        <v>0</v>
      </c>
      <c r="N118" s="380">
        <f t="shared" si="15"/>
        <v>0</v>
      </c>
      <c r="O118" s="410">
        <v>1.03</v>
      </c>
      <c r="P118" s="47">
        <f t="shared" si="16"/>
        <v>0</v>
      </c>
      <c r="Q118" s="378">
        <f t="shared" si="17"/>
        <v>0</v>
      </c>
      <c r="R118" s="21">
        <f t="shared" si="11"/>
        <v>155.56882256995823</v>
      </c>
      <c r="S118" s="376">
        <f t="shared" si="18"/>
        <v>162.279221627943</v>
      </c>
    </row>
    <row r="119" spans="1:19" s="22" customFormat="1" x14ac:dyDescent="0.35">
      <c r="A119" s="19">
        <v>107</v>
      </c>
      <c r="B119" s="19" t="s">
        <v>47</v>
      </c>
      <c r="C119" s="20" t="s">
        <v>131</v>
      </c>
      <c r="D119" s="116">
        <f>'As-Filed Schedule 4'!D119</f>
        <v>0</v>
      </c>
      <c r="E119" s="388">
        <f>SUMIFS(Adjustments!$G:$G,Adjustments!$H:$H,"4",Adjustments!$I:$I,'Schedule 4 Adjustments'!$D$14,Adjustments!$J:$J,'Schedule 4 Adjustments'!$A119)</f>
        <v>0</v>
      </c>
      <c r="F119" s="380">
        <f t="shared" si="12"/>
        <v>0</v>
      </c>
      <c r="G119" s="410">
        <v>0.83</v>
      </c>
      <c r="H119" s="47">
        <f t="shared" si="19"/>
        <v>0</v>
      </c>
      <c r="I119" s="378">
        <f t="shared" si="13"/>
        <v>0</v>
      </c>
      <c r="J119" s="21">
        <f t="shared" si="10"/>
        <v>125.36128420685954</v>
      </c>
      <c r="K119" s="376">
        <f t="shared" si="14"/>
        <v>130.76869315649773</v>
      </c>
      <c r="L119" s="150">
        <f>'As-Filed Schedule 4'!H119</f>
        <v>0</v>
      </c>
      <c r="M119" s="388">
        <f>SUMIFS(Adjustments!$G:$G,Adjustments!$H:$H,"4",Adjustments!$I:$I,'Schedule 4 Adjustments'!$L$14,Adjustments!$J:$J,'Schedule 4 Adjustments'!$A119)</f>
        <v>0</v>
      </c>
      <c r="N119" s="380">
        <f t="shared" si="15"/>
        <v>0</v>
      </c>
      <c r="O119" s="410">
        <v>0.72</v>
      </c>
      <c r="P119" s="47">
        <f t="shared" si="16"/>
        <v>0</v>
      </c>
      <c r="Q119" s="378">
        <f t="shared" si="17"/>
        <v>0</v>
      </c>
      <c r="R119" s="21">
        <f t="shared" si="11"/>
        <v>108.74713810715525</v>
      </c>
      <c r="S119" s="376">
        <f t="shared" si="18"/>
        <v>113.43790249720287</v>
      </c>
    </row>
    <row r="120" spans="1:19" s="22" customFormat="1" x14ac:dyDescent="0.35">
      <c r="A120" s="19">
        <v>108</v>
      </c>
      <c r="B120" s="19" t="s">
        <v>48</v>
      </c>
      <c r="C120" s="20" t="s">
        <v>132</v>
      </c>
      <c r="D120" s="116">
        <f>'As-Filed Schedule 4'!D120</f>
        <v>0</v>
      </c>
      <c r="E120" s="388">
        <f>SUMIFS(Adjustments!$G:$G,Adjustments!$H:$H,"4",Adjustments!$I:$I,'Schedule 4 Adjustments'!$D$14,Adjustments!$J:$J,'Schedule 4 Adjustments'!$A120)</f>
        <v>0</v>
      </c>
      <c r="F120" s="380">
        <f t="shared" si="12"/>
        <v>0</v>
      </c>
      <c r="G120" s="410">
        <v>0.64</v>
      </c>
      <c r="H120" s="47">
        <f t="shared" si="19"/>
        <v>0</v>
      </c>
      <c r="I120" s="378">
        <f t="shared" si="13"/>
        <v>0</v>
      </c>
      <c r="J120" s="21">
        <f t="shared" si="10"/>
        <v>96.664122761915792</v>
      </c>
      <c r="K120" s="376">
        <f t="shared" si="14"/>
        <v>100.83369110862478</v>
      </c>
      <c r="L120" s="150">
        <f>'As-Filed Schedule 4'!H120</f>
        <v>0</v>
      </c>
      <c r="M120" s="388">
        <f>SUMIFS(Adjustments!$G:$G,Adjustments!$H:$H,"4",Adjustments!$I:$I,'Schedule 4 Adjustments'!$L$14,Adjustments!$J:$J,'Schedule 4 Adjustments'!$A120)</f>
        <v>0</v>
      </c>
      <c r="N120" s="380">
        <f t="shared" si="15"/>
        <v>0</v>
      </c>
      <c r="O120" s="410">
        <v>0.6</v>
      </c>
      <c r="P120" s="47">
        <f t="shared" si="16"/>
        <v>0</v>
      </c>
      <c r="Q120" s="378">
        <f t="shared" si="17"/>
        <v>0</v>
      </c>
      <c r="R120" s="21">
        <f t="shared" si="11"/>
        <v>90.622615089296048</v>
      </c>
      <c r="S120" s="376">
        <f t="shared" si="18"/>
        <v>94.531585414335723</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398.73950639290263</v>
      </c>
      <c r="K124" s="376">
        <f t="shared" si="14"/>
        <v>415.93897582307721</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398.73950639290263</v>
      </c>
      <c r="S124" s="376">
        <f t="shared" si="18"/>
        <v>415.93897582307721</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154.05844565180328</v>
      </c>
      <c r="K128" s="376">
        <f t="shared" si="14"/>
        <v>160.70369520437072</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141.97543030656379</v>
      </c>
      <c r="S128" s="376">
        <f t="shared" si="18"/>
        <v>148.09948381579264</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18.124523017859211</v>
      </c>
      <c r="K130" s="376">
        <f t="shared" si="14"/>
        <v>18.906317082867144</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13.593392263394406</v>
      </c>
      <c r="S130" s="376">
        <f t="shared" si="18"/>
        <v>14.179737812150359</v>
      </c>
    </row>
    <row r="131" spans="1:19" s="22" customFormat="1" x14ac:dyDescent="0.35">
      <c r="A131" s="19">
        <v>119</v>
      </c>
      <c r="B131" s="19" t="s">
        <v>56</v>
      </c>
      <c r="C131" s="20" t="s">
        <v>393</v>
      </c>
      <c r="D131" s="116">
        <f>'As-Filed Schedule 4'!D131</f>
        <v>1775</v>
      </c>
      <c r="E131" s="388">
        <f>SUMIFS(Adjustments!$G:$G,Adjustments!$H:$H,"4",Adjustments!$I:$I,'Schedule 4 Adjustments'!$D$14,Adjustments!$J:$J,'Schedule 4 Adjustments'!$A131)</f>
        <v>0</v>
      </c>
      <c r="F131" s="380">
        <f t="shared" si="12"/>
        <v>1775</v>
      </c>
      <c r="G131" s="410">
        <v>0.59</v>
      </c>
      <c r="H131" s="47">
        <f t="shared" si="19"/>
        <v>1047.25</v>
      </c>
      <c r="I131" s="378">
        <f t="shared" si="13"/>
        <v>1047.25</v>
      </c>
      <c r="J131" s="21">
        <f t="shared" si="10"/>
        <v>89.112238171141115</v>
      </c>
      <c r="K131" s="376">
        <f t="shared" si="14"/>
        <v>92.956058990763452</v>
      </c>
      <c r="L131" s="150">
        <f>'As-Filed Schedule 4'!H131</f>
        <v>0</v>
      </c>
      <c r="M131" s="388">
        <f>SUMIFS(Adjustments!$G:$G,Adjustments!$H:$H,"4",Adjustments!$I:$I,'Schedule 4 Adjustments'!$L$14,Adjustments!$J:$J,'Schedule 4 Adjustments'!$A131)</f>
        <v>0</v>
      </c>
      <c r="N131" s="380">
        <f t="shared" si="15"/>
        <v>0</v>
      </c>
      <c r="O131" s="410">
        <v>0.55000000000000004</v>
      </c>
      <c r="P131" s="47">
        <f t="shared" si="16"/>
        <v>0</v>
      </c>
      <c r="Q131" s="378">
        <f t="shared" si="17"/>
        <v>0</v>
      </c>
      <c r="R131" s="21">
        <f t="shared" si="11"/>
        <v>83.070730498521385</v>
      </c>
      <c r="S131" s="376">
        <f t="shared" si="18"/>
        <v>86.653953296474413</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113.27826886162006</v>
      </c>
      <c r="K132" s="376">
        <f t="shared" si="14"/>
        <v>118.16448176791965</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55.883945971732565</v>
      </c>
      <c r="S132" s="376">
        <f t="shared" si="18"/>
        <v>58.294477672173699</v>
      </c>
    </row>
    <row r="133" spans="1:19" s="22" customFormat="1" ht="29" x14ac:dyDescent="0.35">
      <c r="A133" s="19">
        <v>121</v>
      </c>
      <c r="B133" s="19" t="s">
        <v>58</v>
      </c>
      <c r="C133" s="20" t="s">
        <v>137</v>
      </c>
      <c r="D133" s="116">
        <f>'As-Filed Schedule 4'!D133</f>
        <v>0</v>
      </c>
      <c r="E133" s="388">
        <f>SUMIFS(Adjustments!$G:$G,Adjustments!$H:$H,"4",Adjustments!$I:$I,'Schedule 4 Adjustments'!$D$14,Adjustments!$J:$J,'Schedule 4 Adjustments'!$A133)</f>
        <v>0</v>
      </c>
      <c r="F133" s="380">
        <f t="shared" si="12"/>
        <v>0</v>
      </c>
      <c r="G133" s="410">
        <v>0.75</v>
      </c>
      <c r="H133" s="47">
        <f t="shared" si="19"/>
        <v>0</v>
      </c>
      <c r="I133" s="378">
        <f t="shared" si="13"/>
        <v>0</v>
      </c>
      <c r="J133" s="21">
        <f t="shared" si="10"/>
        <v>113.27826886162006</v>
      </c>
      <c r="K133" s="376">
        <f t="shared" si="14"/>
        <v>118.16448176791965</v>
      </c>
      <c r="L133" s="150">
        <f>'As-Filed Schedule 4'!H133</f>
        <v>0</v>
      </c>
      <c r="M133" s="388">
        <f>SUMIFS(Adjustments!$G:$G,Adjustments!$H:$H,"4",Adjustments!$I:$I,'Schedule 4 Adjustments'!$L$14,Adjustments!$J:$J,'Schedule 4 Adjustments'!$A133)</f>
        <v>0</v>
      </c>
      <c r="N133" s="380">
        <f t="shared" si="15"/>
        <v>0</v>
      </c>
      <c r="O133" s="410">
        <v>0.37</v>
      </c>
      <c r="P133" s="47">
        <f t="shared" si="16"/>
        <v>0</v>
      </c>
      <c r="Q133" s="378">
        <f t="shared" si="17"/>
        <v>0</v>
      </c>
      <c r="R133" s="21">
        <f t="shared" si="11"/>
        <v>55.883945971732565</v>
      </c>
      <c r="S133" s="376">
        <f t="shared" si="18"/>
        <v>58.294477672173699</v>
      </c>
    </row>
    <row r="134" spans="1:19" s="22" customFormat="1" ht="43.5" x14ac:dyDescent="0.35">
      <c r="A134" s="19">
        <v>122</v>
      </c>
      <c r="B134" s="19" t="s">
        <v>15</v>
      </c>
      <c r="C134" s="20" t="s">
        <v>18</v>
      </c>
      <c r="D134" s="116">
        <f>'As-Filed Schedule 4'!D134</f>
        <v>2</v>
      </c>
      <c r="E134" s="388">
        <f>SUMIFS(Adjustments!$G:$G,Adjustments!$H:$H,"4",Adjustments!$I:$I,'Schedule 4 Adjustments'!$D$14,Adjustments!$J:$J,'Schedule 4 Adjustments'!$A134)</f>
        <v>0</v>
      </c>
      <c r="F134" s="380">
        <f t="shared" si="12"/>
        <v>2</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10</v>
      </c>
      <c r="E135" s="388">
        <f>SUMIFS(Adjustments!$G:$G,Adjustments!$H:$H,"4",Adjustments!$I:$I,'Schedule 4 Adjustments'!$D$14,Adjustments!$J:$J,'Schedule 4 Adjustments'!$A135)</f>
        <v>0</v>
      </c>
      <c r="F135" s="380">
        <f t="shared" si="12"/>
        <v>10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0</v>
      </c>
      <c r="E138" s="388">
        <f>SUMIFS(Adjustments!$G:$G,Adjustments!$H:$H,"4",Adjustments!$I:$I,'Schedule 4 Adjustments'!$D$14,Adjustments!$J:$J,'Schedule 4 Adjustments'!$A138)</f>
        <v>0</v>
      </c>
      <c r="F138" s="380">
        <f t="shared" si="12"/>
        <v>0</v>
      </c>
      <c r="G138" s="410">
        <v>3.27</v>
      </c>
      <c r="H138" s="47">
        <f t="shared" si="19"/>
        <v>0</v>
      </c>
      <c r="I138" s="378">
        <f t="shared" si="13"/>
        <v>0</v>
      </c>
      <c r="J138" s="21">
        <f t="shared" si="10"/>
        <v>493.8932522366635</v>
      </c>
      <c r="K138" s="376">
        <f t="shared" si="14"/>
        <v>515.19714050812968</v>
      </c>
      <c r="L138" s="150">
        <f>'As-Filed Schedule 4'!H138</f>
        <v>0</v>
      </c>
      <c r="M138" s="388">
        <f>SUMIFS(Adjustments!$G:$G,Adjustments!$H:$H,"4",Adjustments!$I:$I,'Schedule 4 Adjustments'!$L$14,Adjustments!$J:$J,'Schedule 4 Adjustments'!$A138)</f>
        <v>0</v>
      </c>
      <c r="N138" s="380">
        <f t="shared" si="15"/>
        <v>0</v>
      </c>
      <c r="O138" s="410">
        <v>2.17</v>
      </c>
      <c r="P138" s="47">
        <f t="shared" si="16"/>
        <v>0</v>
      </c>
      <c r="Q138" s="378">
        <f t="shared" si="17"/>
        <v>0</v>
      </c>
      <c r="R138" s="21">
        <f t="shared" si="11"/>
        <v>327.75179123962073</v>
      </c>
      <c r="S138" s="376">
        <f t="shared" si="18"/>
        <v>341.88923391518085</v>
      </c>
    </row>
    <row r="139" spans="1:19" s="22" customFormat="1" x14ac:dyDescent="0.35">
      <c r="A139" s="19">
        <v>127</v>
      </c>
      <c r="B139" s="19" t="s">
        <v>60</v>
      </c>
      <c r="C139" s="20" t="s">
        <v>394</v>
      </c>
      <c r="D139" s="116">
        <f>'As-Filed Schedule 4'!D139</f>
        <v>1</v>
      </c>
      <c r="E139" s="388">
        <f>SUMIFS(Adjustments!$G:$G,Adjustments!$H:$H,"4",Adjustments!$I:$I,'Schedule 4 Adjustments'!$D$14,Adjustments!$J:$J,'Schedule 4 Adjustments'!$A139)</f>
        <v>0</v>
      </c>
      <c r="F139" s="380">
        <f t="shared" si="12"/>
        <v>1</v>
      </c>
      <c r="G139" s="410">
        <v>1.1499999999999999</v>
      </c>
      <c r="H139" s="47">
        <f t="shared" si="19"/>
        <v>1.1499999999999999</v>
      </c>
      <c r="I139" s="378">
        <f t="shared" si="13"/>
        <v>1.1499999999999999</v>
      </c>
      <c r="J139" s="21">
        <f t="shared" si="10"/>
        <v>173.69334558781742</v>
      </c>
      <c r="K139" s="376">
        <f t="shared" si="14"/>
        <v>181.18553871081014</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105.72638427084539</v>
      </c>
      <c r="S139" s="376">
        <f t="shared" si="18"/>
        <v>110.28684965005834</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66.4565843988171</v>
      </c>
      <c r="K140" s="376">
        <f t="shared" si="14"/>
        <v>69.323162637179536</v>
      </c>
      <c r="L140" s="150">
        <f>'As-Filed Schedule 4'!H140</f>
        <v>0</v>
      </c>
      <c r="M140" s="388">
        <f>SUMIFS(Adjustments!$G:$G,Adjustments!$H:$H,"4",Adjustments!$I:$I,'Schedule 4 Adjustments'!$L$14,Adjustments!$J:$J,'Schedule 4 Adjustments'!$A140)</f>
        <v>0</v>
      </c>
      <c r="N140" s="380">
        <f t="shared" si="15"/>
        <v>0</v>
      </c>
      <c r="O140" s="410">
        <v>0.44</v>
      </c>
      <c r="P140" s="47">
        <f t="shared" si="16"/>
        <v>0</v>
      </c>
      <c r="Q140" s="378">
        <f t="shared" si="17"/>
        <v>0</v>
      </c>
      <c r="R140" s="21">
        <f t="shared" si="11"/>
        <v>66.4565843988171</v>
      </c>
      <c r="S140" s="376">
        <f t="shared" si="18"/>
        <v>69.323162637179536</v>
      </c>
    </row>
    <row r="141" spans="1:19" s="22" customFormat="1" x14ac:dyDescent="0.35">
      <c r="A141" s="19">
        <v>129</v>
      </c>
      <c r="B141" s="19" t="s">
        <v>62</v>
      </c>
      <c r="C141" s="20" t="s">
        <v>396</v>
      </c>
      <c r="D141" s="116">
        <f>'As-Filed Schedule 4'!D141</f>
        <v>0</v>
      </c>
      <c r="E141" s="388">
        <f>SUMIFS(Adjustments!$G:$G,Adjustments!$H:$H,"4",Adjustments!$I:$I,'Schedule 4 Adjustments'!$D$14,Adjustments!$J:$J,'Schedule 4 Adjustments'!$A141)</f>
        <v>0</v>
      </c>
      <c r="F141" s="380">
        <f t="shared" si="12"/>
        <v>0</v>
      </c>
      <c r="G141" s="410">
        <v>0.92</v>
      </c>
      <c r="H141" s="47">
        <f t="shared" si="19"/>
        <v>0</v>
      </c>
      <c r="I141" s="378">
        <f t="shared" si="13"/>
        <v>0</v>
      </c>
      <c r="J141" s="21">
        <f t="shared" si="10"/>
        <v>138.95467647025396</v>
      </c>
      <c r="K141" s="376">
        <f t="shared" si="14"/>
        <v>144.94843096864813</v>
      </c>
      <c r="L141" s="150">
        <f>'As-Filed Schedule 4'!H141</f>
        <v>0</v>
      </c>
      <c r="M141" s="388">
        <f>SUMIFS(Adjustments!$G:$G,Adjustments!$H:$H,"4",Adjustments!$I:$I,'Schedule 4 Adjustments'!$L$14,Adjustments!$J:$J,'Schedule 4 Adjustments'!$A141)</f>
        <v>0</v>
      </c>
      <c r="N141" s="380">
        <f t="shared" si="15"/>
        <v>0</v>
      </c>
      <c r="O141" s="410">
        <v>0.92</v>
      </c>
      <c r="P141" s="47">
        <f t="shared" si="16"/>
        <v>0</v>
      </c>
      <c r="Q141" s="378">
        <f t="shared" si="17"/>
        <v>0</v>
      </c>
      <c r="R141" s="21">
        <f t="shared" si="11"/>
        <v>138.95467647025396</v>
      </c>
      <c r="S141" s="376">
        <f t="shared" si="18"/>
        <v>144.94843096864813</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797.47901278580525</v>
      </c>
      <c r="K142" s="376">
        <f t="shared" si="14"/>
        <v>831.87795164615443</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797.47901278580525</v>
      </c>
      <c r="S142" s="376">
        <f t="shared" si="18"/>
        <v>831.87795164615443</v>
      </c>
    </row>
    <row r="143" spans="1:19" s="22" customFormat="1" x14ac:dyDescent="0.35">
      <c r="A143" s="19">
        <v>131</v>
      </c>
      <c r="B143" s="19" t="s">
        <v>64</v>
      </c>
      <c r="C143" s="20" t="s">
        <v>399</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66.4565843988171</v>
      </c>
      <c r="K143" s="376">
        <f t="shared" si="14"/>
        <v>69.323162637179536</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66.4565843988171</v>
      </c>
      <c r="S143" s="376">
        <f t="shared" si="18"/>
        <v>69.323162637179536</v>
      </c>
    </row>
    <row r="144" spans="1:19" s="22" customFormat="1" x14ac:dyDescent="0.35">
      <c r="A144" s="19">
        <v>132</v>
      </c>
      <c r="B144" s="19" t="s">
        <v>65</v>
      </c>
      <c r="C144" s="20" t="s">
        <v>398</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797.47901278580525</v>
      </c>
      <c r="K144" s="376">
        <f t="shared" si="14"/>
        <v>831.87795164615443</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797.47901278580525</v>
      </c>
      <c r="S144" s="376">
        <f t="shared" si="18"/>
        <v>831.87795164615443</v>
      </c>
    </row>
    <row r="145" spans="1:19" s="22" customFormat="1" x14ac:dyDescent="0.35">
      <c r="A145" s="19">
        <v>133</v>
      </c>
      <c r="B145" s="19" t="s">
        <v>66</v>
      </c>
      <c r="C145" s="20" t="s">
        <v>142</v>
      </c>
      <c r="D145" s="116">
        <f>'As-Filed Schedule 4'!D145</f>
        <v>0</v>
      </c>
      <c r="E145" s="388">
        <f>SUMIFS(Adjustments!$G:$G,Adjustments!$H:$H,"4",Adjustments!$I:$I,'Schedule 4 Adjustments'!$D$14,Adjustments!$J:$J,'Schedule 4 Adjustments'!$A145)</f>
        <v>0</v>
      </c>
      <c r="F145" s="380">
        <f t="shared" si="12"/>
        <v>0</v>
      </c>
      <c r="G145" s="410">
        <v>0.54</v>
      </c>
      <c r="H145" s="47">
        <f t="shared" si="19"/>
        <v>0</v>
      </c>
      <c r="I145" s="378">
        <f t="shared" si="13"/>
        <v>0</v>
      </c>
      <c r="J145" s="21">
        <f t="shared" si="10"/>
        <v>81.560353580366453</v>
      </c>
      <c r="K145" s="376">
        <f t="shared" si="14"/>
        <v>85.078426872902156</v>
      </c>
      <c r="L145" s="150">
        <f>'As-Filed Schedule 4'!H145</f>
        <v>0</v>
      </c>
      <c r="M145" s="388">
        <f>SUMIFS(Adjustments!$G:$G,Adjustments!$H:$H,"4",Adjustments!$I:$I,'Schedule 4 Adjustments'!$L$14,Adjustments!$J:$J,'Schedule 4 Adjustments'!$A145)</f>
        <v>0</v>
      </c>
      <c r="N145" s="380">
        <f t="shared" si="15"/>
        <v>0</v>
      </c>
      <c r="O145" s="410">
        <v>0.54</v>
      </c>
      <c r="P145" s="47">
        <f t="shared" si="16"/>
        <v>0</v>
      </c>
      <c r="Q145" s="378">
        <f t="shared" si="17"/>
        <v>0</v>
      </c>
      <c r="R145" s="21">
        <f t="shared" si="11"/>
        <v>81.560353580366453</v>
      </c>
      <c r="S145" s="376">
        <f t="shared" si="18"/>
        <v>85.078426872902156</v>
      </c>
    </row>
    <row r="146" spans="1:19" s="22" customFormat="1" x14ac:dyDescent="0.35">
      <c r="A146" s="19">
        <v>134</v>
      </c>
      <c r="B146" s="19" t="s">
        <v>67</v>
      </c>
      <c r="C146" s="20" t="s">
        <v>400</v>
      </c>
      <c r="D146" s="116">
        <f>'As-Filed Schedule 4'!D146</f>
        <v>539</v>
      </c>
      <c r="E146" s="388">
        <f>SUMIFS(Adjustments!$G:$G,Adjustments!$H:$H,"4",Adjustments!$I:$I,'Schedule 4 Adjustments'!$D$14,Adjustments!$J:$J,'Schedule 4 Adjustments'!$A146)</f>
        <v>0</v>
      </c>
      <c r="F146" s="380">
        <f t="shared" si="12"/>
        <v>539</v>
      </c>
      <c r="G146" s="410">
        <v>1.29</v>
      </c>
      <c r="H146" s="47">
        <f t="shared" si="19"/>
        <v>695.31000000000006</v>
      </c>
      <c r="I146" s="378">
        <f t="shared" si="13"/>
        <v>695.31000000000006</v>
      </c>
      <c r="J146" s="21">
        <f t="shared" ref="J146:J196" si="20">G146*$H$12</f>
        <v>194.8386224419865</v>
      </c>
      <c r="K146" s="376">
        <f t="shared" si="14"/>
        <v>203.24290864082181</v>
      </c>
      <c r="L146" s="150">
        <f>'As-Filed Schedule 4'!H146</f>
        <v>0</v>
      </c>
      <c r="M146" s="388">
        <f>SUMIFS(Adjustments!$G:$G,Adjustments!$H:$H,"4",Adjustments!$I:$I,'Schedule 4 Adjustments'!$L$14,Adjustments!$J:$J,'Schedule 4 Adjustments'!$A146)</f>
        <v>0</v>
      </c>
      <c r="N146" s="380">
        <f t="shared" si="15"/>
        <v>0</v>
      </c>
      <c r="O146" s="410">
        <v>1.1299999999999999</v>
      </c>
      <c r="P146" s="47">
        <f t="shared" si="16"/>
        <v>0</v>
      </c>
      <c r="Q146" s="378">
        <f t="shared" si="17"/>
        <v>0</v>
      </c>
      <c r="R146" s="21">
        <f t="shared" ref="R146:R196" si="21">O146*$H$12</f>
        <v>170.67259175150755</v>
      </c>
      <c r="S146" s="376">
        <f t="shared" si="18"/>
        <v>178.03448586366559</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797.47901278580525</v>
      </c>
      <c r="K147" s="376">
        <f t="shared" ref="K147:K196" si="24">G147*$I$12</f>
        <v>831.87795164615443</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797.47901278580525</v>
      </c>
      <c r="S147" s="376">
        <f t="shared" ref="S147:S196" si="28">O147*$I$12</f>
        <v>831.87795164615443</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21.145276854169079</v>
      </c>
      <c r="K148" s="376">
        <f t="shared" si="24"/>
        <v>22.057369930011671</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18.124523017859211</v>
      </c>
      <c r="S148" s="376">
        <f t="shared" si="28"/>
        <v>18.906317082867144</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465.19609079171971</v>
      </c>
      <c r="K149" s="376">
        <f t="shared" si="24"/>
        <v>485.26213846025672</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398.73950639290257</v>
      </c>
      <c r="S149" s="376">
        <f t="shared" si="28"/>
        <v>415.93897582307716</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797.47901278580525</v>
      </c>
      <c r="K150" s="376">
        <f t="shared" si="24"/>
        <v>831.87795164615443</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797.47901278580525</v>
      </c>
      <c r="S150" s="376">
        <f t="shared" si="28"/>
        <v>831.87795164615443</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18.124523017859211</v>
      </c>
      <c r="K151" s="376">
        <f t="shared" ref="K151" si="34">G151*$I$12</f>
        <v>18.906317082867144</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13.593392263394406</v>
      </c>
      <c r="S151" s="376">
        <f t="shared" ref="S151" si="39">O151*$I$12</f>
        <v>14.179737812150359</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154.05844565180328</v>
      </c>
      <c r="K152" s="376">
        <f t="shared" si="24"/>
        <v>160.70369520437072</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141.97543030656379</v>
      </c>
      <c r="S152" s="376">
        <f t="shared" si="28"/>
        <v>148.09948381579264</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780.86486668610098</v>
      </c>
      <c r="K154" s="376">
        <f t="shared" si="24"/>
        <v>814.54716098685947</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669.09697474263578</v>
      </c>
      <c r="S154" s="376">
        <f t="shared" si="28"/>
        <v>697.9582056425121</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256.76407608633878</v>
      </c>
      <c r="K155" s="376">
        <f t="shared" si="24"/>
        <v>267.83949200728455</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158.58957640626809</v>
      </c>
      <c r="S155" s="376">
        <f t="shared" si="28"/>
        <v>165.43027447508751</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203.90088395091612</v>
      </c>
      <c r="K157" s="376">
        <f t="shared" si="24"/>
        <v>212.69606718225538</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203.90088395091612</v>
      </c>
      <c r="S157" s="376">
        <f t="shared" si="28"/>
        <v>212.69606718225538</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386.65649104766317</v>
      </c>
      <c r="K158" s="376">
        <f t="shared" si="24"/>
        <v>403.33476443449911</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323.22066048515592</v>
      </c>
      <c r="S158" s="376">
        <f t="shared" si="28"/>
        <v>337.16265464446411</v>
      </c>
    </row>
    <row r="159" spans="1:19" s="22" customFormat="1" x14ac:dyDescent="0.35">
      <c r="A159" s="19">
        <v>147</v>
      </c>
      <c r="B159" s="19" t="s">
        <v>77</v>
      </c>
      <c r="C159" s="20" t="s">
        <v>407</v>
      </c>
      <c r="D159" s="116">
        <f>'As-Filed Schedule 4'!D159</f>
        <v>0</v>
      </c>
      <c r="E159" s="388">
        <f>SUMIFS(Adjustments!$G:$G,Adjustments!$H:$H,"4",Adjustments!$I:$I,'Schedule 4 Adjustments'!$D$14,Adjustments!$J:$J,'Schedule 4 Adjustments'!$A159)</f>
        <v>0</v>
      </c>
      <c r="F159" s="380">
        <f t="shared" si="22"/>
        <v>0</v>
      </c>
      <c r="G159" s="410">
        <v>1.6</v>
      </c>
      <c r="H159" s="47">
        <f t="shared" si="29"/>
        <v>0</v>
      </c>
      <c r="I159" s="378">
        <f t="shared" si="23"/>
        <v>0</v>
      </c>
      <c r="J159" s="21">
        <f t="shared" si="20"/>
        <v>241.66030690478948</v>
      </c>
      <c r="K159" s="376">
        <f t="shared" si="24"/>
        <v>252.08422777156193</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241.66030690478948</v>
      </c>
      <c r="S159" s="376">
        <f t="shared" si="28"/>
        <v>252.08422777156193</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398.73950639290263</v>
      </c>
      <c r="K160" s="376">
        <f t="shared" si="24"/>
        <v>415.93897582307721</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398.73950639290263</v>
      </c>
      <c r="S160" s="376">
        <f t="shared" si="28"/>
        <v>415.93897582307721</v>
      </c>
    </row>
    <row r="161" spans="1:19" s="22" customFormat="1" x14ac:dyDescent="0.35">
      <c r="A161" s="19">
        <v>149</v>
      </c>
      <c r="B161" s="19" t="s">
        <v>79</v>
      </c>
      <c r="C161" s="20" t="s">
        <v>409</v>
      </c>
      <c r="D161" s="116">
        <f>'As-Filed Schedule 4'!D161</f>
        <v>4599</v>
      </c>
      <c r="E161" s="388">
        <f>SUMIFS(Adjustments!$G:$G,Adjustments!$H:$H,"4",Adjustments!$I:$I,'Schedule 4 Adjustments'!$D$14,Adjustments!$J:$J,'Schedule 4 Adjustments'!$A161)</f>
        <v>0</v>
      </c>
      <c r="F161" s="380">
        <f t="shared" si="22"/>
        <v>4599</v>
      </c>
      <c r="G161" s="410">
        <v>1.24</v>
      </c>
      <c r="H161" s="47">
        <f t="shared" si="29"/>
        <v>5702.76</v>
      </c>
      <c r="I161" s="378">
        <f t="shared" si="23"/>
        <v>5702.76</v>
      </c>
      <c r="J161" s="21">
        <f t="shared" si="20"/>
        <v>187.28673785121183</v>
      </c>
      <c r="K161" s="376">
        <f t="shared" si="24"/>
        <v>195.3652765229605</v>
      </c>
      <c r="L161" s="150">
        <f>'As-Filed Schedule 4'!H161</f>
        <v>0</v>
      </c>
      <c r="M161" s="388">
        <f>SUMIFS(Adjustments!$G:$G,Adjustments!$H:$H,"4",Adjustments!$I:$I,'Schedule 4 Adjustments'!$L$14,Adjustments!$J:$J,'Schedule 4 Adjustments'!$A161)</f>
        <v>0</v>
      </c>
      <c r="N161" s="380">
        <f t="shared" si="25"/>
        <v>0</v>
      </c>
      <c r="O161" s="410">
        <v>1.24</v>
      </c>
      <c r="P161" s="47">
        <f t="shared" si="26"/>
        <v>0</v>
      </c>
      <c r="Q161" s="378">
        <f t="shared" si="27"/>
        <v>0</v>
      </c>
      <c r="R161" s="21">
        <f t="shared" si="21"/>
        <v>187.28673785121183</v>
      </c>
      <c r="S161" s="376">
        <f t="shared" si="28"/>
        <v>195.3652765229605</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125.36128420685954</v>
      </c>
      <c r="K162" s="376">
        <f t="shared" si="24"/>
        <v>130.76869315649773</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108.74713810715525</v>
      </c>
      <c r="S162" s="376">
        <f t="shared" si="28"/>
        <v>113.43790249720287</v>
      </c>
    </row>
    <row r="163" spans="1:19" s="22" customFormat="1" x14ac:dyDescent="0.35">
      <c r="A163" s="19">
        <v>151</v>
      </c>
      <c r="B163" s="19" t="s">
        <v>81</v>
      </c>
      <c r="C163" s="20" t="s">
        <v>411</v>
      </c>
      <c r="D163" s="116">
        <f>'As-Filed Schedule 4'!D163</f>
        <v>0</v>
      </c>
      <c r="E163" s="388">
        <f>SUMIFS(Adjustments!$G:$G,Adjustments!$H:$H,"4",Adjustments!$I:$I,'Schedule 4 Adjustments'!$D$14,Adjustments!$J:$J,'Schedule 4 Adjustments'!$A163)</f>
        <v>0</v>
      </c>
      <c r="F163" s="380">
        <f t="shared" si="22"/>
        <v>0</v>
      </c>
      <c r="G163" s="410">
        <v>0.92</v>
      </c>
      <c r="H163" s="47">
        <f t="shared" si="29"/>
        <v>0</v>
      </c>
      <c r="I163" s="378">
        <f t="shared" si="23"/>
        <v>0</v>
      </c>
      <c r="J163" s="21">
        <f t="shared" si="20"/>
        <v>138.95467647025396</v>
      </c>
      <c r="K163" s="376">
        <f t="shared" si="24"/>
        <v>144.94843096864813</v>
      </c>
      <c r="L163" s="150">
        <f>'As-Filed Schedule 4'!H163</f>
        <v>827</v>
      </c>
      <c r="M163" s="388">
        <f>SUMIFS(Adjustments!$G:$G,Adjustments!$H:$H,"4",Adjustments!$I:$I,'Schedule 4 Adjustments'!$L$14,Adjustments!$J:$J,'Schedule 4 Adjustments'!$A163)</f>
        <v>0</v>
      </c>
      <c r="N163" s="380">
        <f t="shared" si="25"/>
        <v>827</v>
      </c>
      <c r="O163" s="410">
        <v>0.92</v>
      </c>
      <c r="P163" s="47">
        <f t="shared" si="26"/>
        <v>760.84</v>
      </c>
      <c r="Q163" s="378">
        <f t="shared" si="27"/>
        <v>760.84</v>
      </c>
      <c r="R163" s="21">
        <f t="shared" si="21"/>
        <v>138.95467647025396</v>
      </c>
      <c r="S163" s="376">
        <f t="shared" si="28"/>
        <v>144.94843096864813</v>
      </c>
    </row>
    <row r="164" spans="1:19" s="22" customFormat="1" x14ac:dyDescent="0.35">
      <c r="A164" s="19">
        <v>152</v>
      </c>
      <c r="B164" s="19" t="s">
        <v>82</v>
      </c>
      <c r="C164" s="20" t="s">
        <v>412</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21.145276854169079</v>
      </c>
      <c r="K164" s="376">
        <f t="shared" si="24"/>
        <v>22.057369930011671</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18.124523017859211</v>
      </c>
      <c r="S164" s="376">
        <f t="shared" si="28"/>
        <v>18.906317082867144</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507.48664450005793</v>
      </c>
      <c r="K165" s="376">
        <f t="shared" si="24"/>
        <v>529.37687832028007</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434.98855242862101</v>
      </c>
      <c r="S165" s="376">
        <f t="shared" si="28"/>
        <v>453.75160998881148</v>
      </c>
    </row>
    <row r="166" spans="1:19" s="22" customFormat="1" x14ac:dyDescent="0.35">
      <c r="A166" s="19">
        <v>154</v>
      </c>
      <c r="B166" s="19" t="s">
        <v>84</v>
      </c>
      <c r="C166" s="20" t="s">
        <v>415</v>
      </c>
      <c r="D166" s="116">
        <f>'As-Filed Schedule 4'!D166</f>
        <v>0</v>
      </c>
      <c r="E166" s="388">
        <f>SUMIFS(Adjustments!$G:$G,Adjustments!$H:$H,"4",Adjustments!$I:$I,'Schedule 4 Adjustments'!$D$14,Adjustments!$J:$J,'Schedule 4 Adjustments'!$A166)</f>
        <v>0</v>
      </c>
      <c r="F166" s="380">
        <f t="shared" si="22"/>
        <v>0</v>
      </c>
      <c r="G166" s="410">
        <v>0.44</v>
      </c>
      <c r="H166" s="47">
        <f t="shared" si="29"/>
        <v>0</v>
      </c>
      <c r="I166" s="378">
        <f t="shared" si="23"/>
        <v>0</v>
      </c>
      <c r="J166" s="21">
        <f t="shared" si="20"/>
        <v>66.4565843988171</v>
      </c>
      <c r="K166" s="376">
        <f t="shared" si="24"/>
        <v>69.323162637179536</v>
      </c>
      <c r="L166" s="150">
        <f>'As-Filed Schedule 4'!H166</f>
        <v>0</v>
      </c>
      <c r="M166" s="388">
        <f>SUMIFS(Adjustments!$G:$G,Adjustments!$H:$H,"4",Adjustments!$I:$I,'Schedule 4 Adjustments'!$L$14,Adjustments!$J:$J,'Schedule 4 Adjustments'!$A166)</f>
        <v>0</v>
      </c>
      <c r="N166" s="380">
        <f t="shared" si="25"/>
        <v>0</v>
      </c>
      <c r="O166" s="410">
        <v>0.44</v>
      </c>
      <c r="P166" s="47">
        <f t="shared" si="26"/>
        <v>0</v>
      </c>
      <c r="Q166" s="378">
        <f t="shared" si="27"/>
        <v>0</v>
      </c>
      <c r="R166" s="21">
        <f t="shared" si="21"/>
        <v>66.4565843988171</v>
      </c>
      <c r="S166" s="376">
        <f t="shared" si="28"/>
        <v>69.323162637179536</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797.47901278580525</v>
      </c>
      <c r="K167" s="376">
        <f t="shared" si="24"/>
        <v>831.87795164615443</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797.47901278580525</v>
      </c>
      <c r="S167" s="376">
        <f t="shared" si="28"/>
        <v>831.87795164615443</v>
      </c>
    </row>
    <row r="168" spans="1:19" s="22" customFormat="1" x14ac:dyDescent="0.35">
      <c r="A168" s="19">
        <v>156</v>
      </c>
      <c r="B168" s="19" t="s">
        <v>86</v>
      </c>
      <c r="C168" s="20" t="s">
        <v>414</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66.4565843988171</v>
      </c>
      <c r="K168" s="376">
        <f t="shared" si="24"/>
        <v>69.323162637179536</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66.4565843988171</v>
      </c>
      <c r="S168" s="376">
        <f t="shared" si="28"/>
        <v>69.323162637179536</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797.47901278580525</v>
      </c>
      <c r="K169" s="376">
        <f t="shared" si="24"/>
        <v>831.87795164615443</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797.47901278580525</v>
      </c>
      <c r="S169" s="376">
        <f t="shared" si="28"/>
        <v>831.87795164615443</v>
      </c>
    </row>
    <row r="170" spans="1:19" s="22" customFormat="1" x14ac:dyDescent="0.35">
      <c r="A170" s="19">
        <v>158</v>
      </c>
      <c r="B170" s="19" t="s">
        <v>88</v>
      </c>
      <c r="C170" s="20" t="s">
        <v>418</v>
      </c>
      <c r="D170" s="116">
        <f>'As-Filed Schedule 4'!D170</f>
        <v>0</v>
      </c>
      <c r="E170" s="388">
        <f>SUMIFS(Adjustments!$G:$G,Adjustments!$H:$H,"4",Adjustments!$I:$I,'Schedule 4 Adjustments'!$D$14,Adjustments!$J:$J,'Schedule 4 Adjustments'!$A170)</f>
        <v>0</v>
      </c>
      <c r="F170" s="380">
        <f t="shared" si="22"/>
        <v>0</v>
      </c>
      <c r="G170" s="410">
        <v>0.14000000000000001</v>
      </c>
      <c r="H170" s="47">
        <f t="shared" si="29"/>
        <v>0</v>
      </c>
      <c r="I170" s="378">
        <f t="shared" si="23"/>
        <v>0</v>
      </c>
      <c r="J170" s="21">
        <f t="shared" si="20"/>
        <v>21.145276854169079</v>
      </c>
      <c r="K170" s="376">
        <f t="shared" si="24"/>
        <v>22.057369930011671</v>
      </c>
      <c r="L170" s="150">
        <f>'As-Filed Schedule 4'!H170</f>
        <v>0</v>
      </c>
      <c r="M170" s="388">
        <f>SUMIFS(Adjustments!$G:$G,Adjustments!$H:$H,"4",Adjustments!$I:$I,'Schedule 4 Adjustments'!$L$14,Adjustments!$J:$J,'Schedule 4 Adjustments'!$A170)</f>
        <v>0</v>
      </c>
      <c r="N170" s="380">
        <f t="shared" si="25"/>
        <v>0</v>
      </c>
      <c r="O170" s="410">
        <v>0.12</v>
      </c>
      <c r="P170" s="47">
        <f t="shared" si="26"/>
        <v>0</v>
      </c>
      <c r="Q170" s="378">
        <f t="shared" si="27"/>
        <v>0</v>
      </c>
      <c r="R170" s="21">
        <f t="shared" si="21"/>
        <v>18.124523017859211</v>
      </c>
      <c r="S170" s="376">
        <f t="shared" si="28"/>
        <v>18.906317082867144</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507.48664450005793</v>
      </c>
      <c r="K171" s="376">
        <f t="shared" si="24"/>
        <v>529.37687832028007</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434.98855242862101</v>
      </c>
      <c r="S171" s="376">
        <f t="shared" si="28"/>
        <v>453.75160998881148</v>
      </c>
    </row>
    <row r="172" spans="1:19" s="22" customFormat="1" x14ac:dyDescent="0.35">
      <c r="A172" s="19">
        <v>160</v>
      </c>
      <c r="B172" s="19" t="s">
        <v>90</v>
      </c>
      <c r="C172" s="20" t="s">
        <v>420</v>
      </c>
      <c r="D172" s="116">
        <f>'As-Filed Schedule 4'!D172</f>
        <v>0</v>
      </c>
      <c r="E172" s="388">
        <f>SUMIFS(Adjustments!$G:$G,Adjustments!$H:$H,"4",Adjustments!$I:$I,'Schedule 4 Adjustments'!$D$14,Adjustments!$J:$J,'Schedule 4 Adjustments'!$A172)</f>
        <v>0</v>
      </c>
      <c r="F172" s="380">
        <f t="shared" si="22"/>
        <v>0</v>
      </c>
      <c r="G172" s="410">
        <v>0.14000000000000001</v>
      </c>
      <c r="H172" s="47">
        <f t="shared" si="29"/>
        <v>0</v>
      </c>
      <c r="I172" s="378">
        <f t="shared" si="23"/>
        <v>0</v>
      </c>
      <c r="J172" s="21">
        <f t="shared" si="20"/>
        <v>21.145276854169079</v>
      </c>
      <c r="K172" s="376">
        <f t="shared" si="24"/>
        <v>22.057369930011671</v>
      </c>
      <c r="L172" s="150">
        <f>'As-Filed Schedule 4'!H172</f>
        <v>0</v>
      </c>
      <c r="M172" s="388">
        <f>SUMIFS(Adjustments!$G:$G,Adjustments!$H:$H,"4",Adjustments!$I:$I,'Schedule 4 Adjustments'!$L$14,Adjustments!$J:$J,'Schedule 4 Adjustments'!$A172)</f>
        <v>0</v>
      </c>
      <c r="N172" s="380">
        <f t="shared" si="25"/>
        <v>0</v>
      </c>
      <c r="O172" s="410">
        <v>0.12</v>
      </c>
      <c r="P172" s="47">
        <f t="shared" si="26"/>
        <v>0</v>
      </c>
      <c r="Q172" s="378">
        <f t="shared" si="27"/>
        <v>0</v>
      </c>
      <c r="R172" s="21">
        <f t="shared" si="21"/>
        <v>18.124523017859211</v>
      </c>
      <c r="S172" s="376">
        <f t="shared" si="28"/>
        <v>18.906317082867144</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507.48664450005793</v>
      </c>
      <c r="K173" s="376">
        <f t="shared" si="24"/>
        <v>529.37687832028007</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434.98855242862101</v>
      </c>
      <c r="S173" s="376">
        <f t="shared" si="28"/>
        <v>453.75160998881148</v>
      </c>
    </row>
    <row r="174" spans="1:19" s="22" customFormat="1" x14ac:dyDescent="0.35">
      <c r="A174" s="19">
        <v>162</v>
      </c>
      <c r="B174" s="19" t="s">
        <v>92</v>
      </c>
      <c r="C174" s="20" t="s">
        <v>422</v>
      </c>
      <c r="D174" s="116">
        <f>'As-Filed Schedule 4'!D174</f>
        <v>0</v>
      </c>
      <c r="E174" s="388">
        <f>SUMIFS(Adjustments!$G:$G,Adjustments!$H:$H,"4",Adjustments!$I:$I,'Schedule 4 Adjustments'!$D$14,Adjustments!$J:$J,'Schedule 4 Adjustments'!$A174)</f>
        <v>0</v>
      </c>
      <c r="F174" s="380">
        <f t="shared" si="22"/>
        <v>0</v>
      </c>
      <c r="G174" s="410">
        <v>0.14000000000000001</v>
      </c>
      <c r="H174" s="47">
        <f t="shared" si="29"/>
        <v>0</v>
      </c>
      <c r="I174" s="378">
        <f t="shared" si="23"/>
        <v>0</v>
      </c>
      <c r="J174" s="21">
        <f t="shared" si="20"/>
        <v>21.145276854169079</v>
      </c>
      <c r="K174" s="376">
        <f t="shared" si="24"/>
        <v>22.057369930011671</v>
      </c>
      <c r="L174" s="150">
        <f>'As-Filed Schedule 4'!H174</f>
        <v>0</v>
      </c>
      <c r="M174" s="388">
        <f>SUMIFS(Adjustments!$G:$G,Adjustments!$H:$H,"4",Adjustments!$I:$I,'Schedule 4 Adjustments'!$L$14,Adjustments!$J:$J,'Schedule 4 Adjustments'!$A174)</f>
        <v>0</v>
      </c>
      <c r="N174" s="380">
        <f t="shared" si="25"/>
        <v>0</v>
      </c>
      <c r="O174" s="410">
        <v>0.12</v>
      </c>
      <c r="P174" s="47">
        <f t="shared" si="26"/>
        <v>0</v>
      </c>
      <c r="Q174" s="378">
        <f t="shared" si="27"/>
        <v>0</v>
      </c>
      <c r="R174" s="21">
        <f t="shared" si="21"/>
        <v>18.124523017859211</v>
      </c>
      <c r="S174" s="376">
        <f t="shared" si="28"/>
        <v>18.906317082867144</v>
      </c>
    </row>
    <row r="175" spans="1:19" s="22" customFormat="1" x14ac:dyDescent="0.35">
      <c r="A175" s="19">
        <v>163</v>
      </c>
      <c r="B175" s="19" t="s">
        <v>93</v>
      </c>
      <c r="C175" s="20" t="s">
        <v>423</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21.145276854169079</v>
      </c>
      <c r="K175" s="376">
        <f t="shared" si="24"/>
        <v>22.057369930011671</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18.124523017859211</v>
      </c>
      <c r="S175" s="376">
        <f t="shared" si="28"/>
        <v>18.906317082867144</v>
      </c>
    </row>
    <row r="176" spans="1:19" s="22" customFormat="1" x14ac:dyDescent="0.35">
      <c r="A176" s="19">
        <v>164</v>
      </c>
      <c r="B176" s="19" t="s">
        <v>94</v>
      </c>
      <c r="C176" s="20" t="s">
        <v>424</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507.48664450005793</v>
      </c>
      <c r="K176" s="376">
        <f t="shared" si="24"/>
        <v>529.37687832028007</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434.98855242862101</v>
      </c>
      <c r="S176" s="376">
        <f t="shared" si="28"/>
        <v>453.75160998881148</v>
      </c>
    </row>
    <row r="177" spans="1:19" s="22" customFormat="1" x14ac:dyDescent="0.35">
      <c r="A177" s="19">
        <v>165</v>
      </c>
      <c r="B177" s="19" t="s">
        <v>95</v>
      </c>
      <c r="C177" s="20" t="s">
        <v>425</v>
      </c>
      <c r="D177" s="116">
        <f>'As-Filed Schedule 4'!D177</f>
        <v>0</v>
      </c>
      <c r="E177" s="388">
        <f>SUMIFS(Adjustments!$G:$G,Adjustments!$H:$H,"4",Adjustments!$I:$I,'Schedule 4 Adjustments'!$D$14,Adjustments!$J:$J,'Schedule 4 Adjustments'!$A177)</f>
        <v>0</v>
      </c>
      <c r="F177" s="380">
        <f t="shared" si="22"/>
        <v>0</v>
      </c>
      <c r="G177" s="410">
        <v>0.14000000000000001</v>
      </c>
      <c r="H177" s="47">
        <f t="shared" si="29"/>
        <v>0</v>
      </c>
      <c r="I177" s="378">
        <f t="shared" si="23"/>
        <v>0</v>
      </c>
      <c r="J177" s="21">
        <f t="shared" si="20"/>
        <v>21.145276854169079</v>
      </c>
      <c r="K177" s="376">
        <f t="shared" si="24"/>
        <v>22.057369930011671</v>
      </c>
      <c r="L177" s="150">
        <f>'As-Filed Schedule 4'!H177</f>
        <v>0</v>
      </c>
      <c r="M177" s="388">
        <f>SUMIFS(Adjustments!$G:$G,Adjustments!$H:$H,"4",Adjustments!$I:$I,'Schedule 4 Adjustments'!$L$14,Adjustments!$J:$J,'Schedule 4 Adjustments'!$A177)</f>
        <v>0</v>
      </c>
      <c r="N177" s="380">
        <f t="shared" si="25"/>
        <v>0</v>
      </c>
      <c r="O177" s="410">
        <v>0.12</v>
      </c>
      <c r="P177" s="47">
        <f t="shared" si="26"/>
        <v>0</v>
      </c>
      <c r="Q177" s="378">
        <f t="shared" si="27"/>
        <v>0</v>
      </c>
      <c r="R177" s="21">
        <f t="shared" si="21"/>
        <v>18.124523017859211</v>
      </c>
      <c r="S177" s="376">
        <f t="shared" si="28"/>
        <v>18.906317082867144</v>
      </c>
    </row>
    <row r="178" spans="1:19" s="22" customFormat="1" x14ac:dyDescent="0.35">
      <c r="A178" s="19">
        <v>166</v>
      </c>
      <c r="B178" s="19" t="s">
        <v>96</v>
      </c>
      <c r="C178" s="20" t="s">
        <v>426</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194.8386224419865</v>
      </c>
      <c r="K178" s="376">
        <f t="shared" si="24"/>
        <v>203.24290864082181</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170.67259175150755</v>
      </c>
      <c r="S178" s="376">
        <f t="shared" si="28"/>
        <v>178.03448586366559</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33.22829219940855</v>
      </c>
      <c r="K181" s="376">
        <f t="shared" si="24"/>
        <v>34.661581318589768</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33.22829219940855</v>
      </c>
      <c r="S181" s="376">
        <f t="shared" si="28"/>
        <v>34.661581318589768</v>
      </c>
    </row>
    <row r="182" spans="1:19" s="22" customFormat="1" x14ac:dyDescent="0.35">
      <c r="A182" s="19">
        <v>170</v>
      </c>
      <c r="B182" s="19" t="s">
        <v>99</v>
      </c>
      <c r="C182" s="20" t="s">
        <v>429</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664.56584398817108</v>
      </c>
      <c r="K182" s="376">
        <f t="shared" si="24"/>
        <v>693.2316263717953</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664.56584398817108</v>
      </c>
      <c r="S182" s="376">
        <f t="shared" si="28"/>
        <v>693.2316263717953</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154.05844565180328</v>
      </c>
      <c r="K183" s="376">
        <f t="shared" si="24"/>
        <v>160.70369520437072</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141.97543030656379</v>
      </c>
      <c r="S183" s="376">
        <f t="shared" si="28"/>
        <v>148.09948381579264</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113.27826886162006</v>
      </c>
      <c r="K184" s="376">
        <f t="shared" si="24"/>
        <v>118.16448176791965</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55.883945971732565</v>
      </c>
      <c r="S184" s="376">
        <f t="shared" si="28"/>
        <v>58.294477672173699</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113.27826886162006</v>
      </c>
      <c r="K185" s="376">
        <f t="shared" si="24"/>
        <v>118.16448176791965</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55.883945971732565</v>
      </c>
      <c r="S185" s="376">
        <f t="shared" si="28"/>
        <v>58.294477672173699</v>
      </c>
    </row>
    <row r="186" spans="1:19" s="22" customFormat="1" x14ac:dyDescent="0.35">
      <c r="A186" s="19">
        <v>174</v>
      </c>
      <c r="B186" s="19" t="s">
        <v>103</v>
      </c>
      <c r="C186" s="20" t="s">
        <v>431</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598.10925958935388</v>
      </c>
      <c r="K186" s="376">
        <f t="shared" si="24"/>
        <v>623.90846373461579</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598.10925958935388</v>
      </c>
      <c r="S186" s="376">
        <f t="shared" si="28"/>
        <v>623.90846373461579</v>
      </c>
    </row>
    <row r="187" spans="1:19" s="22" customFormat="1" x14ac:dyDescent="0.35">
      <c r="A187" s="19">
        <v>175</v>
      </c>
      <c r="B187" s="19" t="s">
        <v>104</v>
      </c>
      <c r="C187" s="20" t="s">
        <v>432</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542.2253136176214</v>
      </c>
      <c r="K187" s="376">
        <f t="shared" si="24"/>
        <v>565.61398606244211</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542.2253136176214</v>
      </c>
      <c r="S187" s="376">
        <f t="shared" si="28"/>
        <v>565.61398606244211</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43.800930626493091</v>
      </c>
      <c r="K189" s="376">
        <f t="shared" si="24"/>
        <v>45.690266283595598</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43.800930626493091</v>
      </c>
      <c r="S189" s="376">
        <f t="shared" si="28"/>
        <v>45.690266283595598</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463.68571387356479</v>
      </c>
      <c r="K190" s="376">
        <f t="shared" si="24"/>
        <v>483.68661203668444</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460.6649600372549</v>
      </c>
      <c r="S190" s="376">
        <f t="shared" si="28"/>
        <v>480.53555918953992</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89.112238171141115</v>
      </c>
      <c r="K192" s="376">
        <f t="shared" si="24"/>
        <v>92.956058990763452</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83.070730498521385</v>
      </c>
      <c r="S192" s="376">
        <f t="shared" si="28"/>
        <v>86.653953296474413</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96.664122761915792</v>
      </c>
      <c r="K194" s="376">
        <f t="shared" si="24"/>
        <v>100.83369110862478</v>
      </c>
      <c r="L194" s="150">
        <f>'As-Filed Schedule 4'!H194</f>
        <v>6</v>
      </c>
      <c r="M194" s="388">
        <f>SUMIFS(Adjustments!$G:$G,Adjustments!$H:$H,"4",Adjustments!$I:$I,'Schedule 4 Adjustments'!$L$14,Adjustments!$J:$J,'Schedule 4 Adjustments'!$A194)</f>
        <v>0</v>
      </c>
      <c r="N194" s="380">
        <f t="shared" si="25"/>
        <v>6</v>
      </c>
      <c r="O194" s="410">
        <v>0.6</v>
      </c>
      <c r="P194" s="47">
        <f t="shared" si="26"/>
        <v>3.5999999999999996</v>
      </c>
      <c r="Q194" s="378">
        <f t="shared" si="27"/>
        <v>3.5999999999999996</v>
      </c>
      <c r="R194" s="21">
        <f t="shared" si="21"/>
        <v>90.622615089296048</v>
      </c>
      <c r="S194" s="376">
        <f t="shared" si="28"/>
        <v>94.531585414335723</v>
      </c>
    </row>
    <row r="195" spans="1:19" s="22" customFormat="1" x14ac:dyDescent="0.35">
      <c r="A195" s="19">
        <v>183</v>
      </c>
      <c r="B195" s="19" t="s">
        <v>109</v>
      </c>
      <c r="C195" s="20" t="s">
        <v>151</v>
      </c>
      <c r="D195" s="116">
        <f>'As-Filed Schedule 4'!D195</f>
        <v>12574</v>
      </c>
      <c r="E195" s="388">
        <f>SUMIFS(Adjustments!$G:$G,Adjustments!$H:$H,"4",Adjustments!$I:$I,'Schedule 4 Adjustments'!$D$14,Adjustments!$J:$J,'Schedule 4 Adjustments'!$A195)</f>
        <v>0</v>
      </c>
      <c r="F195" s="380">
        <f t="shared" si="22"/>
        <v>12574</v>
      </c>
      <c r="G195" s="410">
        <v>0.65000000000000013</v>
      </c>
      <c r="H195" s="47">
        <f t="shared" si="29"/>
        <v>8173.1000000000013</v>
      </c>
      <c r="I195" s="378">
        <f t="shared" si="23"/>
        <v>8173.1000000000013</v>
      </c>
      <c r="J195" s="21">
        <f t="shared" si="20"/>
        <v>98.174499680070738</v>
      </c>
      <c r="K195" s="376">
        <f t="shared" si="24"/>
        <v>102.40921753219705</v>
      </c>
      <c r="L195" s="150">
        <f>'As-Filed Schedule 4'!H195</f>
        <v>4951</v>
      </c>
      <c r="M195" s="388">
        <f>SUMIFS(Adjustments!$G:$G,Adjustments!$H:$H,"4",Adjustments!$I:$I,'Schedule 4 Adjustments'!$L$14,Adjustments!$J:$J,'Schedule 4 Adjustments'!$A195)</f>
        <v>0</v>
      </c>
      <c r="N195" s="380">
        <f t="shared" si="25"/>
        <v>4951</v>
      </c>
      <c r="O195" s="410">
        <v>0.59999999999999987</v>
      </c>
      <c r="P195" s="47">
        <f t="shared" si="26"/>
        <v>2970.5999999999995</v>
      </c>
      <c r="Q195" s="378">
        <f t="shared" si="27"/>
        <v>2970.5999999999995</v>
      </c>
      <c r="R195" s="21">
        <f t="shared" si="21"/>
        <v>90.622615089296033</v>
      </c>
      <c r="S195" s="376">
        <f t="shared" si="28"/>
        <v>94.531585414335709</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29414</v>
      </c>
      <c r="E197" s="9">
        <f>SUM(E18:E196)</f>
        <v>0</v>
      </c>
      <c r="F197" s="379">
        <f>SUM(F18:F196)</f>
        <v>29414</v>
      </c>
      <c r="G197" s="13"/>
      <c r="H197" s="9">
        <f>SUM(H18:H196)</f>
        <v>45778.080000000002</v>
      </c>
      <c r="I197" s="379">
        <f>SUM(I18:I196)</f>
        <v>45778.080000000002</v>
      </c>
      <c r="L197" s="9">
        <f>SUM(L18:L196)</f>
        <v>25944</v>
      </c>
      <c r="M197" s="9">
        <f t="shared" ref="M197:N197" si="40">SUM(M18:M196)</f>
        <v>0</v>
      </c>
      <c r="N197" s="9">
        <f t="shared" si="40"/>
        <v>25944</v>
      </c>
      <c r="P197" s="9">
        <f>SUM(P18:P196)</f>
        <v>82929.980000000025</v>
      </c>
      <c r="Q197" s="379">
        <f>SUM(Q18:Q196)</f>
        <v>82929.980000000025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Eagle Valley Behavioral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510" t="s">
        <v>868</v>
      </c>
      <c r="C9" s="510"/>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611" t="s">
        <v>870</v>
      </c>
      <c r="B11" s="612"/>
      <c r="C11" s="612"/>
      <c r="D11" s="612"/>
      <c r="E11" s="612"/>
      <c r="F11" s="613"/>
      <c r="I11" s="128"/>
      <c r="J11" s="128"/>
      <c r="K11" s="128"/>
      <c r="L11" s="128"/>
      <c r="M11" s="128"/>
      <c r="N11" s="128"/>
      <c r="O11" s="128"/>
    </row>
    <row r="12" spans="1:15" s="22" customFormat="1" x14ac:dyDescent="0.35">
      <c r="A12" s="155">
        <v>1</v>
      </c>
      <c r="B12" s="514" t="s">
        <v>871</v>
      </c>
      <c r="C12" s="515"/>
      <c r="D12" s="157">
        <f>'As-Filed Schedule 5'!D12</f>
        <v>3683482.42</v>
      </c>
      <c r="E12" s="388">
        <f>SUMIFS(Adjustments!$G:$G,Adjustments!$H:$H,"5",Adjustments!$I:$I,'Schedule 5 Adjustments'!$D$8,Adjustments!$J:$J,A12)</f>
        <v>0</v>
      </c>
      <c r="F12" s="274">
        <f>SUM(D12:E12)</f>
        <v>3683482.42</v>
      </c>
      <c r="I12" s="140"/>
    </row>
    <row r="13" spans="1:15" s="22" customFormat="1" x14ac:dyDescent="0.35">
      <c r="A13" s="155">
        <v>2</v>
      </c>
      <c r="B13" s="514" t="s">
        <v>872</v>
      </c>
      <c r="C13" s="515"/>
      <c r="D13" s="157">
        <f>'As-Filed Schedule 5'!D13</f>
        <v>0</v>
      </c>
      <c r="E13" s="388">
        <f>SUMIFS(Adjustments!$G:$G,Adjustments!$H:$H,"5",Adjustments!$I:$I,'Schedule 5 Adjustments'!$D$8,Adjustments!$J:$J,A13)</f>
        <v>0</v>
      </c>
      <c r="F13" s="274">
        <f t="shared" ref="F13:F18" si="0">SUM(D13:E13)</f>
        <v>0</v>
      </c>
      <c r="I13" s="140"/>
    </row>
    <row r="14" spans="1:15" s="22" customFormat="1" x14ac:dyDescent="0.35">
      <c r="A14" s="155">
        <v>3</v>
      </c>
      <c r="B14" s="173" t="s">
        <v>873</v>
      </c>
      <c r="C14" s="168"/>
      <c r="D14" s="157">
        <f>'As-Filed Schedule 5'!D14</f>
        <v>407657.10000000009</v>
      </c>
      <c r="E14" s="388">
        <f>SUMIFS(Adjustments!$G:$G,Adjustments!$H:$H,"5",Adjustments!$I:$I,'Schedule 5 Adjustments'!$D$8,Adjustments!$J:$J,A14)</f>
        <v>0</v>
      </c>
      <c r="F14" s="274">
        <f t="shared" si="0"/>
        <v>407657.10000000009</v>
      </c>
      <c r="I14" s="140"/>
    </row>
    <row r="15" spans="1:15" s="22" customFormat="1" x14ac:dyDescent="0.35">
      <c r="A15" s="155">
        <v>4</v>
      </c>
      <c r="B15" s="173" t="s">
        <v>874</v>
      </c>
      <c r="C15" s="168"/>
      <c r="D15" s="157">
        <f>'As-Filed Schedule 5'!D15</f>
        <v>2293459.7000000007</v>
      </c>
      <c r="E15" s="388">
        <f>SUMIFS(Adjustments!$G:$G,Adjustments!$H:$H,"5",Adjustments!$I:$I,'Schedule 5 Adjustments'!$D$8,Adjustments!$J:$J,A15)</f>
        <v>0</v>
      </c>
      <c r="F15" s="274">
        <f t="shared" si="0"/>
        <v>2293459.7000000007</v>
      </c>
      <c r="I15" s="140"/>
    </row>
    <row r="16" spans="1:15" s="22" customFormat="1" x14ac:dyDescent="0.35">
      <c r="A16" s="155">
        <v>5</v>
      </c>
      <c r="B16" s="173" t="s">
        <v>875</v>
      </c>
      <c r="C16" s="168"/>
      <c r="D16" s="157">
        <f>'As-Filed Schedule 5'!D16</f>
        <v>0</v>
      </c>
      <c r="E16" s="388">
        <f>SUMIFS(Adjustments!$G:$G,Adjustments!$H:$H,"5",Adjustments!$I:$I,'Schedule 5 Adjustments'!$D$8,Adjustments!$J:$J,A16)</f>
        <v>0</v>
      </c>
      <c r="F16" s="274">
        <f t="shared" si="0"/>
        <v>0</v>
      </c>
      <c r="I16" s="140"/>
    </row>
    <row r="17" spans="1:9" s="22" customFormat="1" x14ac:dyDescent="0.35">
      <c r="A17" s="155">
        <v>6</v>
      </c>
      <c r="B17" s="173" t="s">
        <v>876</v>
      </c>
      <c r="C17" s="168"/>
      <c r="D17" s="157">
        <f>'As-Filed Schedule 5'!D17</f>
        <v>111298.05000000002</v>
      </c>
      <c r="E17" s="388">
        <f>SUMIFS(Adjustments!$G:$G,Adjustments!$H:$H,"5",Adjustments!$I:$I,'Schedule 5 Adjustments'!$D$8,Adjustments!$J:$J,A17)</f>
        <v>0</v>
      </c>
      <c r="F17" s="274">
        <f>SUM(D17:E17)</f>
        <v>111298.05000000002</v>
      </c>
      <c r="I17" s="140"/>
    </row>
    <row r="18" spans="1:9" s="22" customFormat="1" x14ac:dyDescent="0.35">
      <c r="A18" s="155">
        <v>7</v>
      </c>
      <c r="B18" s="514" t="s">
        <v>877</v>
      </c>
      <c r="C18" s="515"/>
      <c r="D18" s="157">
        <f>'As-Filed Schedule 5'!D18</f>
        <v>630042.57000000007</v>
      </c>
      <c r="E18" s="388">
        <f>SUMIFS(Adjustments!$G:$G,Adjustments!$H:$H,"5",Adjustments!$I:$I,'Schedule 5 Adjustments'!$D$8,Adjustments!$J:$J,A18)</f>
        <v>0</v>
      </c>
      <c r="F18" s="274">
        <f t="shared" si="0"/>
        <v>630042.57000000007</v>
      </c>
      <c r="I18" s="140"/>
    </row>
    <row r="19" spans="1:9" s="22" customFormat="1" x14ac:dyDescent="0.35">
      <c r="A19" s="155">
        <v>8</v>
      </c>
      <c r="B19" s="508" t="s">
        <v>878</v>
      </c>
      <c r="C19" s="509"/>
      <c r="D19" s="160">
        <f>SUM(D12:D18)</f>
        <v>7125939.8400000008</v>
      </c>
      <c r="E19" s="266">
        <f t="shared" ref="E19:F19" si="1">SUM(E12:E18)</f>
        <v>0</v>
      </c>
      <c r="F19" s="275">
        <f t="shared" si="1"/>
        <v>7125939.8400000008</v>
      </c>
      <c r="I19" s="140"/>
    </row>
    <row r="20" spans="1:9" s="22" customFormat="1" x14ac:dyDescent="0.35">
      <c r="A20" s="437"/>
      <c r="B20" s="438"/>
      <c r="C20" s="438"/>
      <c r="D20" s="439"/>
      <c r="E20" s="441"/>
      <c r="F20" s="445"/>
      <c r="I20" s="140"/>
    </row>
    <row r="21" spans="1:9" s="22" customFormat="1" x14ac:dyDescent="0.35">
      <c r="A21" s="611" t="s">
        <v>879</v>
      </c>
      <c r="B21" s="612"/>
      <c r="C21" s="612"/>
      <c r="D21" s="612"/>
      <c r="E21" s="612"/>
      <c r="F21" s="613"/>
      <c r="G21" s="140"/>
      <c r="H21" s="140"/>
      <c r="I21" s="140"/>
    </row>
    <row r="22" spans="1:9" s="22" customFormat="1" x14ac:dyDescent="0.35">
      <c r="A22" s="155">
        <v>9</v>
      </c>
      <c r="B22" s="514" t="s">
        <v>880</v>
      </c>
      <c r="C22" s="515"/>
      <c r="D22" s="157">
        <f>'As-Filed Schedule 5'!D22</f>
        <v>4298487.93</v>
      </c>
      <c r="E22" s="388">
        <f>SUMIFS(Adjustments!$G:$G,Adjustments!$H:$H,"5",Adjustments!$I:$I,'Schedule 5 Adjustments'!$D$8,Adjustments!$J:$J,A22)</f>
        <v>0</v>
      </c>
      <c r="F22" s="274">
        <f>SUM(D22:E22)</f>
        <v>4298487.93</v>
      </c>
      <c r="G22" s="140"/>
      <c r="H22" s="140"/>
      <c r="I22" s="140"/>
    </row>
    <row r="23" spans="1:9" s="22" customFormat="1" x14ac:dyDescent="0.35">
      <c r="A23" s="155">
        <v>10</v>
      </c>
      <c r="B23" s="173" t="s">
        <v>881</v>
      </c>
      <c r="C23" s="168"/>
      <c r="D23" s="157">
        <f>'As-Filed Schedule 5'!D23</f>
        <v>233978</v>
      </c>
      <c r="E23" s="388">
        <f>SUMIFS(Adjustments!$G:$G,Adjustments!$H:$H,"5",Adjustments!$I:$I,'Schedule 5 Adjustments'!$D$8,Adjustments!$J:$J,A23)</f>
        <v>0</v>
      </c>
      <c r="F23" s="274">
        <f t="shared" ref="F23:F26" si="2">SUM(D23:E23)</f>
        <v>233978</v>
      </c>
      <c r="G23" s="140"/>
      <c r="H23" s="140"/>
      <c r="I23" s="140"/>
    </row>
    <row r="24" spans="1:9" s="22" customFormat="1" x14ac:dyDescent="0.35">
      <c r="A24" s="155">
        <v>11</v>
      </c>
      <c r="B24" s="173" t="s">
        <v>882</v>
      </c>
      <c r="C24" s="168"/>
      <c r="D24" s="157">
        <f>'As-Filed Schedule 5'!D24</f>
        <v>1672621.25</v>
      </c>
      <c r="E24" s="388">
        <f>SUMIFS(Adjustments!$G:$G,Adjustments!$H:$H,"5",Adjustments!$I:$I,'Schedule 5 Adjustments'!$D$8,Adjustments!$J:$J,A24)</f>
        <v>0</v>
      </c>
      <c r="F24" s="274">
        <f t="shared" si="2"/>
        <v>1672621.25</v>
      </c>
      <c r="G24" s="140"/>
      <c r="H24" s="140"/>
      <c r="I24" s="140"/>
    </row>
    <row r="25" spans="1:9" s="22" customFormat="1" x14ac:dyDescent="0.35">
      <c r="A25" s="155">
        <v>12</v>
      </c>
      <c r="B25" s="173" t="s">
        <v>883</v>
      </c>
      <c r="C25" s="168"/>
      <c r="D25" s="157">
        <f>'As-Filed Schedule 5'!D25</f>
        <v>1181899</v>
      </c>
      <c r="E25" s="388">
        <f>SUMIFS(Adjustments!$G:$G,Adjustments!$H:$H,"5",Adjustments!$I:$I,'Schedule 5 Adjustments'!$D$8,Adjustments!$J:$J,A25)</f>
        <v>0</v>
      </c>
      <c r="F25" s="274">
        <f t="shared" si="2"/>
        <v>1181899</v>
      </c>
      <c r="G25" s="140"/>
      <c r="H25" s="140"/>
      <c r="I25" s="140"/>
    </row>
    <row r="26" spans="1:9" s="22" customFormat="1" x14ac:dyDescent="0.35">
      <c r="A26" s="155">
        <v>13</v>
      </c>
      <c r="B26" s="173" t="s">
        <v>884</v>
      </c>
      <c r="C26" s="168"/>
      <c r="D26" s="157">
        <f>'As-Filed Schedule 5'!D26</f>
        <v>1181310.8999999999</v>
      </c>
      <c r="E26" s="388">
        <f>SUMIFS(Adjustments!$G:$G,Adjustments!$H:$H,"5",Adjustments!$I:$I,'Schedule 5 Adjustments'!$D$8,Adjustments!$J:$J,A26)</f>
        <v>0</v>
      </c>
      <c r="F26" s="274">
        <f t="shared" si="2"/>
        <v>1181310.8999999999</v>
      </c>
      <c r="G26" s="140"/>
      <c r="H26" s="140"/>
      <c r="I26" s="140"/>
    </row>
    <row r="27" spans="1:9" s="22" customFormat="1" x14ac:dyDescent="0.35">
      <c r="A27" s="155">
        <v>14</v>
      </c>
      <c r="B27" s="508" t="s">
        <v>885</v>
      </c>
      <c r="C27" s="509"/>
      <c r="D27" s="160">
        <f>SUM(D22:D26)</f>
        <v>8568297.0800000001</v>
      </c>
      <c r="E27" s="266">
        <f>SUM(E22:E26)</f>
        <v>0</v>
      </c>
      <c r="F27" s="275">
        <f t="shared" ref="F27" si="3">SUM(F22:F26)</f>
        <v>8568297.0800000001</v>
      </c>
      <c r="G27" s="140"/>
      <c r="H27" s="140"/>
      <c r="I27" s="140"/>
    </row>
    <row r="28" spans="1:9" s="22" customFormat="1" x14ac:dyDescent="0.35">
      <c r="A28" s="437"/>
      <c r="B28" s="438"/>
      <c r="C28" s="438"/>
      <c r="D28" s="439"/>
      <c r="E28" s="441"/>
      <c r="F28" s="445"/>
      <c r="H28" s="140"/>
      <c r="I28" s="140"/>
    </row>
    <row r="29" spans="1:9" s="22" customFormat="1" x14ac:dyDescent="0.35">
      <c r="A29" s="611" t="s">
        <v>886</v>
      </c>
      <c r="B29" s="612"/>
      <c r="C29" s="612"/>
      <c r="D29" s="612"/>
      <c r="E29" s="612"/>
      <c r="F29" s="613"/>
      <c r="H29" s="140"/>
      <c r="I29" s="140"/>
    </row>
    <row r="30" spans="1:9" s="22" customFormat="1" x14ac:dyDescent="0.35">
      <c r="A30" s="440">
        <v>15</v>
      </c>
      <c r="B30" s="614" t="s">
        <v>887</v>
      </c>
      <c r="C30" s="616"/>
      <c r="D30" s="157">
        <f>'As-Filed Schedule 5'!D30</f>
        <v>0</v>
      </c>
      <c r="E30" s="388">
        <f>SUMIFS(Adjustments!$G:$G,Adjustments!$H:$H,"5",Adjustments!$I:$I,'Schedule 5 Adjustments'!$D$8,Adjustments!$J:$J,A30)</f>
        <v>0</v>
      </c>
      <c r="F30" s="274">
        <f t="shared" ref="F30:F34" si="4">SUM(D30:E30)</f>
        <v>0</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3962381</v>
      </c>
      <c r="E34" s="388">
        <f>SUMIFS(Adjustments!$G:$G,Adjustments!$H:$H,"5",Adjustments!$I:$I,'Schedule 5 Adjustments'!$D$8,Adjustments!$J:$J,A34)</f>
        <v>0</v>
      </c>
      <c r="F34" s="274">
        <f t="shared" si="4"/>
        <v>3962381</v>
      </c>
      <c r="I34" s="140"/>
    </row>
    <row r="35" spans="1:9" s="22" customFormat="1" x14ac:dyDescent="0.35">
      <c r="A35" s="155">
        <v>20</v>
      </c>
      <c r="B35" s="508" t="s">
        <v>892</v>
      </c>
      <c r="C35" s="509"/>
      <c r="D35" s="160">
        <f>SUM(D30:D34)</f>
        <v>3962381</v>
      </c>
      <c r="E35" s="266">
        <f t="shared" ref="E35:F35" si="5">SUM(E30:E34)</f>
        <v>0</v>
      </c>
      <c r="F35" s="275">
        <f t="shared" si="5"/>
        <v>3962381</v>
      </c>
      <c r="I35" s="140"/>
    </row>
    <row r="36" spans="1:9" s="22" customFormat="1" x14ac:dyDescent="0.35">
      <c r="A36" s="437"/>
      <c r="B36" s="438"/>
      <c r="C36" s="438"/>
      <c r="D36" s="439"/>
      <c r="E36" s="441"/>
      <c r="F36" s="445"/>
      <c r="I36" s="140"/>
    </row>
    <row r="37" spans="1:9" s="22" customFormat="1" x14ac:dyDescent="0.35">
      <c r="A37" s="611" t="s">
        <v>893</v>
      </c>
      <c r="B37" s="612"/>
      <c r="C37" s="612"/>
      <c r="D37" s="612"/>
      <c r="E37" s="612"/>
      <c r="F37" s="613"/>
      <c r="I37" s="140"/>
    </row>
    <row r="38" spans="1:9" s="22" customFormat="1" x14ac:dyDescent="0.35">
      <c r="A38" s="440">
        <v>21</v>
      </c>
      <c r="B38" s="614" t="s">
        <v>304</v>
      </c>
      <c r="C38" s="615"/>
      <c r="D38" s="157">
        <f>'As-Filed Schedule 5'!D38</f>
        <v>126086.78</v>
      </c>
      <c r="E38" s="388">
        <f>SUMIFS(Adjustments!$G:$G,Adjustments!$H:$H,"5",Adjustments!$I:$I,'Schedule 5 Adjustments'!$D$8,Adjustments!$J:$J,A38)</f>
        <v>0</v>
      </c>
      <c r="F38" s="274">
        <f t="shared" ref="F38" si="6">SUM(D38:E38)</f>
        <v>126086.78</v>
      </c>
      <c r="I38" s="140"/>
    </row>
    <row r="39" spans="1:9" s="22" customFormat="1" x14ac:dyDescent="0.35">
      <c r="A39" s="155">
        <v>22</v>
      </c>
      <c r="B39" s="514" t="s">
        <v>894</v>
      </c>
      <c r="C39" s="517"/>
      <c r="D39" s="157">
        <f>'As-Filed Schedule 5'!D39</f>
        <v>1271629.6000000001</v>
      </c>
      <c r="E39" s="388">
        <f>SUMIFS(Adjustments!$G:$G,Adjustments!$H:$H,"5",Adjustments!$I:$I,'Schedule 5 Adjustments'!$D$8,Adjustments!$J:$J,A39)</f>
        <v>0</v>
      </c>
      <c r="F39" s="274">
        <f>SUM(D39:E39)</f>
        <v>1271629.6000000001</v>
      </c>
      <c r="I39" s="140"/>
    </row>
    <row r="40" spans="1:9" s="22" customFormat="1" x14ac:dyDescent="0.35">
      <c r="A40" s="155">
        <v>23</v>
      </c>
      <c r="B40" s="514" t="s">
        <v>895</v>
      </c>
      <c r="C40" s="517"/>
      <c r="D40" s="157">
        <f>'As-Filed Schedule 5'!D40</f>
        <v>356684.49</v>
      </c>
      <c r="E40" s="388">
        <f>SUMIFS(Adjustments!$G:$G,Adjustments!$H:$H,"5",Adjustments!$I:$I,'Schedule 5 Adjustments'!$D$8,Adjustments!$J:$J,A40)</f>
        <v>0</v>
      </c>
      <c r="F40" s="274">
        <f>SUM(D40:E40)</f>
        <v>356684.49</v>
      </c>
      <c r="I40" s="140"/>
    </row>
    <row r="41" spans="1:9" s="22" customFormat="1" x14ac:dyDescent="0.35">
      <c r="A41" s="155">
        <v>24</v>
      </c>
      <c r="B41" s="508" t="s">
        <v>896</v>
      </c>
      <c r="C41" s="516"/>
      <c r="D41" s="160">
        <f>SUM(D38:D40)</f>
        <v>1754400.87</v>
      </c>
      <c r="E41" s="266">
        <f t="shared" ref="E41:F41" si="7">SUM(E38:E40)</f>
        <v>0</v>
      </c>
      <c r="F41" s="275">
        <f t="shared" si="7"/>
        <v>1754400.87</v>
      </c>
      <c r="I41" s="140"/>
    </row>
    <row r="42" spans="1:9" s="22" customFormat="1" x14ac:dyDescent="0.35">
      <c r="A42" s="161"/>
      <c r="B42" s="162"/>
      <c r="C42" s="162"/>
      <c r="D42" s="164"/>
      <c r="E42" s="441"/>
      <c r="F42" s="445"/>
      <c r="I42" s="140"/>
    </row>
    <row r="43" spans="1:9" s="63" customFormat="1" ht="15.5" x14ac:dyDescent="0.35">
      <c r="A43" s="155">
        <v>25</v>
      </c>
      <c r="B43" s="520" t="s">
        <v>897</v>
      </c>
      <c r="C43" s="522"/>
      <c r="D43" s="169">
        <f>SUM(D19,D27,D35,D41)</f>
        <v>21411018.790000003</v>
      </c>
      <c r="E43" s="442">
        <f t="shared" ref="E43" si="8">SUM(E19,E27,E35,E41)</f>
        <v>0</v>
      </c>
      <c r="F43" s="446">
        <f>SUM(F19,F27,F35,F41)</f>
        <v>21411018.790000003</v>
      </c>
      <c r="I43" s="141"/>
    </row>
    <row r="44" spans="1:9" s="22" customFormat="1" x14ac:dyDescent="0.35">
      <c r="A44" s="170"/>
      <c r="B44" s="170"/>
      <c r="C44" s="170"/>
      <c r="D44" s="170"/>
      <c r="E44" s="265"/>
      <c r="F44" s="140"/>
      <c r="I44" s="140"/>
    </row>
    <row r="45" spans="1:9" s="22" customFormat="1" x14ac:dyDescent="0.35">
      <c r="A45" s="155">
        <v>26</v>
      </c>
      <c r="B45" s="519" t="s">
        <v>898</v>
      </c>
      <c r="C45" s="519"/>
      <c r="D45" s="157">
        <f>'As-Filed Schedule 5'!D45</f>
        <v>0</v>
      </c>
      <c r="E45" s="443"/>
      <c r="F45" s="274">
        <v>21411019</v>
      </c>
      <c r="I45" s="140"/>
    </row>
    <row r="46" spans="1:9" s="22" customFormat="1" ht="15.5" x14ac:dyDescent="0.35">
      <c r="A46" s="155">
        <v>27</v>
      </c>
      <c r="B46" s="519" t="s">
        <v>10</v>
      </c>
      <c r="C46" s="519"/>
      <c r="D46" s="169">
        <f>D43-D45</f>
        <v>21411018.790000003</v>
      </c>
      <c r="E46" s="444"/>
      <c r="F46" s="446">
        <f>F43-F45</f>
        <v>-0.20999999716877937</v>
      </c>
      <c r="G46" s="33" t="str">
        <f>IF(ABS(F46)&gt;1,"Error - This variance should be 0.","")</f>
        <v/>
      </c>
      <c r="I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2025-03-14T17:56:28Z</cp:lastPrinted>
  <dcterms:created xsi:type="dcterms:W3CDTF">2022-01-27T23:29:48Z</dcterms:created>
  <dcterms:modified xsi:type="dcterms:W3CDTF">2025-03-17T17:41:10Z</dcterms:modified>
</cp:coreProperties>
</file>