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xjack\Desktop\Website\IP\"/>
    </mc:Choice>
  </mc:AlternateContent>
  <xr:revisionPtr revIDLastSave="0" documentId="8_{404680F5-84DD-4574-8746-72599AF994EB}" xr6:coauthVersionLast="44" xr6:coauthVersionMax="44" xr10:uidLastSave="{00000000-0000-0000-0000-000000000000}"/>
  <bookViews>
    <workbookView xWindow="28680" yWindow="-120" windowWidth="29040" windowHeight="15840" tabRatio="708" xr2:uid="{BCFA7410-232F-47A7-A4DE-503AD64E6DE9}"/>
  </bookViews>
  <sheets>
    <sheet name="Stakeholder Review May 2021" sheetId="30" r:id="rId1"/>
    <sheet name="FFY2020 Fed Base Rate" sheetId="29" r:id="rId2"/>
    <sheet name="How Ceiling-Floor Works" sheetId="7" r:id="rId3"/>
  </sheets>
  <externalReferences>
    <externalReference r:id="rId4"/>
  </externalReferences>
  <definedNames>
    <definedName name="_xlnm._FilterDatabase" localSheetId="0" hidden="1">'Stakeholder Review May 2021'!$A$14:$DP$26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4" i="30" l="1"/>
  <c r="BC18" i="30" l="1"/>
  <c r="BC21" i="30"/>
  <c r="BC22" i="30"/>
  <c r="BB26" i="30"/>
  <c r="BC15" i="30"/>
  <c r="T15" i="30"/>
  <c r="T16" i="30"/>
  <c r="T17" i="30"/>
  <c r="T18" i="30"/>
  <c r="T19" i="30"/>
  <c r="T20" i="30"/>
  <c r="T21" i="30"/>
  <c r="T22" i="30"/>
  <c r="T23" i="30"/>
  <c r="T24" i="30"/>
  <c r="T25" i="30"/>
  <c r="T26" i="30"/>
  <c r="AW27" i="30"/>
  <c r="AH26" i="30"/>
  <c r="Y26" i="30"/>
  <c r="W26" i="30"/>
  <c r="U26" i="30"/>
  <c r="R26" i="30"/>
  <c r="N26" i="30"/>
  <c r="AO26" i="30" s="1"/>
  <c r="H26" i="30"/>
  <c r="BC25" i="30"/>
  <c r="AH25" i="30"/>
  <c r="Y25" i="30"/>
  <c r="W25" i="30"/>
  <c r="U25" i="30"/>
  <c r="R25" i="30"/>
  <c r="N25" i="30"/>
  <c r="AO25" i="30" s="1"/>
  <c r="H25" i="30"/>
  <c r="AH24" i="30"/>
  <c r="Y24" i="30"/>
  <c r="W24" i="30"/>
  <c r="U24" i="30"/>
  <c r="R24" i="30"/>
  <c r="N24" i="30"/>
  <c r="AO24" i="30" s="1"/>
  <c r="J24" i="30"/>
  <c r="BC23" i="30"/>
  <c r="AH23" i="30"/>
  <c r="Y23" i="30"/>
  <c r="W23" i="30"/>
  <c r="U23" i="30"/>
  <c r="R23" i="30"/>
  <c r="N23" i="30"/>
  <c r="AO23" i="30" s="1"/>
  <c r="AH22" i="30"/>
  <c r="Y22" i="30"/>
  <c r="W22" i="30"/>
  <c r="U22" i="30"/>
  <c r="R22" i="30"/>
  <c r="N22" i="30"/>
  <c r="AO22" i="30" s="1"/>
  <c r="H22" i="30"/>
  <c r="AH21" i="30"/>
  <c r="Y21" i="30"/>
  <c r="W21" i="30"/>
  <c r="U21" i="30"/>
  <c r="R21" i="30"/>
  <c r="N21" i="30"/>
  <c r="AO21" i="30" s="1"/>
  <c r="J21" i="30"/>
  <c r="BC20" i="30"/>
  <c r="AH20" i="30"/>
  <c r="Y20" i="30"/>
  <c r="W20" i="30"/>
  <c r="U20" i="30"/>
  <c r="R20" i="30"/>
  <c r="N20" i="30"/>
  <c r="AO20" i="30" s="1"/>
  <c r="BC19" i="30"/>
  <c r="AH19" i="30"/>
  <c r="Y19" i="30"/>
  <c r="W19" i="30"/>
  <c r="U19" i="30"/>
  <c r="R19" i="30"/>
  <c r="N19" i="30"/>
  <c r="AO19" i="30" s="1"/>
  <c r="H19" i="30"/>
  <c r="AH18" i="30"/>
  <c r="Y18" i="30"/>
  <c r="W18" i="30"/>
  <c r="U18" i="30"/>
  <c r="R18" i="30"/>
  <c r="N18" i="30"/>
  <c r="AO18" i="30" s="1"/>
  <c r="H18" i="30"/>
  <c r="BB17" i="30"/>
  <c r="AH17" i="30"/>
  <c r="Y17" i="30"/>
  <c r="W17" i="30"/>
  <c r="U17" i="30"/>
  <c r="R17" i="30"/>
  <c r="N17" i="30"/>
  <c r="AO17" i="30" s="1"/>
  <c r="H17" i="30"/>
  <c r="BB16" i="30"/>
  <c r="AH16" i="30"/>
  <c r="Y16" i="30"/>
  <c r="W16" i="30"/>
  <c r="U16" i="30"/>
  <c r="R16" i="30"/>
  <c r="N16" i="30"/>
  <c r="AO16" i="30" s="1"/>
  <c r="J16" i="30"/>
  <c r="AH15" i="30"/>
  <c r="Y15" i="30"/>
  <c r="W15" i="30"/>
  <c r="U15" i="30"/>
  <c r="R15" i="30"/>
  <c r="N15" i="30"/>
  <c r="AO15" i="30" s="1"/>
  <c r="H15" i="30"/>
  <c r="AU16" i="30"/>
  <c r="AV16" i="30" s="1"/>
  <c r="R14" i="30"/>
  <c r="AX12" i="30"/>
  <c r="AW12" i="30"/>
  <c r="AK12" i="30"/>
  <c r="AX11" i="30"/>
  <c r="AW11" i="30"/>
  <c r="AK11" i="30"/>
  <c r="AX10" i="30"/>
  <c r="AW10" i="30"/>
  <c r="AK10" i="30"/>
  <c r="AX9" i="30"/>
  <c r="AW9" i="30"/>
  <c r="AK9" i="30"/>
  <c r="AK8" i="30"/>
  <c r="AX7" i="30"/>
  <c r="AW7" i="30"/>
  <c r="AK7" i="30"/>
  <c r="AX6" i="30"/>
  <c r="AW6" i="30"/>
  <c r="AK6" i="30"/>
  <c r="AW14" i="30"/>
  <c r="AU15" i="30" l="1"/>
  <c r="AV15" i="30" s="1"/>
  <c r="AU17" i="30"/>
  <c r="AV17" i="30" s="1"/>
  <c r="BB21" i="30"/>
  <c r="BB18" i="30"/>
  <c r="BB19" i="30"/>
  <c r="H21" i="30"/>
  <c r="K21" i="30" s="1"/>
  <c r="AN21" i="30" s="1"/>
  <c r="AQ21" i="30" s="1"/>
  <c r="J22" i="30"/>
  <c r="K22" i="30" s="1"/>
  <c r="AN22" i="30" s="1"/>
  <c r="AQ22" i="30" s="1"/>
  <c r="J26" i="30"/>
  <c r="K26" i="30" s="1"/>
  <c r="AB12" i="30"/>
  <c r="AB5" i="30" s="1"/>
  <c r="J18" i="30"/>
  <c r="K18" i="30" s="1"/>
  <c r="BB20" i="30"/>
  <c r="BB23" i="30"/>
  <c r="J17" i="30"/>
  <c r="K17" i="30" s="1"/>
  <c r="O17" i="30" s="1"/>
  <c r="BC26" i="30"/>
  <c r="BC17" i="30"/>
  <c r="Z12" i="30"/>
  <c r="Z5" i="30" s="1"/>
  <c r="BC16" i="30"/>
  <c r="J25" i="30"/>
  <c r="K25" i="30" s="1"/>
  <c r="BB15" i="30"/>
  <c r="AB7" i="30"/>
  <c r="Z10" i="30"/>
  <c r="AF10" i="30"/>
  <c r="AF9" i="30"/>
  <c r="AF8" i="30"/>
  <c r="AF12" i="30"/>
  <c r="AF5" i="30" s="1"/>
  <c r="AF7" i="30"/>
  <c r="H16" i="30"/>
  <c r="K16" i="30" s="1"/>
  <c r="AD10" i="30"/>
  <c r="Z11" i="30"/>
  <c r="Z4" i="30" s="1"/>
  <c r="AD11" i="30"/>
  <c r="AD4" i="30" s="1"/>
  <c r="AE18" i="30" s="1"/>
  <c r="Z9" i="30"/>
  <c r="AF11" i="30"/>
  <c r="AF4" i="30" s="1"/>
  <c r="Z6" i="30"/>
  <c r="Z7" i="30"/>
  <c r="AD9" i="30"/>
  <c r="AD12" i="30"/>
  <c r="AD5" i="30" s="1"/>
  <c r="AD6" i="30"/>
  <c r="Z8" i="30"/>
  <c r="AF6" i="30"/>
  <c r="AD7" i="30"/>
  <c r="AD8" i="30"/>
  <c r="J15" i="30"/>
  <c r="K15" i="30" s="1"/>
  <c r="AB11" i="30"/>
  <c r="AB4" i="30" s="1"/>
  <c r="AB6" i="30"/>
  <c r="AB10" i="30"/>
  <c r="AB9" i="30"/>
  <c r="AB8" i="30"/>
  <c r="AU26" i="30"/>
  <c r="AV26" i="30" s="1"/>
  <c r="AU25" i="30"/>
  <c r="AV25" i="30" s="1"/>
  <c r="AU23" i="30"/>
  <c r="AV23" i="30" s="1"/>
  <c r="AU19" i="30"/>
  <c r="AV19" i="30" s="1"/>
  <c r="AU21" i="30"/>
  <c r="AV21" i="30" s="1"/>
  <c r="AU18" i="30"/>
  <c r="AV18" i="30" s="1"/>
  <c r="J20" i="30"/>
  <c r="H20" i="30"/>
  <c r="J19" i="30"/>
  <c r="K19" i="30" s="1"/>
  <c r="AU20" i="30"/>
  <c r="AV20" i="30" s="1"/>
  <c r="AU22" i="30"/>
  <c r="AV22" i="30" s="1"/>
  <c r="H23" i="30"/>
  <c r="J23" i="30"/>
  <c r="BB22" i="30"/>
  <c r="BC24" i="30"/>
  <c r="BB24" i="30"/>
  <c r="H24" i="30"/>
  <c r="K24" i="30" s="1"/>
  <c r="AU24" i="30"/>
  <c r="AV24" i="30" s="1"/>
  <c r="BB25" i="30"/>
  <c r="O22" i="30" l="1"/>
  <c r="AE21" i="30"/>
  <c r="AC23" i="30"/>
  <c r="AA23" i="30"/>
  <c r="AA25" i="30"/>
  <c r="AA26" i="30"/>
  <c r="AE20" i="30"/>
  <c r="K20" i="30"/>
  <c r="AN20" i="30" s="1"/>
  <c r="AQ20" i="30" s="1"/>
  <c r="AA19" i="30"/>
  <c r="AE26" i="30"/>
  <c r="O21" i="30"/>
  <c r="AE25" i="30"/>
  <c r="AA22" i="30"/>
  <c r="AA20" i="30"/>
  <c r="AN17" i="30"/>
  <c r="AQ17" i="30" s="1"/>
  <c r="AC26" i="30"/>
  <c r="AE22" i="30"/>
  <c r="AE19" i="30"/>
  <c r="AC25" i="30"/>
  <c r="AC17" i="30"/>
  <c r="AE16" i="30"/>
  <c r="AC22" i="30"/>
  <c r="AA17" i="30"/>
  <c r="AG20" i="30"/>
  <c r="AG25" i="30"/>
  <c r="AG22" i="30"/>
  <c r="AV27" i="30"/>
  <c r="AY4" i="30" s="1"/>
  <c r="AA15" i="30"/>
  <c r="AG24" i="30"/>
  <c r="AG23" i="30"/>
  <c r="AG26" i="30"/>
  <c r="AG19" i="30"/>
  <c r="O25" i="30"/>
  <c r="AN25" i="30"/>
  <c r="AQ25" i="30" s="1"/>
  <c r="AA18" i="30"/>
  <c r="AG18" i="30"/>
  <c r="AG17" i="30"/>
  <c r="AC16" i="30"/>
  <c r="AG16" i="30"/>
  <c r="AG15" i="30"/>
  <c r="AN19" i="30"/>
  <c r="AQ19" i="30" s="1"/>
  <c r="O19" i="30"/>
  <c r="AN18" i="30"/>
  <c r="AQ18" i="30" s="1"/>
  <c r="O18" i="30"/>
  <c r="AE15" i="30"/>
  <c r="O16" i="30"/>
  <c r="AN16" i="30"/>
  <c r="AQ16" i="30" s="1"/>
  <c r="K23" i="30"/>
  <c r="AC19" i="30"/>
  <c r="AN26" i="30"/>
  <c r="AQ26" i="30" s="1"/>
  <c r="O26" i="30"/>
  <c r="AC21" i="30"/>
  <c r="AG21" i="30"/>
  <c r="AC15" i="30"/>
  <c r="AE17" i="30"/>
  <c r="AN24" i="30"/>
  <c r="AQ24" i="30" s="1"/>
  <c r="O24" i="30"/>
  <c r="AE24" i="30"/>
  <c r="AE23" i="30"/>
  <c r="AC24" i="30"/>
  <c r="AC20" i="30"/>
  <c r="AC18" i="30"/>
  <c r="AN15" i="30"/>
  <c r="AQ15" i="30" s="1"/>
  <c r="O15" i="30"/>
  <c r="AA24" i="30"/>
  <c r="AA21" i="30"/>
  <c r="AA16" i="30"/>
  <c r="AI25" i="30" l="1"/>
  <c r="AP25" i="30" s="1"/>
  <c r="AR25" i="30" s="1"/>
  <c r="AY25" i="30" s="1"/>
  <c r="O20" i="30"/>
  <c r="AI19" i="30"/>
  <c r="AP19" i="30" s="1"/>
  <c r="AR19" i="30" s="1"/>
  <c r="AI26" i="30"/>
  <c r="AP26" i="30" s="1"/>
  <c r="AR26" i="30" s="1"/>
  <c r="AY26" i="30" s="1"/>
  <c r="AI16" i="30"/>
  <c r="AP16" i="30" s="1"/>
  <c r="AR16" i="30" s="1"/>
  <c r="AI22" i="30"/>
  <c r="AP22" i="30" s="1"/>
  <c r="AR22" i="30" s="1"/>
  <c r="AY22" i="30" s="1"/>
  <c r="AI24" i="30"/>
  <c r="AP24" i="30" s="1"/>
  <c r="AR24" i="30" s="1"/>
  <c r="AI23" i="30"/>
  <c r="AI20" i="30"/>
  <c r="AI17" i="30"/>
  <c r="AP17" i="30" s="1"/>
  <c r="AR17" i="30" s="1"/>
  <c r="AY17" i="30" s="1"/>
  <c r="AI21" i="30"/>
  <c r="AP21" i="30" s="1"/>
  <c r="AR21" i="30" s="1"/>
  <c r="AY21" i="30" s="1"/>
  <c r="AI15" i="30"/>
  <c r="AI18" i="30"/>
  <c r="AP18" i="30" s="1"/>
  <c r="AR18" i="30" s="1"/>
  <c r="O23" i="30"/>
  <c r="AN23" i="30"/>
  <c r="AQ23" i="30" s="1"/>
  <c r="AP20" i="30" l="1"/>
  <c r="AR20" i="30" s="1"/>
  <c r="AY20" i="30" s="1"/>
  <c r="AI8" i="30"/>
  <c r="AP23" i="30"/>
  <c r="AR23" i="30" s="1"/>
  <c r="AP15" i="30"/>
  <c r="AR15" i="30" s="1"/>
  <c r="AY15" i="30" s="1"/>
  <c r="AI7" i="30"/>
  <c r="AI9" i="30"/>
  <c r="AY18" i="30"/>
  <c r="AY19" i="30"/>
  <c r="AY24" i="30"/>
  <c r="AI6" i="30"/>
  <c r="AI12" i="30"/>
  <c r="AY16" i="30"/>
  <c r="AI10" i="30"/>
  <c r="AI11" i="30"/>
  <c r="AR6" i="30" l="1"/>
  <c r="AR11" i="30"/>
  <c r="AR10" i="30"/>
  <c r="AR9" i="30"/>
  <c r="AR12" i="30"/>
  <c r="AR7" i="30"/>
  <c r="AY23" i="30"/>
  <c r="AY11" i="30" s="1"/>
  <c r="AR8" i="30"/>
  <c r="AY6" i="30" l="1"/>
  <c r="AY12" i="30"/>
  <c r="AY7" i="30"/>
  <c r="AY8" i="30"/>
  <c r="AY9" i="30"/>
  <c r="AY27" i="30"/>
  <c r="AY10" i="30"/>
  <c r="AY14" i="30" l="1"/>
  <c r="AY5" i="30"/>
  <c r="AY3" i="30" s="1"/>
  <c r="BE3" i="30"/>
  <c r="BE17" i="30" s="1"/>
  <c r="BE26" i="30" l="1"/>
  <c r="BF26" i="30" s="1"/>
  <c r="BE18" i="30"/>
  <c r="BF18" i="30" s="1"/>
  <c r="BE16" i="30"/>
  <c r="BG16" i="30" s="1"/>
  <c r="BE22" i="30"/>
  <c r="BH22" i="30" s="1"/>
  <c r="BE24" i="30"/>
  <c r="BF24" i="30" s="1"/>
  <c r="BE15" i="30"/>
  <c r="BH15" i="30" s="1"/>
  <c r="BE21" i="30"/>
  <c r="BF21" i="30" s="1"/>
  <c r="BE19" i="30"/>
  <c r="BI19" i="30" s="1"/>
  <c r="BJ19" i="30" s="1"/>
  <c r="BE23" i="30"/>
  <c r="BF23" i="30" s="1"/>
  <c r="BE25" i="30"/>
  <c r="BF25" i="30" s="1"/>
  <c r="BE20" i="30"/>
  <c r="BI20" i="30" s="1"/>
  <c r="BJ20" i="30" s="1"/>
  <c r="BF17" i="30"/>
  <c r="BI17" i="30"/>
  <c r="BJ17" i="30" s="1"/>
  <c r="BH17" i="30"/>
  <c r="BG17" i="30"/>
  <c r="BI22" i="30" l="1"/>
  <c r="BJ22" i="30" s="1"/>
  <c r="BF22" i="30"/>
  <c r="BG24" i="30"/>
  <c r="BH24" i="30"/>
  <c r="BF20" i="30"/>
  <c r="BI16" i="30"/>
  <c r="BJ16" i="30" s="1"/>
  <c r="BF16" i="30"/>
  <c r="BG23" i="30"/>
  <c r="BI24" i="30"/>
  <c r="BJ24" i="30" s="1"/>
  <c r="BG22" i="30"/>
  <c r="BG25" i="30"/>
  <c r="BH23" i="30"/>
  <c r="BG18" i="30"/>
  <c r="BI25" i="30"/>
  <c r="BJ25" i="30" s="1"/>
  <c r="BG26" i="30"/>
  <c r="BG21" i="30"/>
  <c r="BI23" i="30"/>
  <c r="BJ23" i="30" s="1"/>
  <c r="BH26" i="30"/>
  <c r="BG19" i="30"/>
  <c r="BI15" i="30"/>
  <c r="BJ15" i="30" s="1"/>
  <c r="BH19" i="30"/>
  <c r="BF15" i="30"/>
  <c r="BF19" i="30"/>
  <c r="BH16" i="30"/>
  <c r="BH25" i="30"/>
  <c r="BH18" i="30"/>
  <c r="BG20" i="30"/>
  <c r="BH21" i="30"/>
  <c r="BI18" i="30"/>
  <c r="BJ18" i="30" s="1"/>
  <c r="BH20" i="30"/>
  <c r="BI21" i="30"/>
  <c r="BJ21" i="30" s="1"/>
  <c r="BG15" i="30"/>
  <c r="BI26" i="30"/>
  <c r="BJ26" i="30" s="1"/>
  <c r="BF27" i="30" l="1"/>
  <c r="BJ27" i="30"/>
  <c r="BM24" i="30" s="1"/>
  <c r="BL22" i="30" l="1"/>
  <c r="BK19" i="30"/>
  <c r="BK21" i="30"/>
  <c r="BM16" i="30"/>
  <c r="BM19" i="30"/>
  <c r="BO19" i="30" s="1"/>
  <c r="BR19" i="30" s="1"/>
  <c r="BK15" i="30"/>
  <c r="BM23" i="30"/>
  <c r="BK25" i="30"/>
  <c r="BL24" i="30"/>
  <c r="BM20" i="30"/>
  <c r="BK18" i="30"/>
  <c r="BK20" i="30"/>
  <c r="BM26" i="30"/>
  <c r="BL15" i="30"/>
  <c r="BM15" i="30"/>
  <c r="BM17" i="30"/>
  <c r="BK23" i="30"/>
  <c r="BL20" i="30"/>
  <c r="BK22" i="30"/>
  <c r="BK17" i="30"/>
  <c r="BM18" i="30"/>
  <c r="BO18" i="30" s="1"/>
  <c r="BR18" i="30" s="1"/>
  <c r="BL26" i="30"/>
  <c r="BM21" i="30"/>
  <c r="BL21" i="30"/>
  <c r="BM22" i="30"/>
  <c r="BL25" i="30"/>
  <c r="BL23" i="30"/>
  <c r="BM25" i="30"/>
  <c r="BK26" i="30"/>
  <c r="BL16" i="30"/>
  <c r="BL19" i="30"/>
  <c r="BL17" i="30"/>
  <c r="BK24" i="30"/>
  <c r="BK16" i="30"/>
  <c r="BL18" i="30"/>
  <c r="BP19" i="30" l="1"/>
  <c r="BL27" i="30"/>
  <c r="BQ19" i="30"/>
  <c r="BP18" i="30"/>
  <c r="BQ18" i="30"/>
  <c r="BK27" i="30"/>
  <c r="BS18" i="30"/>
  <c r="BT18" i="30" s="1"/>
  <c r="BS19" i="30"/>
  <c r="BT19" i="30" s="1"/>
  <c r="BM27" i="30"/>
  <c r="BO3" i="30" l="1"/>
  <c r="BO25" i="30" s="1"/>
  <c r="BO17" i="30" l="1"/>
  <c r="BS17" i="30" s="1"/>
  <c r="BT17" i="30" s="1"/>
  <c r="BO23" i="30"/>
  <c r="BR23" i="30" s="1"/>
  <c r="BO22" i="30"/>
  <c r="BS22" i="30" s="1"/>
  <c r="BT22" i="30" s="1"/>
  <c r="BO16" i="30"/>
  <c r="BS16" i="30" s="1"/>
  <c r="BT16" i="30" s="1"/>
  <c r="BO15" i="30"/>
  <c r="BS15" i="30" s="1"/>
  <c r="BT15" i="30" s="1"/>
  <c r="BO20" i="30"/>
  <c r="BS20" i="30" s="1"/>
  <c r="BT20" i="30" s="1"/>
  <c r="BO24" i="30"/>
  <c r="BR24" i="30" s="1"/>
  <c r="BO26" i="30"/>
  <c r="BP26" i="30" s="1"/>
  <c r="BO21" i="30"/>
  <c r="BS21" i="30" s="1"/>
  <c r="BT21" i="30" s="1"/>
  <c r="BQ25" i="30"/>
  <c r="BS25" i="30"/>
  <c r="BT25" i="30" s="1"/>
  <c r="BR25" i="30"/>
  <c r="BP25" i="30"/>
  <c r="BS23" i="30" l="1"/>
  <c r="BT23" i="30" s="1"/>
  <c r="BP23" i="30"/>
  <c r="BQ23" i="30"/>
  <c r="BP17" i="30"/>
  <c r="BQ17" i="30"/>
  <c r="BR17" i="30"/>
  <c r="BP15" i="30"/>
  <c r="BR16" i="30"/>
  <c r="BP16" i="30"/>
  <c r="BQ15" i="30"/>
  <c r="BQ16" i="30"/>
  <c r="BP20" i="30"/>
  <c r="BR22" i="30"/>
  <c r="BQ20" i="30"/>
  <c r="BP22" i="30"/>
  <c r="BR15" i="30"/>
  <c r="BQ22" i="30"/>
  <c r="BQ26" i="30"/>
  <c r="BQ21" i="30"/>
  <c r="BR26" i="30"/>
  <c r="BR21" i="30"/>
  <c r="BS26" i="30"/>
  <c r="BT26" i="30" s="1"/>
  <c r="BP21" i="30"/>
  <c r="BP24" i="30"/>
  <c r="BR20" i="30"/>
  <c r="BS24" i="30"/>
  <c r="BT24" i="30" s="1"/>
  <c r="BQ24" i="30"/>
  <c r="BT27" i="30" l="1"/>
  <c r="BV16" i="30" s="1"/>
  <c r="BP27" i="30"/>
  <c r="BV22" i="30" l="1"/>
  <c r="BU15" i="30"/>
  <c r="BV15" i="30"/>
  <c r="BU17" i="30"/>
  <c r="BW21" i="30"/>
  <c r="BX21" i="30" s="1"/>
  <c r="BV19" i="30"/>
  <c r="BU21" i="30"/>
  <c r="BW23" i="30"/>
  <c r="BZ23" i="30" s="1"/>
  <c r="BV23" i="30"/>
  <c r="BU19" i="30"/>
  <c r="BW25" i="30"/>
  <c r="BX25" i="30" s="1"/>
  <c r="BU23" i="30"/>
  <c r="BV24" i="30"/>
  <c r="BV21" i="30"/>
  <c r="BU25" i="30"/>
  <c r="BU26" i="30"/>
  <c r="BW17" i="30"/>
  <c r="BX17" i="30" s="1"/>
  <c r="BW15" i="30"/>
  <c r="BV17" i="30"/>
  <c r="BU16" i="30"/>
  <c r="BW19" i="30"/>
  <c r="BZ19" i="30" s="1"/>
  <c r="BW24" i="30"/>
  <c r="BX24" i="30" s="1"/>
  <c r="BV18" i="30"/>
  <c r="BU24" i="30"/>
  <c r="BU22" i="30"/>
  <c r="BU18" i="30"/>
  <c r="BW16" i="30"/>
  <c r="BX16" i="30" s="1"/>
  <c r="BV26" i="30"/>
  <c r="BW22" i="30"/>
  <c r="BX22" i="30" s="1"/>
  <c r="BW20" i="30"/>
  <c r="BZ20" i="30" s="1"/>
  <c r="BW18" i="30"/>
  <c r="BZ18" i="30" s="1"/>
  <c r="BU20" i="30"/>
  <c r="BV25" i="30"/>
  <c r="BW26" i="30"/>
  <c r="BX26" i="30" s="1"/>
  <c r="BV20" i="30"/>
  <c r="BX19" i="30" l="1"/>
  <c r="BX23" i="30"/>
  <c r="BX18" i="30"/>
  <c r="BU27" i="30"/>
  <c r="BZ22" i="30"/>
  <c r="CC22" i="30" s="1"/>
  <c r="BX20" i="30"/>
  <c r="BX15" i="30"/>
  <c r="BV27" i="30"/>
  <c r="CD19" i="30"/>
  <c r="CE19" i="30" s="1"/>
  <c r="CB19" i="30"/>
  <c r="CC19" i="30"/>
  <c r="CA19" i="30"/>
  <c r="CD18" i="30"/>
  <c r="CE18" i="30" s="1"/>
  <c r="CB18" i="30"/>
  <c r="CA18" i="30"/>
  <c r="CC18" i="30"/>
  <c r="CB20" i="30"/>
  <c r="CA20" i="30"/>
  <c r="CD20" i="30"/>
  <c r="CE20" i="30" s="1"/>
  <c r="CC20" i="30"/>
  <c r="CA23" i="30"/>
  <c r="CB23" i="30"/>
  <c r="CD23" i="30"/>
  <c r="CE23" i="30" s="1"/>
  <c r="CC23" i="30"/>
  <c r="CA22" i="30" l="1"/>
  <c r="CB22" i="30"/>
  <c r="CD22" i="30"/>
  <c r="CE22" i="30" s="1"/>
  <c r="BZ3" i="30"/>
  <c r="BX27" i="30"/>
  <c r="BZ21" i="30" l="1"/>
  <c r="CB21" i="30" s="1"/>
  <c r="BZ15" i="30"/>
  <c r="BZ24" i="30"/>
  <c r="CB24" i="30" s="1"/>
  <c r="BZ16" i="30"/>
  <c r="CC16" i="30" s="1"/>
  <c r="BZ26" i="30"/>
  <c r="CA26" i="30" s="1"/>
  <c r="BZ17" i="30"/>
  <c r="CA17" i="30" s="1"/>
  <c r="BZ25" i="30"/>
  <c r="CA25" i="30" s="1"/>
  <c r="M14" i="29"/>
  <c r="M13" i="29"/>
  <c r="M12" i="29"/>
  <c r="M15" i="29" s="1"/>
  <c r="L13" i="29"/>
  <c r="L12" i="29"/>
  <c r="CC21" i="30" l="1"/>
  <c r="CD21" i="30"/>
  <c r="CE21" i="30" s="1"/>
  <c r="CA21" i="30"/>
  <c r="CC15" i="30"/>
  <c r="CA15" i="30"/>
  <c r="CD15" i="30"/>
  <c r="CE15" i="30" s="1"/>
  <c r="CB15" i="30"/>
  <c r="CD17" i="30"/>
  <c r="CE17" i="30" s="1"/>
  <c r="CC17" i="30"/>
  <c r="CD24" i="30"/>
  <c r="CE24" i="30" s="1"/>
  <c r="CB25" i="30"/>
  <c r="CC24" i="30"/>
  <c r="CC25" i="30"/>
  <c r="CB16" i="30"/>
  <c r="CA24" i="30"/>
  <c r="CB26" i="30"/>
  <c r="CC26" i="30"/>
  <c r="CD25" i="30"/>
  <c r="CE25" i="30" s="1"/>
  <c r="CD26" i="30"/>
  <c r="CE26" i="30" s="1"/>
  <c r="CD16" i="30"/>
  <c r="CE16" i="30" s="1"/>
  <c r="CB17" i="30"/>
  <c r="CA16" i="30"/>
  <c r="L14" i="29"/>
  <c r="CE27" i="30" l="1"/>
  <c r="CG21" i="30" s="1"/>
  <c r="CA27" i="30"/>
  <c r="L15" i="29"/>
  <c r="CG16" i="30" l="1"/>
  <c r="CF16" i="30"/>
  <c r="CF24" i="30"/>
  <c r="CH25" i="30"/>
  <c r="CI25" i="30" s="1"/>
  <c r="CH18" i="30"/>
  <c r="CI18" i="30" s="1"/>
  <c r="CH15" i="30"/>
  <c r="CI15" i="30" s="1"/>
  <c r="CF23" i="30"/>
  <c r="CG20" i="30"/>
  <c r="CH22" i="30"/>
  <c r="CK22" i="30" s="1"/>
  <c r="CF26" i="30"/>
  <c r="CG19" i="30"/>
  <c r="CF22" i="30"/>
  <c r="CF20" i="30"/>
  <c r="CH17" i="30"/>
  <c r="CI17" i="30" s="1"/>
  <c r="CH26" i="30"/>
  <c r="CI26" i="30" s="1"/>
  <c r="CH20" i="30"/>
  <c r="CI20" i="30" s="1"/>
  <c r="CF17" i="30"/>
  <c r="CG26" i="30"/>
  <c r="CH23" i="30"/>
  <c r="CI23" i="30" s="1"/>
  <c r="CG24" i="30"/>
  <c r="CG18" i="30"/>
  <c r="CF18" i="30"/>
  <c r="CH21" i="30"/>
  <c r="CI21" i="30" s="1"/>
  <c r="CF21" i="30"/>
  <c r="CF15" i="30"/>
  <c r="CH19" i="30"/>
  <c r="CK19" i="30" s="1"/>
  <c r="CG25" i="30"/>
  <c r="CF19" i="30"/>
  <c r="CG17" i="30"/>
  <c r="CG23" i="30"/>
  <c r="CF25" i="30"/>
  <c r="CH16" i="30"/>
  <c r="CI16" i="30" s="1"/>
  <c r="CH24" i="30"/>
  <c r="CI24" i="30" s="1"/>
  <c r="CG22" i="30"/>
  <c r="CG15" i="30"/>
  <c r="F15" i="29"/>
  <c r="CI19" i="30" l="1"/>
  <c r="CI22" i="30"/>
  <c r="CF27" i="30"/>
  <c r="CK23" i="30"/>
  <c r="CO23" i="30" s="1"/>
  <c r="CP23" i="30" s="1"/>
  <c r="CG27" i="30"/>
  <c r="CK18" i="30"/>
  <c r="CO18" i="30" s="1"/>
  <c r="CP18" i="30" s="1"/>
  <c r="CK20" i="30"/>
  <c r="CL20" i="30" s="1"/>
  <c r="CO19" i="30"/>
  <c r="CP19" i="30" s="1"/>
  <c r="CM19" i="30"/>
  <c r="CN19" i="30"/>
  <c r="CL19" i="30"/>
  <c r="CM22" i="30"/>
  <c r="CL22" i="30"/>
  <c r="CO22" i="30"/>
  <c r="CP22" i="30" s="1"/>
  <c r="CN22" i="30"/>
  <c r="F20" i="29"/>
  <c r="CN23" i="30" l="1"/>
  <c r="CL23" i="30"/>
  <c r="CL18" i="30"/>
  <c r="CI27" i="30"/>
  <c r="CM23" i="30"/>
  <c r="CK3" i="30"/>
  <c r="CM18" i="30"/>
  <c r="CN18" i="30"/>
  <c r="CM20" i="30"/>
  <c r="CO20" i="30"/>
  <c r="CP20" i="30" s="1"/>
  <c r="CN20" i="30"/>
  <c r="DG3" i="30" l="1"/>
  <c r="DG22" i="30" s="1"/>
  <c r="DH22" i="30" s="1"/>
  <c r="CK15" i="30"/>
  <c r="CK26" i="30"/>
  <c r="CM26" i="30" s="1"/>
  <c r="CK17" i="30"/>
  <c r="CM17" i="30" s="1"/>
  <c r="CK24" i="30"/>
  <c r="CL24" i="30" s="1"/>
  <c r="CK21" i="30"/>
  <c r="CO21" i="30" s="1"/>
  <c r="CP21" i="30" s="1"/>
  <c r="CK16" i="30"/>
  <c r="CL16" i="30" s="1"/>
  <c r="CK25" i="30"/>
  <c r="CN25" i="30" s="1"/>
  <c r="DG15" i="30" l="1"/>
  <c r="DJ15" i="30" s="1"/>
  <c r="DG23" i="30"/>
  <c r="DJ23" i="30" s="1"/>
  <c r="DG21" i="30"/>
  <c r="DJ21" i="30" s="1"/>
  <c r="CN21" i="30"/>
  <c r="DI22" i="30"/>
  <c r="DG18" i="30"/>
  <c r="DI18" i="30" s="1"/>
  <c r="DJ22" i="30"/>
  <c r="DG20" i="30"/>
  <c r="DK20" i="30" s="1"/>
  <c r="DL20" i="30" s="1"/>
  <c r="DG16" i="30"/>
  <c r="DK16" i="30" s="1"/>
  <c r="DL16" i="30" s="1"/>
  <c r="DK22" i="30"/>
  <c r="DM22" i="30" s="1"/>
  <c r="DG26" i="30"/>
  <c r="DJ26" i="30" s="1"/>
  <c r="DG25" i="30"/>
  <c r="DH25" i="30" s="1"/>
  <c r="CO17" i="30"/>
  <c r="CP17" i="30" s="1"/>
  <c r="DG19" i="30"/>
  <c r="DK19" i="30" s="1"/>
  <c r="DM19" i="30" s="1"/>
  <c r="DG24" i="30"/>
  <c r="DJ24" i="30" s="1"/>
  <c r="DG17" i="30"/>
  <c r="DI17" i="30" s="1"/>
  <c r="CO15" i="30"/>
  <c r="CP15" i="30" s="1"/>
  <c r="CL15" i="30"/>
  <c r="CN15" i="30"/>
  <c r="CM15" i="30"/>
  <c r="CM21" i="30"/>
  <c r="CO16" i="30"/>
  <c r="CP16" i="30" s="1"/>
  <c r="CL17" i="30"/>
  <c r="CN17" i="30"/>
  <c r="CL26" i="30"/>
  <c r="CN26" i="30"/>
  <c r="CL21" i="30"/>
  <c r="CO26" i="30"/>
  <c r="CP26" i="30" s="1"/>
  <c r="CN24" i="30"/>
  <c r="CM24" i="30"/>
  <c r="CL25" i="30"/>
  <c r="CO24" i="30"/>
  <c r="CP24" i="30" s="1"/>
  <c r="CO25" i="30"/>
  <c r="CP25" i="30" s="1"/>
  <c r="CN16" i="30"/>
  <c r="CM16" i="30"/>
  <c r="CM25" i="30"/>
  <c r="DH15" i="30" l="1"/>
  <c r="DI15" i="30"/>
  <c r="DK15" i="30"/>
  <c r="DL15" i="30" s="1"/>
  <c r="DH18" i="30"/>
  <c r="DK23" i="30"/>
  <c r="DM23" i="30" s="1"/>
  <c r="DK18" i="30"/>
  <c r="DL18" i="30" s="1"/>
  <c r="DJ18" i="30"/>
  <c r="DK21" i="30"/>
  <c r="DM21" i="30" s="1"/>
  <c r="DI21" i="30"/>
  <c r="DJ16" i="30"/>
  <c r="DI20" i="30"/>
  <c r="DH21" i="30"/>
  <c r="DH19" i="30"/>
  <c r="DI23" i="30"/>
  <c r="DH23" i="30"/>
  <c r="DH24" i="30"/>
  <c r="DJ19" i="30"/>
  <c r="DK26" i="30"/>
  <c r="DM26" i="30" s="1"/>
  <c r="DI26" i="30"/>
  <c r="DL22" i="30"/>
  <c r="DH17" i="30"/>
  <c r="DH26" i="30"/>
  <c r="DL19" i="30"/>
  <c r="DM16" i="30"/>
  <c r="DI24" i="30"/>
  <c r="DM20" i="30"/>
  <c r="DH16" i="30"/>
  <c r="DI19" i="30"/>
  <c r="DI16" i="30"/>
  <c r="DK25" i="30"/>
  <c r="DJ25" i="30"/>
  <c r="DH20" i="30"/>
  <c r="DI25" i="30"/>
  <c r="DJ20" i="30"/>
  <c r="DK17" i="30"/>
  <c r="DJ17" i="30"/>
  <c r="DK24" i="30"/>
  <c r="DL24" i="30" s="1"/>
  <c r="DL23" i="30"/>
  <c r="CL27" i="30"/>
  <c r="CP27" i="30"/>
  <c r="CR21" i="30" s="1"/>
  <c r="DM18" i="30"/>
  <c r="DM15" i="30" l="1"/>
  <c r="DL21" i="30"/>
  <c r="DL26" i="30"/>
  <c r="DH27" i="30"/>
  <c r="DM25" i="30"/>
  <c r="DL25" i="30"/>
  <c r="DM24" i="30"/>
  <c r="DL17" i="30"/>
  <c r="DM17" i="30"/>
  <c r="CS26" i="30"/>
  <c r="CT26" i="30" s="1"/>
  <c r="CS20" i="30"/>
  <c r="CT20" i="30" s="1"/>
  <c r="CS15" i="30"/>
  <c r="CT15" i="30" s="1"/>
  <c r="CR16" i="30"/>
  <c r="CR17" i="30"/>
  <c r="CQ17" i="30"/>
  <c r="CR22" i="30"/>
  <c r="CQ16" i="30"/>
  <c r="CR18" i="30"/>
  <c r="CQ19" i="30"/>
  <c r="CR24" i="30"/>
  <c r="CQ21" i="30"/>
  <c r="CS23" i="30"/>
  <c r="CV23" i="30" s="1"/>
  <c r="CX23" i="30" s="1"/>
  <c r="CQ22" i="30"/>
  <c r="CS24" i="30"/>
  <c r="CT24" i="30" s="1"/>
  <c r="CQ20" i="30"/>
  <c r="CR15" i="30"/>
  <c r="CR20" i="30"/>
  <c r="CS19" i="30"/>
  <c r="CT19" i="30" s="1"/>
  <c r="CQ26" i="30"/>
  <c r="CQ18" i="30"/>
  <c r="CR25" i="30"/>
  <c r="CQ25" i="30"/>
  <c r="CR26" i="30"/>
  <c r="CS16" i="30"/>
  <c r="CT16" i="30" s="1"/>
  <c r="CS18" i="30"/>
  <c r="CT18" i="30" s="1"/>
  <c r="CR23" i="30"/>
  <c r="CQ15" i="30"/>
  <c r="CS25" i="30"/>
  <c r="CT25" i="30" s="1"/>
  <c r="CS22" i="30"/>
  <c r="CV22" i="30" s="1"/>
  <c r="CW22" i="30" s="1"/>
  <c r="CQ24" i="30"/>
  <c r="CR19" i="30"/>
  <c r="CS21" i="30"/>
  <c r="CT21" i="30" s="1"/>
  <c r="CQ23" i="30"/>
  <c r="CS17" i="30"/>
  <c r="CT17" i="30" s="1"/>
  <c r="CT23" i="30" l="1"/>
  <c r="DL27" i="30"/>
  <c r="CV20" i="30"/>
  <c r="CW20" i="30" s="1"/>
  <c r="CY23" i="30"/>
  <c r="CV18" i="30"/>
  <c r="CX18" i="30" s="1"/>
  <c r="CW23" i="30"/>
  <c r="CZ23" i="30"/>
  <c r="DA23" i="30" s="1"/>
  <c r="CQ27" i="30"/>
  <c r="CT22" i="30"/>
  <c r="CT27" i="30" s="1"/>
  <c r="CR27" i="30"/>
  <c r="CZ22" i="30"/>
  <c r="DA22" i="30" s="1"/>
  <c r="CX22" i="30"/>
  <c r="CY22" i="30"/>
  <c r="CS27" i="30"/>
  <c r="CV19" i="30"/>
  <c r="CW19" i="30" s="1"/>
  <c r="CZ20" i="30"/>
  <c r="DA20" i="30" s="1"/>
  <c r="CW18" i="30" l="1"/>
  <c r="CX20" i="30"/>
  <c r="CY18" i="30"/>
  <c r="CY20" i="30"/>
  <c r="CZ18" i="30"/>
  <c r="DA18" i="30" s="1"/>
  <c r="CV3" i="30"/>
  <c r="CV16" i="30" s="1"/>
  <c r="CY16" i="30" s="1"/>
  <c r="CY19" i="30"/>
  <c r="CV15" i="30"/>
  <c r="CZ19" i="30"/>
  <c r="DA19" i="30" s="1"/>
  <c r="CX19" i="30"/>
  <c r="CV25" i="30" l="1"/>
  <c r="CW25" i="30" s="1"/>
  <c r="CV24" i="30"/>
  <c r="CY24" i="30" s="1"/>
  <c r="CV21" i="30"/>
  <c r="CY21" i="30" s="1"/>
  <c r="CV26" i="30"/>
  <c r="CY26" i="30" s="1"/>
  <c r="CV17" i="30"/>
  <c r="CZ17" i="30" s="1"/>
  <c r="DA17" i="30" s="1"/>
  <c r="CZ15" i="30"/>
  <c r="DA15" i="30" s="1"/>
  <c r="CY15" i="30"/>
  <c r="CW15" i="30"/>
  <c r="CX15" i="30"/>
  <c r="CW16" i="30"/>
  <c r="CZ21" i="30"/>
  <c r="DA21" i="30" s="1"/>
  <c r="CZ16" i="30"/>
  <c r="DA16" i="30" s="1"/>
  <c r="CX16" i="30"/>
  <c r="CZ24" i="30"/>
  <c r="DA24" i="30" s="1"/>
  <c r="CW24" i="30"/>
  <c r="CW21" i="30"/>
  <c r="CW26" i="30" l="1"/>
  <c r="CX21" i="30"/>
  <c r="CY17" i="30"/>
  <c r="CX26" i="30"/>
  <c r="CX24" i="30"/>
  <c r="CZ25" i="30"/>
  <c r="DA25" i="30" s="1"/>
  <c r="CX25" i="30"/>
  <c r="CY25" i="30"/>
  <c r="CW17" i="30"/>
  <c r="CW27" i="30" s="1"/>
  <c r="CZ26" i="30"/>
  <c r="DA26" i="30" s="1"/>
  <c r="CX17" i="30"/>
  <c r="D45" i="7"/>
  <c r="B45" i="7"/>
  <c r="E45" i="7" s="1"/>
  <c r="D44" i="7"/>
  <c r="B44" i="7"/>
  <c r="E44" i="7" s="1"/>
  <c r="D43" i="7"/>
  <c r="B43" i="7"/>
  <c r="E43" i="7" s="1"/>
  <c r="E42" i="7"/>
  <c r="D42" i="7"/>
  <c r="B42" i="7"/>
  <c r="E41" i="7"/>
  <c r="D41" i="7"/>
  <c r="B41" i="7"/>
  <c r="D40" i="7"/>
  <c r="B40" i="7"/>
  <c r="E40" i="7" s="1"/>
  <c r="D39" i="7"/>
  <c r="B39" i="7"/>
  <c r="E39" i="7" s="1"/>
  <c r="D38" i="7"/>
  <c r="B38" i="7"/>
  <c r="E38" i="7" s="1"/>
  <c r="D37" i="7"/>
  <c r="B37" i="7"/>
  <c r="E37" i="7" s="1"/>
  <c r="D36" i="7"/>
  <c r="B36" i="7"/>
  <c r="E36" i="7" s="1"/>
  <c r="D35" i="7"/>
  <c r="E35" i="7" s="1"/>
  <c r="B35" i="7"/>
  <c r="E34" i="7"/>
  <c r="D34" i="7"/>
  <c r="B34" i="7"/>
  <c r="D33" i="7"/>
  <c r="E33" i="7" s="1"/>
  <c r="B33" i="7"/>
  <c r="D32" i="7"/>
  <c r="B32" i="7"/>
  <c r="E32" i="7" s="1"/>
  <c r="E31" i="7"/>
  <c r="D31" i="7"/>
  <c r="B31" i="7"/>
  <c r="D30" i="7"/>
  <c r="B30" i="7"/>
  <c r="E30" i="7" s="1"/>
  <c r="D29" i="7"/>
  <c r="B29" i="7"/>
  <c r="E29" i="7" s="1"/>
  <c r="D28" i="7"/>
  <c r="B28" i="7"/>
  <c r="E28" i="7" s="1"/>
  <c r="D27" i="7"/>
  <c r="E27" i="7" s="1"/>
  <c r="B27" i="7"/>
  <c r="E26" i="7"/>
  <c r="D26" i="7"/>
  <c r="B26" i="7"/>
  <c r="D25" i="7"/>
  <c r="E25" i="7" s="1"/>
  <c r="B25" i="7"/>
  <c r="D24" i="7"/>
  <c r="B24" i="7"/>
  <c r="E24" i="7" s="1"/>
  <c r="E23" i="7"/>
  <c r="D23" i="7"/>
  <c r="B23" i="7"/>
  <c r="D22" i="7"/>
  <c r="B22" i="7"/>
  <c r="E22" i="7" s="1"/>
  <c r="D21" i="7"/>
  <c r="B21" i="7"/>
  <c r="E21" i="7" s="1"/>
  <c r="D20" i="7"/>
  <c r="B20" i="7"/>
  <c r="E20" i="7" s="1"/>
  <c r="D19" i="7"/>
  <c r="E19" i="7" s="1"/>
  <c r="B19" i="7"/>
  <c r="E18" i="7"/>
  <c r="D18" i="7"/>
  <c r="B18" i="7"/>
  <c r="D17" i="7"/>
  <c r="E17" i="7" s="1"/>
  <c r="B17" i="7"/>
  <c r="D16" i="7"/>
  <c r="B16" i="7"/>
  <c r="E16" i="7" s="1"/>
  <c r="E15" i="7"/>
  <c r="D15" i="7"/>
  <c r="B15" i="7"/>
  <c r="D14" i="7"/>
  <c r="B14" i="7"/>
  <c r="E14" i="7" s="1"/>
  <c r="D13" i="7"/>
  <c r="B13" i="7"/>
  <c r="E13" i="7" s="1"/>
  <c r="D12" i="7"/>
  <c r="B12" i="7"/>
  <c r="E12" i="7" s="1"/>
  <c r="D11" i="7"/>
  <c r="B11" i="7"/>
  <c r="E11" i="7" s="1"/>
  <c r="D10" i="7"/>
  <c r="E10" i="7" s="1"/>
  <c r="B10" i="7"/>
  <c r="DA27" i="30" l="1"/>
  <c r="DC21" i="30" s="1"/>
  <c r="DB19" i="30"/>
  <c r="DD18" i="30"/>
  <c r="DE18" i="30" s="1"/>
  <c r="DB24" i="30"/>
  <c r="DB21" i="30"/>
  <c r="DB17" i="30"/>
  <c r="DB16" i="30"/>
  <c r="DD17" i="30"/>
  <c r="DE17" i="30" s="1"/>
  <c r="DD20" i="30"/>
  <c r="DE20" i="30" s="1"/>
  <c r="DD26" i="30"/>
  <c r="DE26" i="30" s="1"/>
  <c r="DB18" i="30"/>
  <c r="DC17" i="30"/>
  <c r="DB22" i="30"/>
  <c r="DC20" i="30"/>
  <c r="DC18" i="30"/>
  <c r="DB20" i="30"/>
  <c r="DD16" i="30"/>
  <c r="DE16" i="30" s="1"/>
  <c r="DD24" i="30"/>
  <c r="DE24" i="30" s="1"/>
  <c r="DB26" i="30"/>
  <c r="DD21" i="30"/>
  <c r="DE21" i="30" s="1"/>
  <c r="DD25" i="30"/>
  <c r="DE25" i="30" s="1"/>
  <c r="DC22" i="30"/>
  <c r="DC24" i="30"/>
  <c r="DC25" i="30" l="1"/>
  <c r="DB15" i="30"/>
  <c r="DD15" i="30"/>
  <c r="DE15" i="30" s="1"/>
  <c r="DC23" i="30"/>
  <c r="DD23" i="30"/>
  <c r="DE23" i="30" s="1"/>
  <c r="DB23" i="30"/>
  <c r="DB25" i="30"/>
  <c r="DC16" i="30"/>
  <c r="DD19" i="30"/>
  <c r="DE19" i="30" s="1"/>
  <c r="DC15" i="30"/>
  <c r="DD22" i="30"/>
  <c r="DE22" i="30" s="1"/>
  <c r="DC19" i="30"/>
  <c r="DC26" i="30"/>
  <c r="DB27" i="30" l="1"/>
  <c r="DC27" i="30"/>
  <c r="DE27" i="30"/>
  <c r="DD27"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Lambe, Diana</author>
  </authors>
  <commentList>
    <comment ref="AW3" authorId="0" shapeId="0" xr:uid="{368D7014-4534-4914-9172-9C9AED739A74}">
      <text>
        <r>
          <rPr>
            <sz val="9"/>
            <color indexed="81"/>
            <rFont val="Tahoma"/>
            <family val="2"/>
          </rPr>
          <t>Used actual growth rate from HCPF claims database rather than the Caseload Expected Growth Rate from Finance Dept.</t>
        </r>
      </text>
    </comment>
    <comment ref="AR25" authorId="0" shapeId="0" xr:uid="{A8946D07-2B88-4E6D-9207-35C41C77C257}">
      <text>
        <r>
          <rPr>
            <sz val="9"/>
            <color indexed="81"/>
            <rFont val="Tahoma"/>
            <family val="2"/>
          </rPr>
          <t xml:space="preserve">NO GME IN BASE RATE - PD THRU STATE TEACHING HOSPITAL
</t>
        </r>
      </text>
    </comment>
    <comment ref="AR26" authorId="0" shapeId="0" xr:uid="{76A3AD0C-7866-4447-9641-F6096C08F3FD}">
      <text>
        <r>
          <rPr>
            <sz val="9"/>
            <color indexed="81"/>
            <rFont val="Tahoma"/>
            <family val="2"/>
          </rPr>
          <t>NO GME IN BASE RATE - PD THRU STATE TEACHING HOSPITAL</t>
        </r>
      </text>
    </comment>
  </commentList>
</comments>
</file>

<file path=xl/sharedStrings.xml><?xml version="1.0" encoding="utf-8"?>
<sst xmlns="http://schemas.openxmlformats.org/spreadsheetml/2006/main" count="310" uniqueCount="206">
  <si>
    <t>N/A</t>
  </si>
  <si>
    <t>N</t>
  </si>
  <si>
    <t>Y</t>
  </si>
  <si>
    <t>Hospital Name</t>
  </si>
  <si>
    <t xml:space="preserve"> </t>
  </si>
  <si>
    <t/>
  </si>
  <si>
    <t>Medicaid ID</t>
  </si>
  <si>
    <t>NPI</t>
  </si>
  <si>
    <t>Medicare ID (Numeric w/out leading 0)</t>
  </si>
  <si>
    <t>Medicare ID (Text)</t>
  </si>
  <si>
    <t>Labor-related</t>
  </si>
  <si>
    <t>Nonlabor-related</t>
  </si>
  <si>
    <t>Rates if Wage Index Greater Than 1</t>
  </si>
  <si>
    <t>Rates if Wage Index Less Than or Equal to 1</t>
  </si>
  <si>
    <t>Labor</t>
  </si>
  <si>
    <t>Nonlabor</t>
  </si>
  <si>
    <r>
      <t>National</t>
    </r>
    <r>
      <rPr>
        <vertAlign val="superscript"/>
        <sz val="10"/>
        <rFont val="Arial"/>
        <family val="2"/>
      </rPr>
      <t>1</t>
    </r>
  </si>
  <si>
    <t>Not Applicable</t>
  </si>
  <si>
    <t>Rate</t>
  </si>
  <si>
    <t>National</t>
  </si>
  <si>
    <r>
      <t>Standard Federal Rate</t>
    </r>
    <r>
      <rPr>
        <vertAlign val="superscript"/>
        <sz val="10"/>
        <rFont val="Arial"/>
        <family val="2"/>
      </rPr>
      <t>*</t>
    </r>
  </si>
  <si>
    <t>PAYER MIX ADD-ON</t>
  </si>
  <si>
    <t>NPR ADD-ON</t>
  </si>
  <si>
    <t>OPERATING EXP ADD-ON</t>
  </si>
  <si>
    <t>NET INCOME ADD-ON</t>
  </si>
  <si>
    <t>ADD-ON PARAMETERS</t>
  </si>
  <si>
    <t>LOW DISCHARGE</t>
  </si>
  <si>
    <t>READMISSION FACTOR</t>
  </si>
  <si>
    <t>Currently using Medicare for this measure and is capped at 3% reduction</t>
  </si>
  <si>
    <t>Currently using Medicare for this measure which is Y=1% reduction</t>
  </si>
  <si>
    <t>Urban=0
Rural=1
Pediatric=2</t>
  </si>
  <si>
    <t>Exclude CAH</t>
  </si>
  <si>
    <t>Exclude Urban</t>
  </si>
  <si>
    <t>Exclude Rural</t>
  </si>
  <si>
    <t>Add-On Amount</t>
  </si>
  <si>
    <t>HAC REDUCTION INDICATOR Y=YES</t>
  </si>
  <si>
    <t>FFY 2020-21 PROPOSED Federal Base Rate</t>
  </si>
  <si>
    <t>DRAFT</t>
  </si>
  <si>
    <t xml:space="preserve">Ceiling </t>
  </si>
  <si>
    <r>
      <t xml:space="preserve">Floor </t>
    </r>
    <r>
      <rPr>
        <sz val="11"/>
        <color rgb="FFFF0000"/>
        <rFont val="Calibri"/>
        <family val="2"/>
        <scheme val="minor"/>
      </rPr>
      <t xml:space="preserve"> </t>
    </r>
  </si>
  <si>
    <t>Potential Low Discharge Add-On Percentage</t>
  </si>
  <si>
    <t>Potential Low Discharge Add-On Amount</t>
  </si>
  <si>
    <t>SAMPLE HOSPITALS</t>
  </si>
  <si>
    <t>Will Likely be Reduced to Fit State Budget</t>
  </si>
  <si>
    <t>FAKE HOSPITAL A</t>
  </si>
  <si>
    <t>FAKE HOSPITAL B</t>
  </si>
  <si>
    <t>FAKE HOSPITAL C</t>
  </si>
  <si>
    <t>FAKE HOSPITAL D</t>
  </si>
  <si>
    <t>FAKE HOSPITAL E</t>
  </si>
  <si>
    <t>FAKE HOSPITAL F</t>
  </si>
  <si>
    <t>FAKE HOSPITAL G</t>
  </si>
  <si>
    <t>FAKE HOSPITAL H</t>
  </si>
  <si>
    <t>FAKE HOSPITAL I</t>
  </si>
  <si>
    <t>FAKE HOSPITAL J</t>
  </si>
  <si>
    <t>FAKE HOSPITAL K</t>
  </si>
  <si>
    <t>FAKE HOSPITAL L</t>
  </si>
  <si>
    <t>FAKE HOSPITAL M</t>
  </si>
  <si>
    <t>FAKE HOSPITAL N</t>
  </si>
  <si>
    <t>FAKE HOSPITAL O</t>
  </si>
  <si>
    <t>FAKE HOSPITAL P</t>
  </si>
  <si>
    <t>FAKE HOSPITAL Q</t>
  </si>
  <si>
    <t>FAKE HOSPITAL R</t>
  </si>
  <si>
    <t>FAKE HOSPITAL S</t>
  </si>
  <si>
    <t>FAKE HOSPITAL T</t>
  </si>
  <si>
    <t>FAKE HOSPITAL U</t>
  </si>
  <si>
    <t>FAKE HOSPITAL V</t>
  </si>
  <si>
    <t>FAKE HOSPITAL W</t>
  </si>
  <si>
    <t>FAKE HOSPITAL X</t>
  </si>
  <si>
    <t>FAKE HOSPITAL Y</t>
  </si>
  <si>
    <t>FAKE HOSPITAL Z</t>
  </si>
  <si>
    <t>FAKE HOSPITAL AA</t>
  </si>
  <si>
    <t>FAKE HOSPITAL AB</t>
  </si>
  <si>
    <t>FAKE HOSPITAL AC</t>
  </si>
  <si>
    <t>FAKE HOSPITAL AD</t>
  </si>
  <si>
    <t>FAKE HOSPITAL AE</t>
  </si>
  <si>
    <t>FAKE HOSPITAL AF</t>
  </si>
  <si>
    <t>FAKE HOSPITAL AG</t>
  </si>
  <si>
    <t>FAKE HOSPITAL AH</t>
  </si>
  <si>
    <t>FAKE HOSPITAL AI</t>
  </si>
  <si>
    <t>FAKE HOSPITAL AJ</t>
  </si>
  <si>
    <t>QUALITY (TBD - Not currently active)</t>
  </si>
  <si>
    <t xml:space="preserve">Floor </t>
  </si>
  <si>
    <t>NA</t>
  </si>
  <si>
    <t>Medicare Readmission Reduction up to 3%</t>
  </si>
  <si>
    <t>Medicare HAC Reduction = 1%</t>
  </si>
  <si>
    <r>
      <t xml:space="preserve">Medicaid Avg Discharges 3 Yr Avg
</t>
    </r>
    <r>
      <rPr>
        <b/>
        <sz val="9"/>
        <rFont val="Calibri"/>
        <family val="2"/>
        <scheme val="minor"/>
      </rPr>
      <t xml:space="preserve"> (FY16-17 thru FY18-19) </t>
    </r>
    <r>
      <rPr>
        <b/>
        <sz val="11"/>
        <rFont val="Calibri"/>
        <family val="2"/>
        <scheme val="minor"/>
      </rPr>
      <t xml:space="preserve">
</t>
    </r>
    <r>
      <rPr>
        <b/>
        <sz val="9"/>
        <rFont val="Calibri"/>
        <family val="2"/>
        <scheme val="minor"/>
      </rPr>
      <t>(Not Adjusted)</t>
    </r>
  </si>
  <si>
    <t>Add-Ons Utilizing Ceiling/Floor</t>
  </si>
  <si>
    <r>
      <t xml:space="preserve">Hospital System </t>
    </r>
    <r>
      <rPr>
        <b/>
        <sz val="8"/>
        <color theme="0" tint="-0.499984740745262"/>
        <rFont val="Calibri"/>
        <family val="2"/>
        <scheme val="minor"/>
      </rPr>
      <t>(Source:  Medicare/Medicaid Cost Report)</t>
    </r>
  </si>
  <si>
    <t>Average</t>
  </si>
  <si>
    <t>Std Deviation (2.94)</t>
  </si>
  <si>
    <t>Median</t>
  </si>
  <si>
    <t>1st quartile</t>
  </si>
  <si>
    <t>3rd quartile</t>
  </si>
  <si>
    <t>Min</t>
  </si>
  <si>
    <t>Max</t>
  </si>
  <si>
    <t>S:\DATA\DATA\HEDIS\HEDIS MY 2020 &amp; 2021</t>
  </si>
  <si>
    <r>
      <t xml:space="preserve">GME COST ADD-ON </t>
    </r>
    <r>
      <rPr>
        <b/>
        <sz val="9"/>
        <rFont val="Calibri"/>
        <family val="2"/>
        <scheme val="minor"/>
      </rPr>
      <t>(10% of Medicaid Cost Per Discharge)</t>
    </r>
    <r>
      <rPr>
        <b/>
        <sz val="11"/>
        <rFont val="Calibri"/>
        <family val="2"/>
        <scheme val="minor"/>
      </rPr>
      <t xml:space="preserve"> 
 </t>
    </r>
    <r>
      <rPr>
        <b/>
        <sz val="8"/>
        <rFont val="Calibri"/>
        <family val="2"/>
        <scheme val="minor"/>
      </rPr>
      <t>(FY20-21 Amounts)</t>
    </r>
  </si>
  <si>
    <t>Vol inflator FY20-21</t>
  </si>
  <si>
    <t>Vol inflator FY21-22</t>
  </si>
  <si>
    <t>FY 2020 CN Tables 1A-1E</t>
  </si>
  <si>
    <t>TABLE 1A.  NATIONAL ADJUSTED OPERATING STANDARDIZED AMOUNTS; LABOR/NONLABOR (68.3 PERCENT LABOR SHARE/31.7 PERCENT NONLABOR SHARE IF WAGE INDEX GREATER THAN 1)</t>
  </si>
  <si>
    <t>Hospital Submitted Quality Data and is a Meaningful EHR User 
(Update = 2.6 Percent)</t>
  </si>
  <si>
    <t>Hospital Submitted Quality Data and is NOT a Meaningful EHR User 
(Update = 0.35 Percent)</t>
  </si>
  <si>
    <t>Hospital Did NOT Submit Quality Data and is a Meaningful EHR User 
(Update = 1.85 Percent)</t>
  </si>
  <si>
    <t>Hospital Did NOT Submit Quality Data and is NOT a Meaningful EHR User 
(Update = -0.4 Percent)</t>
  </si>
  <si>
    <t>TABLE 1B.  NATIONAL ADJUSTED OPERATING STANDARDIZED AMOUNTS, LABOR/NONLABOR (62 PERCENT LABOR SHARE/38 PERCENT NONLABOR SHARE IF WAGE INDEX LESS THAN OR EQUAL TO 1)</t>
  </si>
  <si>
    <r>
      <t>$</t>
    </r>
    <r>
      <rPr>
        <sz val="10"/>
        <rFont val="Arial"/>
        <family val="2"/>
      </rPr>
      <t xml:space="preserve"> </t>
    </r>
    <r>
      <rPr>
        <sz val="10"/>
        <color rgb="FF000000"/>
        <rFont val="Arial"/>
        <family val="2"/>
      </rPr>
      <t>2154.41</t>
    </r>
    <r>
      <rPr>
        <sz val="10"/>
        <rFont val="Arial"/>
        <family val="2"/>
      </rPr>
      <t> </t>
    </r>
  </si>
  <si>
    <t>TABLE 1C.  ADJUSTED OPERATING STANDARDIZED AMOUNTS FOR HOSPITALS IN PUERTO RICO, LABOR/NONLABOR (NATIONAL:  
62 PERCENT LABOR SHARE/38 PERCENT NONLABOR SHARE BECAUSE WAGE INDEX IS LESS THAN OR EQUAL TO 1)</t>
  </si>
  <si>
    <r>
      <rPr>
        <vertAlign val="superscript"/>
        <sz val="10"/>
        <rFont val="Arial"/>
        <family val="2"/>
      </rPr>
      <t>1</t>
    </r>
    <r>
      <rPr>
        <sz val="10"/>
        <rFont val="Arial"/>
        <family val="2"/>
      </rPr>
      <t>For FY 2020, there are no CBSAs in Puerto Rico with a national wage index greater than 1.</t>
    </r>
  </si>
  <si>
    <t>TABLE 1D. - CAPITAL STANDARD FEDERAL PAYMENT RATE</t>
  </si>
  <si>
    <t>TABLE 1E- LTCH PPS STANDARD FEDERAL RATE</t>
  </si>
  <si>
    <t>Full Update (2.5 Percent)</t>
  </si>
  <si>
    <t>Reduced Update* 
(0.5 Percent)</t>
  </si>
  <si>
    <t>*For LTCHs that fail to submit quality reporting data for FY 2020 in accordance with the LTCH Quality Reporting Program (LTCH QRP), the annual update is reduced by 2.0 percentage points as required by section 1886(m)(5) of the Act.</t>
  </si>
  <si>
    <t>TOTAL:</t>
  </si>
  <si>
    <t>Wage Index &gt; 1</t>
  </si>
  <si>
    <t>Wage Index &lt; 1</t>
  </si>
  <si>
    <t>Nonlabor-related Amount</t>
  </si>
  <si>
    <t xml:space="preserve">FY 2020 Federal Base Rate / FY 2020 CN Tables 1A-1E </t>
  </si>
  <si>
    <t>Labor-related Amount</t>
  </si>
  <si>
    <t>Capital Std Fed Pmt Rate</t>
  </si>
  <si>
    <t>labor related amt &gt; 1</t>
  </si>
  <si>
    <t>non-labor related amt&gt;1</t>
  </si>
  <si>
    <t>labor related amt &lt; 1</t>
  </si>
  <si>
    <t>non-labor related amt&lt;1</t>
  </si>
  <si>
    <t>Medicare Wage Index</t>
  </si>
  <si>
    <r>
      <t xml:space="preserve">Medicare Labor-related amount </t>
    </r>
    <r>
      <rPr>
        <b/>
        <sz val="11"/>
        <color theme="1" tint="0.499984740745262"/>
        <rFont val="Calibri"/>
        <family val="2"/>
        <scheme val="minor"/>
      </rPr>
      <t xml:space="preserve">
</t>
    </r>
    <r>
      <rPr>
        <b/>
        <sz val="8"/>
        <color theme="1" tint="0.499984740745262"/>
        <rFont val="Calibri"/>
        <family val="2"/>
        <scheme val="minor"/>
      </rPr>
      <t xml:space="preserve"> (Source Impact File - Final Rule)</t>
    </r>
  </si>
  <si>
    <r>
      <t xml:space="preserve">Non-labor Related Amount
 </t>
    </r>
    <r>
      <rPr>
        <b/>
        <sz val="8"/>
        <color theme="1" tint="0.499984740745262"/>
        <rFont val="Calibri"/>
        <family val="2"/>
        <scheme val="minor"/>
      </rPr>
      <t>(Source Impact File - Final Rule)</t>
    </r>
  </si>
  <si>
    <r>
      <t xml:space="preserve">Operating IME %
</t>
    </r>
    <r>
      <rPr>
        <b/>
        <sz val="8"/>
        <color theme="1" tint="0.499984740745262"/>
        <rFont val="Calibri"/>
        <family val="2"/>
        <scheme val="minor"/>
      </rPr>
      <t xml:space="preserve"> (Source Impact File - Final Rule)</t>
    </r>
  </si>
  <si>
    <r>
      <t xml:space="preserve">Capital IME %
</t>
    </r>
    <r>
      <rPr>
        <b/>
        <sz val="8"/>
        <color theme="1" tint="0.499984740745262"/>
        <rFont val="Calibri"/>
        <family val="2"/>
        <scheme val="minor"/>
      </rPr>
      <t xml:space="preserve"> (Source Impact File - Final Rule)</t>
    </r>
  </si>
  <si>
    <r>
      <t xml:space="preserve">Adjusted Federal Capital Rate
</t>
    </r>
    <r>
      <rPr>
        <b/>
        <sz val="8"/>
        <color theme="1" tint="0.499984740745262"/>
        <rFont val="Calibri"/>
        <family val="2"/>
        <scheme val="minor"/>
      </rPr>
      <t xml:space="preserve"> (Source Impact File - Final Rule)  (L*M)</t>
    </r>
  </si>
  <si>
    <r>
      <t xml:space="preserve">Operating Federal Portion w/Wage Index Adjustment
</t>
    </r>
    <r>
      <rPr>
        <b/>
        <sz val="8"/>
        <color theme="1" tint="0.499984740745262"/>
        <rFont val="Calibri"/>
        <family val="2"/>
        <scheme val="minor"/>
      </rPr>
      <t>((H*I)+J)</t>
    </r>
  </si>
  <si>
    <t>Medicare Federal Base Rate w/Wage Index/GAF Adj for PPS Hospitals / No Adj for Non-PPS Hospitals</t>
  </si>
  <si>
    <r>
      <t xml:space="preserve">Federal Capital Rate
 </t>
    </r>
    <r>
      <rPr>
        <b/>
        <sz val="8"/>
        <color theme="1" tint="0.499984740745262"/>
        <rFont val="Calibri"/>
        <family val="2"/>
        <scheme val="minor"/>
      </rPr>
      <t>(Source Impact File - Final Rule)</t>
    </r>
  </si>
  <si>
    <r>
      <t xml:space="preserve">Wage Index
</t>
    </r>
    <r>
      <rPr>
        <b/>
        <sz val="8"/>
        <color theme="1" tint="0.499984740745262"/>
        <rFont val="Calibri"/>
        <family val="2"/>
        <scheme val="minor"/>
      </rPr>
      <t xml:space="preserve"> (Source Impact File - Final Rule)
</t>
    </r>
    <r>
      <rPr>
        <b/>
        <sz val="8"/>
        <color theme="9" tint="-0.249977111117893"/>
        <rFont val="Calibri"/>
        <family val="2"/>
        <scheme val="minor"/>
      </rPr>
      <t>Non_PPS Hospital Wage Index=1</t>
    </r>
  </si>
  <si>
    <r>
      <t xml:space="preserve">GAF (Geographic Adjustment Factor)
</t>
    </r>
    <r>
      <rPr>
        <b/>
        <sz val="8"/>
        <color theme="1" tint="0.499984740745262"/>
        <rFont val="Calibri"/>
        <family val="2"/>
        <scheme val="minor"/>
      </rPr>
      <t xml:space="preserve"> (Source Impact File - Final Rule)
</t>
    </r>
    <r>
      <rPr>
        <b/>
        <sz val="8"/>
        <color theme="9" tint="-0.249977111117893"/>
        <rFont val="Calibri"/>
        <family val="2"/>
        <scheme val="minor"/>
      </rPr>
      <t>Non-PPS Hopital GAF=1</t>
    </r>
  </si>
  <si>
    <t>X% ADD-ON = 10% for this demonstration</t>
  </si>
  <si>
    <r>
      <t xml:space="preserve">Independent
</t>
    </r>
    <r>
      <rPr>
        <b/>
        <sz val="8"/>
        <color theme="0" tint="-0.499984740745262"/>
        <rFont val="Calibri"/>
        <family val="2"/>
        <scheme val="minor"/>
      </rPr>
      <t xml:space="preserve"> (IF HOSPITAL SYSTEM = NULL, THEN X%)</t>
    </r>
  </si>
  <si>
    <r>
      <t xml:space="preserve">Pediatric Add-On
</t>
    </r>
    <r>
      <rPr>
        <b/>
        <sz val="9"/>
        <color theme="1" tint="0.499984740745262"/>
        <rFont val="Calibri"/>
        <family val="2"/>
        <scheme val="minor"/>
      </rPr>
      <t>(If Digits 3-4 in Medicare ID=33 (Pediatric Hosp), then X% Add-On)</t>
    </r>
  </si>
  <si>
    <t>NPR ADD-ON (X%/2 on graduating scale with X%/2=max amt)</t>
  </si>
  <si>
    <t>OPERATING EXP ADD-ON
(X%/2 on graduating scale with X%/2=max amt)</t>
  </si>
  <si>
    <t>NET INCOME ADD-ON
(X%/2 on graduating scale with X%/2=max amt)</t>
  </si>
  <si>
    <r>
      <t xml:space="preserve"> $ Amount Add-Ons
</t>
    </r>
    <r>
      <rPr>
        <b/>
        <sz val="9"/>
        <rFont val="Calibri"/>
        <family val="2"/>
        <scheme val="minor"/>
      </rPr>
      <t>(Column AK+AN+AO)</t>
    </r>
  </si>
  <si>
    <r>
      <t xml:space="preserve">Medicare Federal Base Rate w/Adjustments * % of All  X% Add-Ons/Reductions 
</t>
    </r>
    <r>
      <rPr>
        <b/>
        <sz val="9"/>
        <rFont val="Calibri"/>
        <family val="2"/>
        <scheme val="minor"/>
      </rPr>
      <t>(Column (O*(1+AI))</t>
    </r>
  </si>
  <si>
    <t>FINAL Federal Base Rate after X% Add-On Adjustments/Reductions + $ Amount Add-Ons</t>
  </si>
  <si>
    <t>Sum of All X% Add-Ons/Reductions</t>
  </si>
  <si>
    <t>Fake Hospital A:  Independent Low Discharge</t>
  </si>
  <si>
    <t>Fake Hospital B:  CAH, Independent</t>
  </si>
  <si>
    <t>Fake Hospital C:  Not Independent</t>
  </si>
  <si>
    <t>Fake Hospital D:  Had High Medicare Base Rate</t>
  </si>
  <si>
    <t>Fake Hospital E:  Had High Medicare Base Rate</t>
  </si>
  <si>
    <t>Fake Hospital F:  Independent</t>
  </si>
  <si>
    <t>Fake Hospital G:  Not Independent</t>
  </si>
  <si>
    <t>Fake Hospital H:  CAH, Independent</t>
  </si>
  <si>
    <t>Fake Hospital I:  Independent, Low Discharge</t>
  </si>
  <si>
    <t>Fake Hospital J:  Not Independent</t>
  </si>
  <si>
    <t>Fake Hospital K:  Independent</t>
  </si>
  <si>
    <t>Fake Hospital L:  Not Independent</t>
  </si>
  <si>
    <t>Non-PPS Medicare Hospitals</t>
  </si>
  <si>
    <t>Color-Coded Add-On Template</t>
  </si>
  <si>
    <t>HCPF Driven</t>
  </si>
  <si>
    <t>Wage Index = 1</t>
  </si>
  <si>
    <t>HCPF Exec Level Driven</t>
  </si>
  <si>
    <t>CHA/Hospital Driven</t>
  </si>
  <si>
    <t>FY20-21 Base Rate</t>
  </si>
  <si>
    <t>Medicare ID (3rd &amp; 4th digits indicatinghosp type.  13=CAH, 33=Children's Hosp)</t>
  </si>
  <si>
    <t>FY21-22 BUDGET
Case Mix Index
FY19-20</t>
  </si>
  <si>
    <t>FY21-22 BUDGET
Estimated Payments New Base Rate Methodology</t>
  </si>
  <si>
    <r>
      <t xml:space="preserve">
FY19-20 Base Rate </t>
    </r>
    <r>
      <rPr>
        <b/>
        <sz val="8"/>
        <color theme="0" tint="-0.499984740745262"/>
        <rFont val="Calibri"/>
        <family val="2"/>
        <scheme val="minor"/>
      </rPr>
      <t>(new hosp not present in FY19-20 get peer grp avg)</t>
    </r>
  </si>
  <si>
    <t>SBA FY20-21</t>
  </si>
  <si>
    <t>FY19-20 Base Rate with State Budget Actions (SBA) FY20-21 &amp; 21-22 Applied</t>
  </si>
  <si>
    <t>FY19-20 BUDGET CALCULATION w/SBA &amp; Caseload growth applied</t>
  </si>
  <si>
    <t>Actual Corridor Set to:</t>
  </si>
  <si>
    <t>Corridor Minimum Allowed
- 10%</t>
  </si>
  <si>
    <t>Corridor Maximum Allowed
+ 10%</t>
  </si>
  <si>
    <t>https://www.cms.gov/Medicare/Medicare-Fee-for-Service-Payment/AcuteInpatientPPS/Indirect-Medical-Education-IME</t>
  </si>
  <si>
    <t>NEW DATA PULL JANUARY 2021
PAYER MIX:  Mcaid and Mcare payer mix 3 year avg</t>
  </si>
  <si>
    <t>NEW DATA PULL JANUARY 2021
Net Patient Revenue  (NPR)/Adj Discharge
3 year avg</t>
  </si>
  <si>
    <t>NEW DATA PULL JANUARY 2021
Hospital-only Operating Expense/Adj Discharge 3 year avg</t>
  </si>
  <si>
    <t>NEW DATA PULL JANUARY 2021
Net Income/Adj Discharge
3 year avg</t>
  </si>
  <si>
    <t>Round 1</t>
  </si>
  <si>
    <t>Round 2</t>
  </si>
  <si>
    <t>Round 3</t>
  </si>
  <si>
    <t>Round 4</t>
  </si>
  <si>
    <t>Round 5</t>
  </si>
  <si>
    <r>
      <t xml:space="preserve">Operating IME ADD-On for PPS Hospitals who Qualify
</t>
    </r>
    <r>
      <rPr>
        <b/>
        <sz val="8"/>
        <rFont val="Calibri"/>
        <family val="2"/>
        <scheme val="minor"/>
      </rPr>
      <t>(K*P)</t>
    </r>
  </si>
  <si>
    <r>
      <t xml:space="preserve">Capital IME ADD-On for PPS Hospitals who Qualify
</t>
    </r>
    <r>
      <rPr>
        <b/>
        <sz val="8"/>
        <rFont val="Calibri"/>
        <family val="2"/>
        <scheme val="minor"/>
      </rPr>
      <t>(N*Q)</t>
    </r>
  </si>
  <si>
    <r>
      <t xml:space="preserve">CAH OR LOW DISCHARGE HOSPITAL ADD-ON 
</t>
    </r>
    <r>
      <rPr>
        <b/>
        <sz val="8"/>
        <rFont val="Calibri"/>
        <family val="2"/>
        <scheme val="minor"/>
      </rPr>
      <t>(HOSPITAL=CAH,  GETS X% OR Hospital adjusted discharges between ceiling and floor:get X%/2 on graduating scale with X%/2=max amt)</t>
    </r>
  </si>
  <si>
    <t>Hospital System</t>
  </si>
  <si>
    <t>TBD:  ESTIMATED SBA FY21-22 based on final long bill approved by legislature</t>
  </si>
  <si>
    <r>
      <t xml:space="preserve">FY21-22 BUDGET
MMIS Discharges 
FY19-20 Inflated by (HCPF Budget Caseload Expected Growth, but used internal claim growth numbers for FY20-21 due to covid)  
</t>
    </r>
    <r>
      <rPr>
        <b/>
        <sz val="9"/>
        <color theme="1" tint="0.499984740745262"/>
        <rFont val="Calibri"/>
        <family val="2"/>
        <scheme val="minor"/>
      </rPr>
      <t>HARD CODED FOR PHI REASONS</t>
    </r>
  </si>
  <si>
    <t>CAN/LOW DISCHARGE ADD-ONS</t>
  </si>
  <si>
    <r>
      <t xml:space="preserve">BUDGET NEUTRALITY FACTOR </t>
    </r>
    <r>
      <rPr>
        <sz val="8"/>
        <color theme="0" tint="-0.499984740745262"/>
        <rFont val="Calibri"/>
        <family val="2"/>
        <scheme val="minor"/>
      </rPr>
      <t>(AV27/AY27)</t>
    </r>
  </si>
  <si>
    <t>Non-Capped Spend</t>
  </si>
  <si>
    <t>Cap Low</t>
  </si>
  <si>
    <t>Cap High</t>
  </si>
  <si>
    <t>Capped</t>
  </si>
  <si>
    <t>Capped Spend</t>
  </si>
  <si>
    <t>Estimate</t>
  </si>
  <si>
    <t>Budget</t>
  </si>
  <si>
    <t>Locked</t>
  </si>
  <si>
    <t>Check</t>
  </si>
  <si>
    <t>Capped Rate Percent</t>
  </si>
  <si>
    <t>Re-check</t>
  </si>
  <si>
    <t>Font used for Hosp &lt;=30 discharges for yr</t>
  </si>
  <si>
    <t>Existing Add-Ons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</si>
</sst>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quot;$&quot;#,##0.00"/>
    <numFmt numFmtId="165" formatCode="#,###.00;\(#,###.00\)"/>
    <numFmt numFmtId="166" formatCode="0.0000"/>
    <numFmt numFmtId="167" formatCode="0.000"/>
    <numFmt numFmtId="168" formatCode="0.0%"/>
  </numFmts>
  <fonts count="44" x14ac:knownFonts="1">
    <font>
      <sz val="11"/>
      <color theme="1"/>
      <name val="Calibri"/>
      <family val="2"/>
      <scheme val="minor"/>
    </font>
    <font>
      <sz val="11"/>
      <color theme="1"/>
      <name val="Calibri"/>
      <family val="2"/>
      <scheme val="minor"/>
    </font>
    <font>
      <sz val="11"/>
      <color rgb="FFFF0000"/>
      <name val="Calibri"/>
      <family val="2"/>
      <scheme val="minor"/>
    </font>
    <font>
      <sz val="10"/>
      <name val="Calibri"/>
      <family val="2"/>
      <scheme val="minor"/>
    </font>
    <font>
      <sz val="9"/>
      <color indexed="81"/>
      <name val="Tahoma"/>
      <family val="2"/>
    </font>
    <font>
      <b/>
      <sz val="11"/>
      <name val="Calibri"/>
      <family val="2"/>
      <scheme val="minor"/>
    </font>
    <font>
      <sz val="11"/>
      <name val="Calibri"/>
      <family val="2"/>
      <scheme val="minor"/>
    </font>
    <font>
      <b/>
      <sz val="11"/>
      <color rgb="FFFF0000"/>
      <name val="Calibri"/>
      <family val="2"/>
      <scheme val="minor"/>
    </font>
    <font>
      <b/>
      <sz val="11"/>
      <color theme="1"/>
      <name val="Calibri"/>
      <family val="2"/>
      <scheme val="minor"/>
    </font>
    <font>
      <b/>
      <sz val="10"/>
      <name val="Arial"/>
      <family val="2"/>
    </font>
    <font>
      <sz val="10"/>
      <name val="Arial"/>
      <family val="2"/>
    </font>
    <font>
      <vertAlign val="superscript"/>
      <sz val="10"/>
      <name val="Arial"/>
      <family val="2"/>
    </font>
    <font>
      <b/>
      <sz val="8"/>
      <color theme="0" tint="-0.499984740745262"/>
      <name val="Calibri"/>
      <family val="2"/>
      <scheme val="minor"/>
    </font>
    <font>
      <sz val="8"/>
      <color theme="0" tint="-0.499984740745262"/>
      <name val="Calibri"/>
      <family val="2"/>
      <scheme val="minor"/>
    </font>
    <font>
      <sz val="8"/>
      <name val="Calibri"/>
      <family val="2"/>
      <scheme val="minor"/>
    </font>
    <font>
      <u/>
      <sz val="11"/>
      <color theme="10"/>
      <name val="Calibri"/>
      <family val="2"/>
      <scheme val="minor"/>
    </font>
    <font>
      <sz val="11"/>
      <color theme="0" tint="-0.499984740745262"/>
      <name val="Calibri"/>
      <family val="2"/>
      <scheme val="minor"/>
    </font>
    <font>
      <b/>
      <sz val="9"/>
      <name val="Calibri"/>
      <family val="2"/>
      <scheme val="minor"/>
    </font>
    <font>
      <b/>
      <sz val="48"/>
      <color theme="0" tint="-0.249977111117893"/>
      <name val="Calibri"/>
      <family val="2"/>
      <scheme val="minor"/>
    </font>
    <font>
      <b/>
      <sz val="11"/>
      <color theme="0" tint="-0.249977111117893"/>
      <name val="Calibri"/>
      <family val="2"/>
      <scheme val="minor"/>
    </font>
    <font>
      <sz val="11"/>
      <color rgb="FF333333"/>
      <name val="Calibri"/>
      <family val="2"/>
      <scheme val="minor"/>
    </font>
    <font>
      <b/>
      <sz val="14"/>
      <color theme="1"/>
      <name val="Calibri"/>
      <family val="2"/>
      <scheme val="minor"/>
    </font>
    <font>
      <sz val="10"/>
      <name val="Times New Roman"/>
      <family val="1"/>
    </font>
    <font>
      <b/>
      <sz val="8"/>
      <name val="Calibri"/>
      <family val="2"/>
      <scheme val="minor"/>
    </font>
    <font>
      <u/>
      <sz val="11"/>
      <name val="Calibri"/>
      <family val="2"/>
      <scheme val="minor"/>
    </font>
    <font>
      <sz val="11"/>
      <color theme="0"/>
      <name val="Calibri"/>
      <family val="2"/>
      <scheme val="minor"/>
    </font>
    <font>
      <b/>
      <sz val="7"/>
      <name val="Calibri"/>
      <family val="2"/>
      <scheme val="minor"/>
    </font>
    <font>
      <sz val="10"/>
      <color rgb="FF000000"/>
      <name val="Arial"/>
      <family val="2"/>
    </font>
    <font>
      <b/>
      <sz val="11"/>
      <color theme="1" tint="0.499984740745262"/>
      <name val="Calibri"/>
      <family val="2"/>
      <scheme val="minor"/>
    </font>
    <font>
      <b/>
      <sz val="8"/>
      <color theme="1" tint="0.499984740745262"/>
      <name val="Calibri"/>
      <family val="2"/>
      <scheme val="minor"/>
    </font>
    <font>
      <b/>
      <sz val="9"/>
      <color theme="1" tint="0.499984740745262"/>
      <name val="Calibri"/>
      <family val="2"/>
      <scheme val="minor"/>
    </font>
    <font>
      <sz val="11"/>
      <color rgb="FF7030A0"/>
      <name val="Calibri"/>
      <family val="2"/>
      <scheme val="minor"/>
    </font>
    <font>
      <b/>
      <sz val="11"/>
      <color rgb="FF7030A0"/>
      <name val="Calibri"/>
      <family val="2"/>
      <scheme val="minor"/>
    </font>
    <font>
      <sz val="9"/>
      <color rgb="FF7030A0"/>
      <name val="Calibri"/>
      <family val="2"/>
      <scheme val="minor"/>
    </font>
    <font>
      <b/>
      <sz val="8"/>
      <color theme="9" tint="-0.249977111117893"/>
      <name val="Calibri"/>
      <family val="2"/>
      <scheme val="minor"/>
    </font>
    <font>
      <b/>
      <sz val="12"/>
      <name val="Calibri"/>
      <family val="2"/>
      <scheme val="minor"/>
    </font>
    <font>
      <u/>
      <sz val="8"/>
      <color theme="10"/>
      <name val="Calibri"/>
      <family val="2"/>
      <scheme val="minor"/>
    </font>
    <font>
      <sz val="11"/>
      <color rgb="FF002060"/>
      <name val="Calibri"/>
      <family val="2"/>
      <scheme val="minor"/>
    </font>
    <font>
      <b/>
      <sz val="11"/>
      <color rgb="FF002060"/>
      <name val="Calibri"/>
      <family val="2"/>
      <scheme val="minor"/>
    </font>
    <font>
      <b/>
      <sz val="16"/>
      <name val="Calibri"/>
      <family val="2"/>
      <scheme val="minor"/>
    </font>
    <font>
      <b/>
      <sz val="8"/>
      <color rgb="FFFF0000"/>
      <name val="Calibri"/>
      <family val="2"/>
      <scheme val="minor"/>
    </font>
    <font>
      <sz val="12"/>
      <color rgb="FF000000"/>
      <name val="Calibri"/>
      <family val="2"/>
    </font>
    <font>
      <sz val="12"/>
      <name val="Calibri"/>
      <family val="2"/>
      <scheme val="minor"/>
    </font>
    <font>
      <b/>
      <sz val="12"/>
      <color rgb="FF000000"/>
      <name val="Calibri"/>
      <family val="2"/>
    </font>
  </fonts>
  <fills count="20">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99CC"/>
        <bgColor indexed="64"/>
      </patternFill>
    </fill>
    <fill>
      <patternFill patternType="solid">
        <fgColor theme="0"/>
        <bgColor indexed="64"/>
      </patternFill>
    </fill>
    <fill>
      <patternFill patternType="solid">
        <fgColor indexed="22"/>
        <bgColor indexed="64"/>
      </patternFill>
    </fill>
    <fill>
      <patternFill patternType="solid">
        <fgColor theme="1"/>
        <bgColor indexed="64"/>
      </patternFill>
    </fill>
    <fill>
      <patternFill patternType="solid">
        <fgColor indexed="8"/>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66FFFF"/>
        <bgColor indexed="64"/>
      </patternFill>
    </fill>
    <fill>
      <patternFill patternType="solid">
        <fgColor rgb="FF99CCFF"/>
        <bgColor indexed="64"/>
      </patternFill>
    </fill>
    <fill>
      <patternFill patternType="solid">
        <fgColor rgb="FF99FF66"/>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F2CC"/>
        <bgColor indexed="64"/>
      </patternFill>
    </fill>
    <fill>
      <patternFill patternType="solid">
        <fgColor rgb="FFC6E0B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467">
    <xf numFmtId="0" fontId="0" fillId="0" borderId="0" xfId="0"/>
    <xf numFmtId="0" fontId="6" fillId="4" borderId="1" xfId="0" applyFont="1" applyFill="1" applyBorder="1" applyAlignment="1">
      <alignment horizontal="center" vertical="center" wrapText="1"/>
    </xf>
    <xf numFmtId="0" fontId="5" fillId="4" borderId="1" xfId="0" applyFont="1" applyFill="1" applyBorder="1" applyAlignment="1">
      <alignment vertical="center" wrapText="1"/>
    </xf>
    <xf numFmtId="164" fontId="6" fillId="4" borderId="1" xfId="1"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164" fontId="6" fillId="6" borderId="1"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wrapText="1"/>
    </xf>
    <xf numFmtId="0" fontId="6" fillId="6" borderId="0" xfId="0" applyFont="1" applyFill="1" applyAlignment="1">
      <alignment horizontal="center" vertical="center"/>
    </xf>
    <xf numFmtId="1" fontId="6" fillId="6" borderId="1" xfId="0" applyNumberFormat="1" applyFont="1" applyFill="1" applyBorder="1" applyAlignment="1">
      <alignment horizontal="center" vertical="center" wrapText="1"/>
    </xf>
    <xf numFmtId="0" fontId="10" fillId="0" borderId="0" xfId="0" applyFont="1"/>
    <xf numFmtId="8" fontId="10" fillId="0" borderId="1" xfId="0" applyNumberFormat="1" applyFont="1" applyBorder="1" applyAlignment="1">
      <alignment horizontal="center" wrapText="1"/>
    </xf>
    <xf numFmtId="0" fontId="10" fillId="0" borderId="1" xfId="0" applyFont="1" applyBorder="1" applyAlignment="1">
      <alignment wrapText="1"/>
    </xf>
    <xf numFmtId="164" fontId="6" fillId="6" borderId="1" xfId="0" applyNumberFormat="1" applyFont="1" applyFill="1" applyBorder="1" applyAlignment="1">
      <alignment horizontal="center"/>
    </xf>
    <xf numFmtId="2" fontId="6" fillId="6" borderId="1" xfId="1" applyNumberFormat="1" applyFont="1" applyFill="1" applyBorder="1" applyAlignment="1">
      <alignment horizontal="center"/>
    </xf>
    <xf numFmtId="0" fontId="6" fillId="6" borderId="1" xfId="0" applyFont="1" applyFill="1" applyBorder="1" applyAlignment="1">
      <alignment horizontal="center"/>
    </xf>
    <xf numFmtId="167" fontId="6" fillId="4" borderId="1" xfId="0" applyNumberFormat="1" applyFont="1" applyFill="1" applyBorder="1" applyAlignment="1">
      <alignment horizontal="center" vertical="center" wrapText="1"/>
    </xf>
    <xf numFmtId="167" fontId="6" fillId="6" borderId="8" xfId="0" applyNumberFormat="1" applyFont="1" applyFill="1" applyBorder="1" applyAlignment="1">
      <alignment horizontal="center" vertical="center"/>
    </xf>
    <xf numFmtId="0" fontId="6" fillId="6" borderId="0" xfId="0" applyFont="1" applyFill="1"/>
    <xf numFmtId="1" fontId="2" fillId="6" borderId="1" xfId="0" applyNumberFormat="1" applyFont="1" applyFill="1" applyBorder="1" applyAlignment="1">
      <alignment horizontal="center" vertical="center"/>
    </xf>
    <xf numFmtId="0" fontId="17"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49" fontId="5" fillId="4" borderId="3"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xf>
    <xf numFmtId="164" fontId="6" fillId="6" borderId="4" xfId="0" applyNumberFormat="1" applyFont="1" applyFill="1" applyBorder="1" applyAlignment="1">
      <alignment horizontal="center"/>
    </xf>
    <xf numFmtId="0" fontId="5" fillId="4" borderId="7" xfId="0" applyFont="1" applyFill="1" applyBorder="1" applyAlignment="1">
      <alignment horizontal="left" vertical="center" wrapText="1"/>
    </xf>
    <xf numFmtId="49" fontId="6" fillId="6" borderId="1" xfId="0" applyNumberFormat="1" applyFont="1" applyFill="1" applyBorder="1" applyAlignment="1">
      <alignment horizontal="left" vertical="center"/>
    </xf>
    <xf numFmtId="166" fontId="6" fillId="6" borderId="1" xfId="0" applyNumberFormat="1" applyFont="1" applyFill="1" applyBorder="1" applyAlignment="1">
      <alignment horizontal="center" vertical="center"/>
    </xf>
    <xf numFmtId="0" fontId="6" fillId="6" borderId="1" xfId="0" applyFont="1" applyFill="1" applyBorder="1" applyAlignment="1">
      <alignment horizontal="left" vertical="center" wrapText="1"/>
    </xf>
    <xf numFmtId="164" fontId="6" fillId="6" borderId="11" xfId="0" applyNumberFormat="1" applyFont="1" applyFill="1" applyBorder="1" applyAlignment="1">
      <alignment horizontal="center"/>
    </xf>
    <xf numFmtId="0" fontId="5" fillId="4" borderId="1" xfId="0" applyFont="1" applyFill="1" applyBorder="1" applyAlignment="1">
      <alignment horizontal="left" vertical="center"/>
    </xf>
    <xf numFmtId="0" fontId="5" fillId="4" borderId="11" xfId="0" applyFont="1" applyFill="1" applyBorder="1" applyAlignment="1">
      <alignment horizontal="center" vertical="center" wrapText="1"/>
    </xf>
    <xf numFmtId="0" fontId="0" fillId="6" borderId="0" xfId="0" applyFill="1"/>
    <xf numFmtId="0" fontId="6" fillId="6" borderId="11" xfId="1" applyNumberFormat="1" applyFont="1" applyFill="1" applyBorder="1"/>
    <xf numFmtId="0" fontId="6" fillId="6" borderId="11" xfId="0" applyFont="1" applyFill="1" applyBorder="1"/>
    <xf numFmtId="0" fontId="5"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164" fontId="6" fillId="3" borderId="4" xfId="0" applyNumberFormat="1" applyFont="1" applyFill="1" applyBorder="1" applyAlignment="1">
      <alignment horizontal="center"/>
    </xf>
    <xf numFmtId="3" fontId="6" fillId="3" borderId="1" xfId="0" applyNumberFormat="1" applyFont="1" applyFill="1" applyBorder="1" applyAlignment="1">
      <alignment horizontal="center" vertical="center"/>
    </xf>
    <xf numFmtId="167" fontId="6" fillId="3" borderId="8" xfId="0" applyNumberFormat="1" applyFont="1" applyFill="1" applyBorder="1" applyAlignment="1">
      <alignment horizontal="center" vertical="center"/>
    </xf>
    <xf numFmtId="0" fontId="20" fillId="6" borderId="0" xfId="0" applyFont="1" applyFill="1" applyAlignment="1">
      <alignment horizontal="left" vertical="center" indent="4" readingOrder="1"/>
    </xf>
    <xf numFmtId="3" fontId="6" fillId="3" borderId="4" xfId="0" applyNumberFormat="1" applyFont="1" applyFill="1" applyBorder="1" applyAlignment="1">
      <alignment horizontal="center" vertical="center"/>
    </xf>
    <xf numFmtId="0" fontId="20" fillId="6" borderId="0" xfId="0" applyFont="1" applyFill="1" applyAlignment="1">
      <alignment horizontal="left" vertical="center" indent="9" readingOrder="1"/>
    </xf>
    <xf numFmtId="3" fontId="6" fillId="6" borderId="4" xfId="0" applyNumberFormat="1" applyFont="1" applyFill="1" applyBorder="1" applyAlignment="1">
      <alignment horizontal="center" vertical="center"/>
    </xf>
    <xf numFmtId="0" fontId="20" fillId="6" borderId="0" xfId="0" applyFont="1" applyFill="1" applyAlignment="1">
      <alignment horizontal="left" vertical="center" indent="15" readingOrder="1"/>
    </xf>
    <xf numFmtId="0" fontId="20" fillId="6" borderId="0" xfId="0" applyFont="1" applyFill="1"/>
    <xf numFmtId="0" fontId="5" fillId="4" borderId="0" xfId="0" applyFont="1" applyFill="1" applyAlignment="1">
      <alignment horizontal="center" vertical="center"/>
    </xf>
    <xf numFmtId="9" fontId="6" fillId="6" borderId="1" xfId="3" applyFont="1" applyFill="1" applyBorder="1" applyAlignment="1">
      <alignment horizontal="center" vertical="center"/>
    </xf>
    <xf numFmtId="9" fontId="6" fillId="4" borderId="1" xfId="3" applyFont="1" applyFill="1" applyBorder="1" applyAlignment="1">
      <alignment horizontal="center" vertical="center" wrapText="1"/>
    </xf>
    <xf numFmtId="168" fontId="6" fillId="6" borderId="1" xfId="3" applyNumberFormat="1" applyFont="1" applyFill="1" applyBorder="1" applyAlignment="1">
      <alignment horizontal="center" vertical="center"/>
    </xf>
    <xf numFmtId="168" fontId="6" fillId="4" borderId="1" xfId="3" applyNumberFormat="1" applyFont="1" applyFill="1" applyBorder="1" applyAlignment="1">
      <alignment horizontal="center" vertical="center" wrapText="1"/>
    </xf>
    <xf numFmtId="10" fontId="6" fillId="6" borderId="1" xfId="3" applyNumberFormat="1" applyFont="1" applyFill="1" applyBorder="1" applyAlignment="1">
      <alignment horizontal="center" vertical="center"/>
    </xf>
    <xf numFmtId="10" fontId="6" fillId="4" borderId="1" xfId="3" applyNumberFormat="1" applyFont="1" applyFill="1" applyBorder="1" applyAlignment="1">
      <alignment horizontal="center" vertical="center" wrapText="1"/>
    </xf>
    <xf numFmtId="9" fontId="6" fillId="6" borderId="0" xfId="3" applyFont="1" applyFill="1" applyAlignment="1">
      <alignment horizontal="center" vertical="center"/>
    </xf>
    <xf numFmtId="168" fontId="5" fillId="4" borderId="3" xfId="3" applyNumberFormat="1" applyFont="1" applyFill="1" applyBorder="1" applyAlignment="1">
      <alignment horizontal="center" vertical="center" wrapText="1"/>
    </xf>
    <xf numFmtId="168" fontId="6" fillId="6" borderId="0" xfId="3" applyNumberFormat="1" applyFont="1" applyFill="1" applyAlignment="1">
      <alignment horizontal="center" vertical="center"/>
    </xf>
    <xf numFmtId="10" fontId="6" fillId="6" borderId="0" xfId="3" applyNumberFormat="1" applyFont="1" applyFill="1" applyAlignment="1">
      <alignment horizontal="center" vertical="center"/>
    </xf>
    <xf numFmtId="9" fontId="0" fillId="6" borderId="1" xfId="3" applyFont="1" applyFill="1" applyBorder="1" applyAlignment="1">
      <alignment horizontal="center"/>
    </xf>
    <xf numFmtId="168" fontId="0" fillId="6" borderId="1" xfId="3" applyNumberFormat="1" applyFont="1" applyFill="1" applyBorder="1" applyAlignment="1">
      <alignment horizontal="center"/>
    </xf>
    <xf numFmtId="168" fontId="0" fillId="6" borderId="1" xfId="3" applyNumberFormat="1" applyFont="1" applyFill="1" applyBorder="1" applyAlignment="1">
      <alignment horizontal="center" vertical="center"/>
    </xf>
    <xf numFmtId="9" fontId="6" fillId="6" borderId="1" xfId="3" applyFont="1" applyFill="1" applyBorder="1" applyAlignment="1">
      <alignment horizontal="center"/>
    </xf>
    <xf numFmtId="168" fontId="0" fillId="6" borderId="3" xfId="3" applyNumberFormat="1" applyFont="1" applyFill="1" applyBorder="1" applyAlignment="1">
      <alignment horizontal="center"/>
    </xf>
    <xf numFmtId="164" fontId="6" fillId="11" borderId="1" xfId="0" applyNumberFormat="1" applyFont="1" applyFill="1" applyBorder="1" applyAlignment="1">
      <alignment horizontal="center" vertical="center"/>
    </xf>
    <xf numFmtId="168" fontId="6" fillId="2" borderId="1" xfId="3" applyNumberFormat="1" applyFont="1" applyFill="1" applyBorder="1" applyAlignment="1">
      <alignment horizontal="center" vertical="center"/>
    </xf>
    <xf numFmtId="0" fontId="0" fillId="6" borderId="1" xfId="1" applyNumberFormat="1" applyFont="1" applyFill="1" applyBorder="1"/>
    <xf numFmtId="0" fontId="0" fillId="0" borderId="1" xfId="0" applyBorder="1"/>
    <xf numFmtId="0" fontId="0" fillId="4" borderId="1" xfId="0" applyFill="1" applyBorder="1"/>
    <xf numFmtId="0" fontId="5" fillId="4" borderId="1" xfId="0" applyFont="1" applyFill="1" applyBorder="1" applyAlignment="1">
      <alignment horizontal="center" vertical="center"/>
    </xf>
    <xf numFmtId="0" fontId="6" fillId="6" borderId="0" xfId="0" applyFont="1" applyFill="1" applyAlignment="1">
      <alignment vertical="center"/>
    </xf>
    <xf numFmtId="0" fontId="21" fillId="6" borderId="0" xfId="0" applyFont="1" applyFill="1"/>
    <xf numFmtId="164" fontId="6" fillId="3" borderId="1" xfId="0" applyNumberFormat="1" applyFont="1" applyFill="1" applyBorder="1" applyAlignment="1">
      <alignment horizontal="center"/>
    </xf>
    <xf numFmtId="10" fontId="6" fillId="6" borderId="0" xfId="3" applyNumberFormat="1" applyFont="1" applyFill="1" applyBorder="1" applyAlignment="1" applyProtection="1">
      <alignment horizontal="left" vertical="center" wrapText="1"/>
      <protection hidden="1"/>
    </xf>
    <xf numFmtId="0" fontId="6" fillId="6" borderId="0" xfId="0" applyFont="1" applyFill="1" applyAlignment="1" applyProtection="1">
      <alignment horizontal="left" vertical="center" wrapText="1"/>
      <protection hidden="1"/>
    </xf>
    <xf numFmtId="39" fontId="5" fillId="4" borderId="1" xfId="0" applyNumberFormat="1" applyFont="1" applyFill="1" applyBorder="1" applyAlignment="1" applyProtection="1">
      <alignment horizontal="center" vertical="center" wrapText="1"/>
      <protection hidden="1"/>
    </xf>
    <xf numFmtId="8" fontId="10" fillId="0" borderId="1" xfId="0" applyNumberFormat="1" applyFont="1" applyBorder="1"/>
    <xf numFmtId="0" fontId="2" fillId="6" borderId="0" xfId="0" applyFont="1" applyFill="1" applyAlignment="1">
      <alignment horizontal="center" vertical="center"/>
    </xf>
    <xf numFmtId="168" fontId="6" fillId="6" borderId="1" xfId="0" applyNumberFormat="1" applyFont="1" applyFill="1" applyBorder="1" applyAlignment="1">
      <alignment horizontal="center" vertical="center"/>
    </xf>
    <xf numFmtId="168" fontId="6" fillId="6" borderId="1" xfId="3" applyNumberFormat="1" applyFont="1" applyFill="1" applyBorder="1" applyAlignment="1">
      <alignment horizontal="center"/>
    </xf>
    <xf numFmtId="9" fontId="2" fillId="6" borderId="1" xfId="3" applyFont="1" applyFill="1" applyBorder="1" applyAlignment="1">
      <alignment horizontal="center"/>
    </xf>
    <xf numFmtId="0" fontId="2" fillId="6" borderId="1" xfId="0" applyFont="1" applyFill="1" applyBorder="1" applyAlignment="1">
      <alignment horizontal="center" vertical="center"/>
    </xf>
    <xf numFmtId="0" fontId="2" fillId="6" borderId="1" xfId="0" applyFont="1" applyFill="1" applyBorder="1" applyAlignment="1">
      <alignment horizontal="center"/>
    </xf>
    <xf numFmtId="164" fontId="2" fillId="6" borderId="1" xfId="0" applyNumberFormat="1" applyFont="1" applyFill="1" applyBorder="1" applyAlignment="1">
      <alignment horizontal="center" vertical="center"/>
    </xf>
    <xf numFmtId="168" fontId="6" fillId="2" borderId="1" xfId="3" applyNumberFormat="1" applyFont="1" applyFill="1" applyBorder="1" applyAlignment="1">
      <alignment horizontal="center"/>
    </xf>
    <xf numFmtId="0" fontId="2" fillId="4" borderId="1" xfId="0" applyFont="1" applyFill="1" applyBorder="1" applyAlignment="1">
      <alignment horizontal="center" vertical="center"/>
    </xf>
    <xf numFmtId="0" fontId="5" fillId="6" borderId="0" xfId="0" applyFont="1" applyFill="1" applyAlignment="1">
      <alignment horizontal="center" vertical="center" wrapText="1"/>
    </xf>
    <xf numFmtId="0" fontId="17" fillId="6" borderId="1" xfId="0" applyFont="1" applyFill="1" applyBorder="1" applyAlignment="1">
      <alignment horizontal="center" vertical="center" wrapText="1"/>
    </xf>
    <xf numFmtId="164" fontId="0" fillId="6" borderId="1" xfId="2" applyNumberFormat="1" applyFont="1" applyFill="1" applyBorder="1" applyAlignment="1">
      <alignment horizontal="center"/>
    </xf>
    <xf numFmtId="0" fontId="6" fillId="6" borderId="8"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6" borderId="0" xfId="0" applyFont="1" applyFill="1" applyBorder="1" applyAlignment="1">
      <alignment horizontal="center"/>
    </xf>
    <xf numFmtId="2" fontId="6" fillId="6" borderId="0" xfId="1" applyNumberFormat="1" applyFont="1" applyFill="1" applyBorder="1" applyAlignment="1">
      <alignment horizontal="center" vertical="center" wrapText="1"/>
    </xf>
    <xf numFmtId="0" fontId="2" fillId="6" borderId="0" xfId="0" applyFont="1" applyFill="1" applyBorder="1" applyAlignment="1">
      <alignment horizontal="center"/>
    </xf>
    <xf numFmtId="0" fontId="6" fillId="6" borderId="0" xfId="0" applyFont="1" applyFill="1" applyAlignment="1">
      <alignment horizontal="left"/>
    </xf>
    <xf numFmtId="0" fontId="0" fillId="6" borderId="1" xfId="0" applyFont="1" applyFill="1" applyBorder="1" applyAlignment="1">
      <alignment vertical="center"/>
    </xf>
    <xf numFmtId="0" fontId="6" fillId="6" borderId="4" xfId="0" applyFont="1" applyFill="1" applyBorder="1" applyAlignment="1">
      <alignment vertical="center"/>
    </xf>
    <xf numFmtId="0" fontId="0" fillId="6" borderId="1" xfId="0" applyFont="1" applyFill="1" applyBorder="1"/>
    <xf numFmtId="164" fontId="0" fillId="6" borderId="0" xfId="2" applyNumberFormat="1" applyFont="1" applyFill="1" applyBorder="1" applyAlignment="1">
      <alignment horizontal="center"/>
    </xf>
    <xf numFmtId="0" fontId="5" fillId="13" borderId="1" xfId="0" applyFont="1" applyFill="1" applyBorder="1" applyAlignment="1">
      <alignment horizontal="center" vertical="center" wrapText="1"/>
    </xf>
    <xf numFmtId="168" fontId="6" fillId="6" borderId="0" xfId="3" applyNumberFormat="1" applyFont="1" applyFill="1" applyBorder="1" applyAlignment="1">
      <alignment horizontal="center"/>
    </xf>
    <xf numFmtId="0" fontId="7" fillId="12" borderId="1" xfId="0" applyFont="1" applyFill="1" applyBorder="1" applyAlignment="1">
      <alignment horizontal="center" vertical="center" wrapText="1"/>
    </xf>
    <xf numFmtId="0" fontId="6" fillId="6" borderId="10" xfId="0" applyFont="1" applyFill="1" applyBorder="1" applyAlignment="1">
      <alignment vertical="center"/>
    </xf>
    <xf numFmtId="0" fontId="0" fillId="6" borderId="0" xfId="0" applyFont="1" applyFill="1" applyBorder="1"/>
    <xf numFmtId="168" fontId="0" fillId="6" borderId="0" xfId="3" applyNumberFormat="1" applyFont="1" applyFill="1" applyBorder="1" applyAlignment="1">
      <alignment horizontal="center"/>
    </xf>
    <xf numFmtId="0" fontId="6" fillId="6" borderId="0" xfId="0" applyFont="1" applyFill="1" applyBorder="1" applyAlignment="1">
      <alignment vertical="center"/>
    </xf>
    <xf numFmtId="0" fontId="6" fillId="6" borderId="0" xfId="0" applyFont="1" applyFill="1" applyBorder="1" applyAlignment="1">
      <alignment horizontal="center" vertical="center"/>
    </xf>
    <xf numFmtId="10" fontId="14" fillId="6" borderId="0" xfId="3" applyNumberFormat="1" applyFont="1" applyFill="1" applyBorder="1" applyAlignment="1">
      <alignment horizontal="left"/>
    </xf>
    <xf numFmtId="164" fontId="5" fillId="6" borderId="0" xfId="3" applyNumberFormat="1" applyFont="1" applyFill="1" applyBorder="1" applyAlignment="1">
      <alignment horizontal="center"/>
    </xf>
    <xf numFmtId="9" fontId="0" fillId="6" borderId="0" xfId="3" applyFont="1" applyFill="1" applyBorder="1" applyAlignment="1">
      <alignment horizontal="center"/>
    </xf>
    <xf numFmtId="3" fontId="0" fillId="6" borderId="0" xfId="2" applyNumberFormat="1" applyFont="1" applyFill="1" applyBorder="1" applyAlignment="1">
      <alignment horizontal="center"/>
    </xf>
    <xf numFmtId="2" fontId="0" fillId="6" borderId="0" xfId="2" applyNumberFormat="1" applyFont="1" applyFill="1" applyBorder="1" applyAlignment="1">
      <alignment horizontal="center"/>
    </xf>
    <xf numFmtId="0" fontId="26" fillId="2" borderId="1" xfId="0" applyFont="1" applyFill="1" applyBorder="1"/>
    <xf numFmtId="0" fontId="6" fillId="4" borderId="1" xfId="0" quotePrefix="1" applyFont="1" applyFill="1" applyBorder="1" applyAlignment="1">
      <alignment horizontal="center" vertical="center" wrapText="1"/>
    </xf>
    <xf numFmtId="0" fontId="6" fillId="6" borderId="1" xfId="0" applyFont="1" applyFill="1" applyBorder="1" applyAlignment="1">
      <alignment vertical="center"/>
    </xf>
    <xf numFmtId="10" fontId="14" fillId="6" borderId="1" xfId="3" applyNumberFormat="1" applyFont="1" applyFill="1" applyBorder="1" applyAlignment="1">
      <alignment horizontal="left"/>
    </xf>
    <xf numFmtId="164" fontId="6" fillId="6" borderId="11" xfId="0" applyNumberFormat="1" applyFont="1" applyFill="1" applyBorder="1" applyAlignment="1">
      <alignment horizontal="center" vertical="center"/>
    </xf>
    <xf numFmtId="164" fontId="6" fillId="4" borderId="11" xfId="1"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49" fontId="5" fillId="6" borderId="0" xfId="0" applyNumberFormat="1" applyFont="1" applyFill="1" applyBorder="1" applyAlignment="1">
      <alignment horizontal="center"/>
    </xf>
    <xf numFmtId="49" fontId="6" fillId="6" borderId="0" xfId="0" applyNumberFormat="1" applyFont="1" applyFill="1" applyBorder="1" applyAlignment="1">
      <alignment horizontal="center" vertical="center"/>
    </xf>
    <xf numFmtId="0" fontId="9" fillId="0" borderId="1" xfId="0" applyFont="1" applyBorder="1" applyAlignment="1">
      <alignment horizontal="center" wrapText="1"/>
    </xf>
    <xf numFmtId="0" fontId="9" fillId="2" borderId="1" xfId="0" applyFont="1" applyFill="1" applyBorder="1" applyAlignment="1">
      <alignment horizontal="center" wrapText="1"/>
    </xf>
    <xf numFmtId="8" fontId="10" fillId="2" borderId="1" xfId="0" applyNumberFormat="1" applyFont="1" applyFill="1" applyBorder="1" applyAlignment="1">
      <alignment horizontal="center" wrapText="1"/>
    </xf>
    <xf numFmtId="0" fontId="10" fillId="8" borderId="1" xfId="0" applyFont="1" applyFill="1" applyBorder="1"/>
    <xf numFmtId="8" fontId="27" fillId="2" borderId="1" xfId="0" applyNumberFormat="1" applyFont="1" applyFill="1" applyBorder="1" applyAlignment="1">
      <alignment horizontal="right" vertical="center"/>
    </xf>
    <xf numFmtId="8" fontId="27" fillId="0" borderId="1" xfId="0" applyNumberFormat="1" applyFont="1" applyBorder="1" applyAlignment="1">
      <alignment horizontal="right" vertical="center"/>
    </xf>
    <xf numFmtId="0" fontId="27" fillId="0" borderId="1" xfId="0" applyFont="1" applyBorder="1" applyAlignment="1">
      <alignment horizontal="right" vertical="center"/>
    </xf>
    <xf numFmtId="8" fontId="27" fillId="0" borderId="1" xfId="0" applyNumberFormat="1" applyFont="1" applyBorder="1" applyAlignment="1">
      <alignment vertical="center"/>
    </xf>
    <xf numFmtId="0" fontId="10" fillId="8" borderId="4" xfId="0" applyFont="1" applyFill="1" applyBorder="1"/>
    <xf numFmtId="0" fontId="10" fillId="8" borderId="10" xfId="0" applyFont="1" applyFill="1" applyBorder="1"/>
    <xf numFmtId="0" fontId="9" fillId="0" borderId="3" xfId="0" applyFont="1" applyBorder="1" applyAlignment="1">
      <alignment horizontal="center" wrapText="1"/>
    </xf>
    <xf numFmtId="8" fontId="10" fillId="0" borderId="11" xfId="0" applyNumberFormat="1" applyFont="1" applyBorder="1" applyAlignment="1">
      <alignment horizontal="center" wrapText="1"/>
    </xf>
    <xf numFmtId="0" fontId="10" fillId="9" borderId="4" xfId="0" applyFont="1" applyFill="1" applyBorder="1"/>
    <xf numFmtId="0" fontId="10" fillId="0" borderId="1" xfId="0" applyFont="1" applyBorder="1" applyAlignment="1">
      <alignment horizontal="center" wrapText="1"/>
    </xf>
    <xf numFmtId="8" fontId="10" fillId="14" borderId="0" xfId="0" applyNumberFormat="1" applyFont="1" applyFill="1"/>
    <xf numFmtId="8" fontId="10" fillId="14" borderId="1" xfId="0" applyNumberFormat="1" applyFont="1" applyFill="1" applyBorder="1"/>
    <xf numFmtId="0" fontId="8" fillId="4" borderId="1" xfId="0" applyFont="1" applyFill="1" applyBorder="1" applyAlignment="1">
      <alignment horizontal="center"/>
    </xf>
    <xf numFmtId="0" fontId="8" fillId="10" borderId="1" xfId="0" applyFont="1" applyFill="1" applyBorder="1"/>
    <xf numFmtId="0" fontId="9" fillId="2" borderId="1" xfId="0" applyFont="1" applyFill="1" applyBorder="1" applyAlignment="1"/>
    <xf numFmtId="0" fontId="9" fillId="7" borderId="1" xfId="0" applyFont="1" applyFill="1" applyBorder="1" applyAlignment="1">
      <alignment wrapText="1"/>
    </xf>
    <xf numFmtId="0" fontId="9" fillId="2" borderId="11" xfId="0" applyFont="1" applyFill="1" applyBorder="1" applyAlignment="1"/>
    <xf numFmtId="0" fontId="9" fillId="2" borderId="8" xfId="0" applyFont="1" applyFill="1" applyBorder="1" applyAlignment="1"/>
    <xf numFmtId="8" fontId="0" fillId="0" borderId="1" xfId="0" applyNumberFormat="1" applyBorder="1" applyAlignment="1">
      <alignment horizontal="center"/>
    </xf>
    <xf numFmtId="8" fontId="8" fillId="10" borderId="1" xfId="0" applyNumberFormat="1" applyFont="1" applyFill="1" applyBorder="1" applyAlignment="1">
      <alignment horizontal="center"/>
    </xf>
    <xf numFmtId="164" fontId="6" fillId="6" borderId="4" xfId="0" applyNumberFormat="1" applyFont="1" applyFill="1" applyBorder="1" applyAlignment="1">
      <alignment horizontal="center" vertical="center" wrapText="1"/>
    </xf>
    <xf numFmtId="164" fontId="6" fillId="4" borderId="4" xfId="0" applyNumberFormat="1" applyFont="1" applyFill="1" applyBorder="1" applyAlignment="1">
      <alignment horizontal="center" vertical="center" wrapText="1"/>
    </xf>
    <xf numFmtId="49" fontId="5" fillId="11"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xf>
    <xf numFmtId="0" fontId="5" fillId="15" borderId="1" xfId="0" applyFont="1" applyFill="1" applyBorder="1" applyAlignment="1">
      <alignment horizontal="center" vertical="center"/>
    </xf>
    <xf numFmtId="164" fontId="6" fillId="15" borderId="1" xfId="0" applyNumberFormat="1" applyFont="1" applyFill="1" applyBorder="1" applyAlignment="1">
      <alignment horizontal="center" vertical="center"/>
    </xf>
    <xf numFmtId="0" fontId="6" fillId="15" borderId="1" xfId="0" applyFont="1" applyFill="1" applyBorder="1" applyAlignment="1">
      <alignment horizontal="center" vertical="center"/>
    </xf>
    <xf numFmtId="49" fontId="5" fillId="6" borderId="1" xfId="0" applyNumberFormat="1" applyFont="1" applyFill="1" applyBorder="1" applyAlignment="1">
      <alignment horizontal="center" vertical="center" wrapText="1"/>
    </xf>
    <xf numFmtId="0" fontId="6" fillId="6" borderId="1" xfId="0" applyFont="1" applyFill="1" applyBorder="1"/>
    <xf numFmtId="166" fontId="6" fillId="6" borderId="4" xfId="0" applyNumberFormat="1"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0" xfId="0" applyFont="1" applyFill="1" applyAlignment="1">
      <alignment horizontal="center" vertical="center" wrapText="1"/>
    </xf>
    <xf numFmtId="164" fontId="5" fillId="4" borderId="1" xfId="0" applyNumberFormat="1" applyFont="1" applyFill="1" applyBorder="1" applyAlignment="1">
      <alignment vertical="center" wrapText="1"/>
    </xf>
    <xf numFmtId="8" fontId="6" fillId="6" borderId="4" xfId="0" applyNumberFormat="1" applyFont="1" applyFill="1" applyBorder="1" applyAlignment="1">
      <alignment horizontal="center" vertical="center" wrapText="1"/>
    </xf>
    <xf numFmtId="0" fontId="5" fillId="6" borderId="8" xfId="0" applyFont="1" applyFill="1" applyBorder="1" applyAlignment="1">
      <alignment horizontal="left" vertical="center"/>
    </xf>
    <xf numFmtId="164" fontId="5" fillId="6" borderId="1" xfId="3"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0" fontId="24" fillId="6" borderId="1" xfId="4" applyFont="1" applyFill="1" applyBorder="1" applyAlignment="1">
      <alignment horizontal="center" vertical="center" wrapText="1"/>
    </xf>
    <xf numFmtId="10" fontId="5" fillId="6" borderId="1" xfId="3" applyNumberFormat="1" applyFont="1" applyFill="1" applyBorder="1" applyAlignment="1">
      <alignment horizontal="center" vertical="center" wrapText="1"/>
    </xf>
    <xf numFmtId="9" fontId="5" fillId="6" borderId="1" xfId="3"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1" fillId="6" borderId="4" xfId="0" applyFont="1" applyFill="1" applyBorder="1" applyAlignment="1">
      <alignment horizontal="left" vertical="center" wrapText="1"/>
    </xf>
    <xf numFmtId="0" fontId="31" fillId="6" borderId="1" xfId="0" applyFont="1" applyFill="1" applyBorder="1" applyAlignment="1">
      <alignment horizontal="left" vertical="center" wrapText="1"/>
    </xf>
    <xf numFmtId="0" fontId="30" fillId="4" borderId="1" xfId="0" applyFont="1" applyFill="1" applyBorder="1" applyAlignment="1">
      <alignment horizontal="center" vertical="center" wrapText="1"/>
    </xf>
    <xf numFmtId="0" fontId="0" fillId="4" borderId="1" xfId="0" applyFont="1" applyFill="1" applyBorder="1"/>
    <xf numFmtId="0" fontId="0" fillId="4" borderId="0" xfId="0" applyFont="1" applyFill="1" applyBorder="1"/>
    <xf numFmtId="0" fontId="6" fillId="4" borderId="0" xfId="0" applyFont="1" applyFill="1" applyAlignment="1">
      <alignment horizontal="left"/>
    </xf>
    <xf numFmtId="168" fontId="8" fillId="3" borderId="1" xfId="3" applyNumberFormat="1" applyFont="1" applyFill="1" applyBorder="1" applyAlignment="1">
      <alignment horizontal="center" vertical="center" wrapText="1"/>
    </xf>
    <xf numFmtId="10" fontId="5" fillId="3" borderId="3" xfId="3"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9" fontId="0" fillId="4" borderId="1" xfId="3" applyFont="1" applyFill="1" applyBorder="1" applyAlignment="1">
      <alignment horizontal="center"/>
    </xf>
    <xf numFmtId="168" fontId="6" fillId="4" borderId="1" xfId="3" applyNumberFormat="1" applyFont="1" applyFill="1" applyBorder="1" applyAlignment="1">
      <alignment horizontal="center" vertical="center"/>
    </xf>
    <xf numFmtId="164" fontId="0" fillId="4" borderId="1" xfId="2" applyNumberFormat="1" applyFont="1" applyFill="1" applyBorder="1" applyAlignment="1">
      <alignment horizontal="center"/>
    </xf>
    <xf numFmtId="164" fontId="6" fillId="4" borderId="1" xfId="3" applyNumberFormat="1" applyFont="1" applyFill="1" applyBorder="1" applyAlignment="1">
      <alignment horizontal="center"/>
    </xf>
    <xf numFmtId="164" fontId="0" fillId="4" borderId="3" xfId="2" applyNumberFormat="1" applyFont="1" applyFill="1" applyBorder="1" applyAlignment="1">
      <alignment horizontal="center"/>
    </xf>
    <xf numFmtId="164" fontId="6" fillId="4" borderId="1"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wrapText="1"/>
    </xf>
    <xf numFmtId="168" fontId="0" fillId="6" borderId="11" xfId="3" applyNumberFormat="1" applyFont="1" applyFill="1" applyBorder="1" applyAlignment="1">
      <alignment horizontal="center" vertical="center"/>
    </xf>
    <xf numFmtId="168" fontId="0" fillId="6" borderId="11" xfId="3" applyNumberFormat="1" applyFont="1" applyFill="1" applyBorder="1" applyAlignment="1">
      <alignment horizontal="center"/>
    </xf>
    <xf numFmtId="168" fontId="0" fillId="6" borderId="6" xfId="3" applyNumberFormat="1" applyFont="1" applyFill="1" applyBorder="1" applyAlignment="1">
      <alignment horizontal="center"/>
    </xf>
    <xf numFmtId="0" fontId="5" fillId="6" borderId="1" xfId="0" applyFont="1" applyFill="1" applyBorder="1" applyAlignment="1">
      <alignment horizontal="left" vertical="center"/>
    </xf>
    <xf numFmtId="164" fontId="5" fillId="4" borderId="1" xfId="0" applyNumberFormat="1" applyFont="1" applyFill="1" applyBorder="1" applyAlignment="1">
      <alignment horizontal="center" vertical="center" wrapText="1"/>
    </xf>
    <xf numFmtId="0" fontId="0" fillId="4" borderId="1" xfId="1" applyNumberFormat="1" applyFont="1" applyFill="1" applyBorder="1"/>
    <xf numFmtId="2" fontId="16" fillId="4" borderId="1" xfId="1" applyNumberFormat="1" applyFont="1" applyFill="1" applyBorder="1" applyAlignment="1">
      <alignment horizontal="center" vertical="center" wrapText="1"/>
    </xf>
    <xf numFmtId="0" fontId="0" fillId="4" borderId="1" xfId="0" applyFont="1" applyFill="1" applyBorder="1" applyAlignment="1">
      <alignment vertical="center"/>
    </xf>
    <xf numFmtId="10" fontId="14" fillId="6" borderId="1" xfId="3" applyNumberFormat="1" applyFont="1" applyFill="1" applyBorder="1" applyAlignment="1">
      <alignment horizontal="left" vertical="center"/>
    </xf>
    <xf numFmtId="9" fontId="6" fillId="4" borderId="1" xfId="3" applyFont="1" applyFill="1" applyBorder="1" applyAlignment="1">
      <alignment horizontal="center"/>
    </xf>
    <xf numFmtId="164" fontId="5" fillId="6" borderId="11" xfId="0" applyNumberFormat="1" applyFont="1" applyFill="1" applyBorder="1" applyAlignment="1">
      <alignment horizontal="center" vertical="center" wrapText="1"/>
    </xf>
    <xf numFmtId="2" fontId="16" fillId="6" borderId="11" xfId="1" applyNumberFormat="1" applyFont="1" applyFill="1" applyBorder="1" applyAlignment="1">
      <alignment horizontal="center" vertical="center" wrapText="1"/>
    </xf>
    <xf numFmtId="168" fontId="6" fillId="6" borderId="11" xfId="3" applyNumberFormat="1" applyFont="1" applyFill="1" applyBorder="1" applyAlignment="1">
      <alignment horizontal="center" vertical="center"/>
    </xf>
    <xf numFmtId="0" fontId="5" fillId="4"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6" fillId="6" borderId="8" xfId="0" applyFont="1" applyFill="1" applyBorder="1"/>
    <xf numFmtId="0" fontId="6" fillId="6" borderId="8" xfId="0" applyFont="1" applyFill="1" applyBorder="1" applyAlignment="1">
      <alignment vertical="center"/>
    </xf>
    <xf numFmtId="164" fontId="0" fillId="6" borderId="8" xfId="2" applyNumberFormat="1" applyFont="1" applyFill="1" applyBorder="1" applyAlignment="1">
      <alignment horizontal="center"/>
    </xf>
    <xf numFmtId="164" fontId="6" fillId="6" borderId="8" xfId="3" applyNumberFormat="1" applyFont="1" applyFill="1" applyBorder="1" applyAlignment="1">
      <alignment horizontal="center"/>
    </xf>
    <xf numFmtId="164" fontId="6" fillId="4" borderId="8" xfId="1" applyNumberFormat="1" applyFont="1" applyFill="1" applyBorder="1" applyAlignment="1">
      <alignment horizontal="center" vertical="center" wrapText="1"/>
    </xf>
    <xf numFmtId="164" fontId="6" fillId="6" borderId="8" xfId="1" applyNumberFormat="1" applyFont="1" applyFill="1" applyBorder="1" applyAlignment="1">
      <alignment horizontal="center" vertical="center" wrapText="1"/>
    </xf>
    <xf numFmtId="9" fontId="0" fillId="4" borderId="9" xfId="3" applyFont="1" applyFill="1" applyBorder="1" applyAlignment="1">
      <alignment horizontal="center"/>
    </xf>
    <xf numFmtId="0" fontId="6" fillId="4" borderId="9" xfId="0" applyFont="1" applyFill="1" applyBorder="1" applyAlignment="1">
      <alignment horizontal="center" vertical="center"/>
    </xf>
    <xf numFmtId="0" fontId="5" fillId="6" borderId="11" xfId="0" applyFont="1" applyFill="1" applyBorder="1" applyAlignment="1">
      <alignment horizontal="center" vertical="center" wrapText="1"/>
    </xf>
    <xf numFmtId="0" fontId="6" fillId="6" borderId="11" xfId="0" applyFont="1" applyFill="1" applyBorder="1" applyAlignment="1">
      <alignment horizontal="center"/>
    </xf>
    <xf numFmtId="0" fontId="6" fillId="6" borderId="11" xfId="0" applyFont="1" applyFill="1" applyBorder="1" applyAlignment="1">
      <alignment vertical="center"/>
    </xf>
    <xf numFmtId="0" fontId="6" fillId="6" borderId="11" xfId="0" applyFont="1" applyFill="1" applyBorder="1" applyAlignment="1">
      <alignment horizontal="left"/>
    </xf>
    <xf numFmtId="164" fontId="0" fillId="6" borderId="11" xfId="2" applyNumberFormat="1" applyFont="1" applyFill="1" applyBorder="1" applyAlignment="1">
      <alignment horizontal="center"/>
    </xf>
    <xf numFmtId="164" fontId="6" fillId="6" borderId="11" xfId="3" applyNumberFormat="1" applyFont="1" applyFill="1" applyBorder="1" applyAlignment="1">
      <alignment horizontal="center"/>
    </xf>
    <xf numFmtId="164" fontId="0" fillId="6" borderId="6" xfId="2" applyNumberFormat="1" applyFont="1" applyFill="1" applyBorder="1" applyAlignment="1">
      <alignment horizontal="center"/>
    </xf>
    <xf numFmtId="0" fontId="6" fillId="4" borderId="9" xfId="0" applyFont="1" applyFill="1" applyBorder="1" applyAlignment="1">
      <alignment horizontal="left"/>
    </xf>
    <xf numFmtId="164" fontId="0" fillId="4" borderId="9" xfId="2" applyNumberFormat="1" applyFont="1" applyFill="1" applyBorder="1" applyAlignment="1">
      <alignment horizontal="center"/>
    </xf>
    <xf numFmtId="0" fontId="6" fillId="4" borderId="11" xfId="0" applyFont="1" applyFill="1" applyBorder="1" applyAlignment="1">
      <alignment vertical="center"/>
    </xf>
    <xf numFmtId="0" fontId="6" fillId="4" borderId="11" xfId="0" applyFont="1" applyFill="1" applyBorder="1" applyAlignment="1">
      <alignment horizontal="left"/>
    </xf>
    <xf numFmtId="8" fontId="0" fillId="6" borderId="1" xfId="0" applyNumberFormat="1" applyFill="1" applyBorder="1" applyAlignment="1">
      <alignment horizontal="center"/>
    </xf>
    <xf numFmtId="0" fontId="8" fillId="11" borderId="1" xfId="0" applyFont="1" applyFill="1" applyBorder="1" applyAlignment="1">
      <alignment vertical="center"/>
    </xf>
    <xf numFmtId="0" fontId="8" fillId="11" borderId="1" xfId="0" applyFont="1" applyFill="1" applyBorder="1" applyAlignment="1">
      <alignment horizontal="center"/>
    </xf>
    <xf numFmtId="49" fontId="6" fillId="6" borderId="0" xfId="0" applyNumberFormat="1" applyFont="1" applyFill="1" applyBorder="1" applyAlignment="1">
      <alignment horizontal="left" vertical="center"/>
    </xf>
    <xf numFmtId="164" fontId="6" fillId="6" borderId="0" xfId="0" applyNumberFormat="1" applyFont="1" applyFill="1" applyBorder="1" applyAlignment="1">
      <alignment horizontal="center" vertical="center"/>
    </xf>
    <xf numFmtId="8" fontId="6" fillId="6" borderId="0" xfId="0" applyNumberFormat="1" applyFont="1" applyFill="1" applyBorder="1" applyAlignment="1">
      <alignment horizontal="center" vertical="center"/>
    </xf>
    <xf numFmtId="1" fontId="5" fillId="6" borderId="0" xfId="0" applyNumberFormat="1" applyFont="1" applyFill="1" applyBorder="1" applyAlignment="1">
      <alignment horizontal="center"/>
    </xf>
    <xf numFmtId="1" fontId="6" fillId="6" borderId="0" xfId="0" applyNumberFormat="1" applyFont="1" applyFill="1" applyBorder="1" applyAlignment="1">
      <alignment horizontal="center" vertical="center"/>
    </xf>
    <xf numFmtId="0" fontId="6" fillId="6" borderId="1" xfId="0" applyFont="1" applyFill="1" applyBorder="1" applyAlignment="1">
      <alignment horizontal="center" vertical="center"/>
    </xf>
    <xf numFmtId="168" fontId="6" fillId="6" borderId="0" xfId="3" applyNumberFormat="1" applyFont="1" applyFill="1" applyBorder="1" applyAlignment="1">
      <alignment horizontal="center" vertical="center"/>
    </xf>
    <xf numFmtId="9" fontId="5" fillId="16" borderId="1" xfId="3"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0" fontId="5" fillId="3" borderId="1" xfId="3" applyNumberFormat="1" applyFont="1" applyFill="1" applyBorder="1" applyAlignment="1">
      <alignment horizontal="center" vertical="center" wrapText="1"/>
    </xf>
    <xf numFmtId="0" fontId="6" fillId="6" borderId="0" xfId="0" applyFont="1" applyFill="1" applyAlignment="1">
      <alignment horizontal="center"/>
    </xf>
    <xf numFmtId="3" fontId="6" fillId="6" borderId="8" xfId="0" applyNumberFormat="1" applyFont="1" applyFill="1" applyBorder="1" applyAlignment="1">
      <alignment horizontal="center" vertical="center"/>
    </xf>
    <xf numFmtId="0" fontId="31" fillId="6" borderId="1" xfId="0" applyFont="1" applyFill="1" applyBorder="1" applyAlignment="1">
      <alignment horizontal="center" vertical="center"/>
    </xf>
    <xf numFmtId="0" fontId="31" fillId="6" borderId="8" xfId="0" applyFont="1" applyFill="1" applyBorder="1" applyAlignment="1">
      <alignment horizontal="center" vertical="center" wrapText="1"/>
    </xf>
    <xf numFmtId="49" fontId="31" fillId="6" borderId="1" xfId="0" applyNumberFormat="1"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4" xfId="0" applyFont="1" applyFill="1" applyBorder="1" applyAlignment="1">
      <alignment horizontal="center" vertical="center" wrapText="1"/>
    </xf>
    <xf numFmtId="164" fontId="31" fillId="6" borderId="4" xfId="0" applyNumberFormat="1" applyFont="1" applyFill="1" applyBorder="1" applyAlignment="1">
      <alignment horizontal="center" vertical="center" wrapText="1"/>
    </xf>
    <xf numFmtId="166" fontId="31" fillId="6" borderId="4" xfId="0" applyNumberFormat="1" applyFont="1" applyFill="1" applyBorder="1" applyAlignment="1">
      <alignment horizontal="center" vertical="center" wrapText="1"/>
    </xf>
    <xf numFmtId="8" fontId="31" fillId="6" borderId="4" xfId="0" applyNumberFormat="1" applyFont="1" applyFill="1" applyBorder="1" applyAlignment="1">
      <alignment horizontal="center" vertical="center" wrapText="1"/>
    </xf>
    <xf numFmtId="164" fontId="31" fillId="4" borderId="4" xfId="0" applyNumberFormat="1" applyFont="1" applyFill="1" applyBorder="1" applyAlignment="1">
      <alignment horizontal="center" vertical="center" wrapText="1"/>
    </xf>
    <xf numFmtId="168" fontId="31" fillId="6" borderId="1" xfId="3" applyNumberFormat="1" applyFont="1" applyFill="1" applyBorder="1" applyAlignment="1">
      <alignment horizontal="center" vertical="center"/>
    </xf>
    <xf numFmtId="49" fontId="31" fillId="6" borderId="1" xfId="0" applyNumberFormat="1" applyFont="1" applyFill="1" applyBorder="1" applyAlignment="1">
      <alignment horizontal="left" vertical="center"/>
    </xf>
    <xf numFmtId="9" fontId="31" fillId="6" borderId="1" xfId="3" applyFont="1" applyFill="1" applyBorder="1" applyAlignment="1">
      <alignment horizontal="center" vertical="center"/>
    </xf>
    <xf numFmtId="166" fontId="31" fillId="6" borderId="1" xfId="0" applyNumberFormat="1" applyFont="1" applyFill="1" applyBorder="1" applyAlignment="1">
      <alignment horizontal="center" vertical="center"/>
    </xf>
    <xf numFmtId="10" fontId="31" fillId="6" borderId="1" xfId="3" applyNumberFormat="1" applyFont="1" applyFill="1" applyBorder="1" applyAlignment="1">
      <alignment horizontal="center" vertical="center"/>
    </xf>
    <xf numFmtId="168" fontId="31" fillId="6" borderId="1" xfId="0" applyNumberFormat="1" applyFont="1" applyFill="1" applyBorder="1" applyAlignment="1">
      <alignment horizontal="center" vertical="center"/>
    </xf>
    <xf numFmtId="164" fontId="31" fillId="6" borderId="1" xfId="0" applyNumberFormat="1" applyFont="1" applyFill="1" applyBorder="1" applyAlignment="1">
      <alignment horizontal="center" vertical="center"/>
    </xf>
    <xf numFmtId="168" fontId="31" fillId="6" borderId="11" xfId="3" applyNumberFormat="1" applyFont="1" applyFill="1" applyBorder="1" applyAlignment="1">
      <alignment horizontal="center" vertical="center"/>
    </xf>
    <xf numFmtId="168" fontId="31" fillId="4" borderId="1" xfId="3" applyNumberFormat="1" applyFont="1" applyFill="1" applyBorder="1" applyAlignment="1">
      <alignment horizontal="center" vertical="center"/>
    </xf>
    <xf numFmtId="164" fontId="31" fillId="6" borderId="8" xfId="1" applyNumberFormat="1" applyFont="1" applyFill="1" applyBorder="1" applyAlignment="1">
      <alignment horizontal="center" vertical="center" wrapText="1"/>
    </xf>
    <xf numFmtId="164" fontId="31" fillId="6" borderId="11" xfId="0" applyNumberFormat="1" applyFont="1" applyFill="1" applyBorder="1" applyAlignment="1">
      <alignment horizontal="center" vertical="center"/>
    </xf>
    <xf numFmtId="164" fontId="31" fillId="4" borderId="1" xfId="0" applyNumberFormat="1" applyFont="1" applyFill="1" applyBorder="1" applyAlignment="1">
      <alignment horizontal="center" vertical="center"/>
    </xf>
    <xf numFmtId="3" fontId="31" fillId="6" borderId="8" xfId="0" applyNumberFormat="1" applyFont="1" applyFill="1" applyBorder="1" applyAlignment="1">
      <alignment horizontal="center" vertical="center"/>
    </xf>
    <xf numFmtId="1" fontId="6" fillId="4" borderId="1" xfId="3" applyNumberFormat="1" applyFont="1" applyFill="1" applyBorder="1" applyAlignment="1">
      <alignment horizontal="center" vertical="center" wrapText="1"/>
    </xf>
    <xf numFmtId="2" fontId="5" fillId="4" borderId="3" xfId="0" applyNumberFormat="1" applyFont="1" applyFill="1" applyBorder="1" applyAlignment="1">
      <alignment horizontal="center" vertical="center" wrapText="1"/>
    </xf>
    <xf numFmtId="2" fontId="5" fillId="6" borderId="1" xfId="0" applyNumberFormat="1" applyFont="1" applyFill="1" applyBorder="1" applyAlignment="1">
      <alignment horizontal="center" vertical="center" wrapText="1"/>
    </xf>
    <xf numFmtId="2" fontId="6" fillId="6" borderId="1" xfId="0" applyNumberFormat="1" applyFont="1" applyFill="1" applyBorder="1"/>
    <xf numFmtId="2" fontId="6" fillId="6" borderId="1" xfId="0" applyNumberFormat="1" applyFont="1" applyFill="1" applyBorder="1" applyAlignment="1">
      <alignment vertical="center"/>
    </xf>
    <xf numFmtId="2" fontId="6" fillId="6" borderId="4" xfId="0" applyNumberFormat="1" applyFont="1" applyFill="1" applyBorder="1"/>
    <xf numFmtId="2" fontId="6" fillId="4" borderId="1" xfId="0" applyNumberFormat="1" applyFont="1" applyFill="1" applyBorder="1" applyAlignment="1">
      <alignment horizontal="center" vertical="center" wrapText="1"/>
    </xf>
    <xf numFmtId="2" fontId="6" fillId="6" borderId="0" xfId="0" applyNumberFormat="1" applyFont="1" applyFill="1"/>
    <xf numFmtId="0" fontId="6" fillId="6" borderId="1" xfId="0" applyNumberFormat="1" applyFont="1" applyFill="1" applyBorder="1" applyAlignment="1">
      <alignment horizontal="center" vertical="center"/>
    </xf>
    <xf numFmtId="0" fontId="31" fillId="6" borderId="1" xfId="0" applyNumberFormat="1" applyFont="1" applyFill="1" applyBorder="1" applyAlignment="1">
      <alignment horizontal="center" vertical="center"/>
    </xf>
    <xf numFmtId="168" fontId="31" fillId="4" borderId="4" xfId="3" applyNumberFormat="1" applyFont="1" applyFill="1" applyBorder="1" applyAlignment="1">
      <alignment horizontal="center" vertical="center"/>
    </xf>
    <xf numFmtId="49" fontId="6" fillId="6" borderId="1" xfId="0" applyNumberFormat="1" applyFont="1" applyFill="1" applyBorder="1" applyAlignment="1">
      <alignment vertical="center"/>
    </xf>
    <xf numFmtId="49" fontId="6" fillId="6" borderId="4" xfId="0" applyNumberFormat="1" applyFont="1" applyFill="1" applyBorder="1" applyAlignment="1">
      <alignment vertical="center"/>
    </xf>
    <xf numFmtId="49" fontId="6" fillId="6" borderId="0" xfId="0" applyNumberFormat="1" applyFont="1" applyFill="1" applyAlignment="1">
      <alignment vertical="center"/>
    </xf>
    <xf numFmtId="0" fontId="5" fillId="16" borderId="1"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4" borderId="11" xfId="0" applyFont="1" applyFill="1" applyBorder="1" applyAlignment="1">
      <alignment horizontal="center" vertical="top" wrapText="1"/>
    </xf>
    <xf numFmtId="0" fontId="6" fillId="6" borderId="5" xfId="0" applyFont="1" applyFill="1" applyBorder="1" applyAlignment="1">
      <alignment horizontal="center"/>
    </xf>
    <xf numFmtId="0" fontId="6" fillId="6" borderId="8" xfId="0" applyFont="1" applyFill="1" applyBorder="1" applyAlignment="1">
      <alignment horizontal="center"/>
    </xf>
    <xf numFmtId="0" fontId="6" fillId="6" borderId="7" xfId="0" applyFont="1" applyFill="1" applyBorder="1" applyAlignment="1">
      <alignment horizontal="center"/>
    </xf>
    <xf numFmtId="0" fontId="5" fillId="16" borderId="7" xfId="0" applyFont="1" applyFill="1" applyBorder="1" applyAlignment="1">
      <alignment horizontal="center" vertical="center" wrapText="1"/>
    </xf>
    <xf numFmtId="0" fontId="5" fillId="13" borderId="1" xfId="0" applyFont="1" applyFill="1" applyBorder="1" applyAlignment="1">
      <alignment horizontal="center"/>
    </xf>
    <xf numFmtId="2" fontId="5" fillId="13" borderId="15" xfId="4" applyNumberFormat="1" applyFont="1" applyFill="1" applyBorder="1" applyAlignment="1">
      <alignment horizontal="center" vertical="center" wrapText="1"/>
    </xf>
    <xf numFmtId="0" fontId="6" fillId="6" borderId="14" xfId="0" applyFont="1" applyFill="1" applyBorder="1" applyAlignment="1">
      <alignment horizontal="center" vertical="center"/>
    </xf>
    <xf numFmtId="0" fontId="5" fillId="6" borderId="0" xfId="0" applyFont="1" applyFill="1" applyBorder="1" applyAlignment="1">
      <alignment horizontal="center"/>
    </xf>
    <xf numFmtId="0" fontId="6" fillId="6" borderId="3" xfId="0" applyFont="1" applyFill="1" applyBorder="1" applyAlignment="1">
      <alignment horizontal="center" vertical="center"/>
    </xf>
    <xf numFmtId="0" fontId="24" fillId="3" borderId="1" xfId="4" applyFont="1" applyFill="1" applyBorder="1" applyAlignment="1">
      <alignment horizontal="center" vertical="center" wrapText="1"/>
    </xf>
    <xf numFmtId="0" fontId="24" fillId="16" borderId="1" xfId="4" applyFont="1" applyFill="1" applyBorder="1" applyAlignment="1">
      <alignment horizontal="center" vertical="center" wrapText="1"/>
    </xf>
    <xf numFmtId="10" fontId="5" fillId="16" borderId="3" xfId="3" applyNumberFormat="1" applyFont="1" applyFill="1" applyBorder="1" applyAlignment="1">
      <alignment horizontal="center" vertical="center" wrapText="1"/>
    </xf>
    <xf numFmtId="166" fontId="5" fillId="6" borderId="0" xfId="0" applyNumberFormat="1" applyFont="1" applyFill="1" applyBorder="1" applyAlignment="1"/>
    <xf numFmtId="0" fontId="23" fillId="6" borderId="0" xfId="0" applyFont="1" applyFill="1" applyAlignment="1">
      <alignment horizontal="center" wrapText="1"/>
    </xf>
    <xf numFmtId="164" fontId="6" fillId="5" borderId="11" xfId="1" applyNumberFormat="1" applyFont="1" applyFill="1" applyBorder="1" applyAlignment="1">
      <alignment horizontal="center" vertical="center" wrapText="1"/>
    </xf>
    <xf numFmtId="0" fontId="6" fillId="6" borderId="4" xfId="0" applyFont="1" applyFill="1" applyBorder="1" applyAlignment="1">
      <alignment horizontal="center" vertical="center"/>
    </xf>
    <xf numFmtId="0" fontId="5" fillId="10" borderId="1" xfId="0" applyFont="1" applyFill="1" applyBorder="1" applyAlignment="1">
      <alignment horizontal="center" vertical="center" wrapText="1"/>
    </xf>
    <xf numFmtId="164" fontId="0" fillId="6" borderId="10" xfId="2" applyNumberFormat="1" applyFont="1" applyFill="1" applyBorder="1" applyAlignment="1">
      <alignment horizontal="center"/>
    </xf>
    <xf numFmtId="10" fontId="6" fillId="10" borderId="18" xfId="0" applyNumberFormat="1" applyFont="1" applyFill="1" applyBorder="1" applyAlignment="1">
      <alignment horizontal="center"/>
    </xf>
    <xf numFmtId="164" fontId="6" fillId="10" borderId="20" xfId="0" applyNumberFormat="1" applyFont="1" applyFill="1" applyBorder="1" applyAlignment="1">
      <alignment horizontal="center"/>
    </xf>
    <xf numFmtId="0" fontId="15" fillId="6" borderId="0" xfId="4" applyFill="1"/>
    <xf numFmtId="0" fontId="6" fillId="4" borderId="13" xfId="0" applyFont="1" applyFill="1" applyBorder="1" applyAlignment="1">
      <alignment horizontal="center"/>
    </xf>
    <xf numFmtId="0" fontId="5" fillId="6" borderId="13" xfId="0" applyFont="1" applyFill="1" applyBorder="1" applyAlignment="1">
      <alignment vertical="center"/>
    </xf>
    <xf numFmtId="0" fontId="5" fillId="6" borderId="8" xfId="0" applyFont="1" applyFill="1" applyBorder="1" applyAlignment="1">
      <alignment vertical="center"/>
    </xf>
    <xf numFmtId="0" fontId="36" fillId="6" borderId="11" xfId="4" applyFont="1" applyFill="1" applyBorder="1" applyAlignment="1">
      <alignment vertical="center"/>
    </xf>
    <xf numFmtId="2" fontId="6" fillId="6" borderId="1" xfId="1" applyNumberFormat="1" applyFont="1" applyFill="1" applyBorder="1" applyAlignment="1">
      <alignment vertical="center" wrapText="1"/>
    </xf>
    <xf numFmtId="166" fontId="5" fillId="13" borderId="1" xfId="0" applyNumberFormat="1" applyFont="1" applyFill="1" applyBorder="1" applyAlignment="1">
      <alignment horizontal="center"/>
    </xf>
    <xf numFmtId="0" fontId="6" fillId="6" borderId="0" xfId="0" applyFont="1" applyFill="1" applyAlignment="1"/>
    <xf numFmtId="0" fontId="25" fillId="6" borderId="0" xfId="0" applyFont="1" applyFill="1" applyAlignment="1">
      <alignment vertical="center"/>
    </xf>
    <xf numFmtId="168" fontId="5" fillId="6" borderId="0" xfId="3" applyNumberFormat="1" applyFont="1" applyFill="1" applyAlignment="1">
      <alignment horizontal="center" vertical="center"/>
    </xf>
    <xf numFmtId="0" fontId="5" fillId="6" borderId="0" xfId="0" applyFont="1" applyFill="1" applyAlignment="1">
      <alignment horizontal="center" vertical="center"/>
    </xf>
    <xf numFmtId="10" fontId="5" fillId="6" borderId="0" xfId="3" applyNumberFormat="1" applyFont="1" applyFill="1" applyAlignment="1">
      <alignment horizontal="center" vertical="center"/>
    </xf>
    <xf numFmtId="9" fontId="5" fillId="6" borderId="0" xfId="3" applyFont="1" applyFill="1" applyAlignment="1">
      <alignment horizontal="center" vertical="center"/>
    </xf>
    <xf numFmtId="0" fontId="7" fillId="6" borderId="0" xfId="0" applyFont="1" applyFill="1" applyAlignment="1">
      <alignment horizontal="center" vertical="center"/>
    </xf>
    <xf numFmtId="0" fontId="5" fillId="4" borderId="9" xfId="0" applyFont="1" applyFill="1" applyBorder="1" applyAlignment="1">
      <alignment horizontal="center" vertical="center"/>
    </xf>
    <xf numFmtId="166" fontId="5" fillId="4" borderId="1" xfId="1" applyNumberFormat="1" applyFont="1" applyFill="1" applyBorder="1" applyAlignment="1">
      <alignment horizontal="center" vertical="center" wrapText="1"/>
    </xf>
    <xf numFmtId="164" fontId="14" fillId="10" borderId="1" xfId="1" applyNumberFormat="1" applyFont="1" applyFill="1" applyBorder="1" applyAlignment="1">
      <alignment horizontal="center" vertical="center" wrapText="1"/>
    </xf>
    <xf numFmtId="164" fontId="31" fillId="6" borderId="4" xfId="0" applyNumberFormat="1" applyFont="1" applyFill="1" applyBorder="1" applyAlignment="1">
      <alignment horizontal="center" vertical="center"/>
    </xf>
    <xf numFmtId="164" fontId="31" fillId="6" borderId="5" xfId="0" applyNumberFormat="1" applyFont="1" applyFill="1" applyBorder="1" applyAlignment="1">
      <alignment horizontal="center" vertical="center"/>
    </xf>
    <xf numFmtId="4" fontId="31" fillId="6" borderId="1" xfId="0" applyNumberFormat="1" applyFont="1" applyFill="1" applyBorder="1" applyAlignment="1">
      <alignment horizontal="center" vertical="center"/>
    </xf>
    <xf numFmtId="0" fontId="39" fillId="17"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10" fontId="35" fillId="2" borderId="15" xfId="3" applyNumberFormat="1" applyFont="1" applyFill="1" applyBorder="1" applyAlignment="1">
      <alignment horizontal="center"/>
    </xf>
    <xf numFmtId="0" fontId="5" fillId="16" borderId="1" xfId="0" applyFont="1" applyFill="1" applyBorder="1" applyAlignment="1">
      <alignment horizontal="center"/>
    </xf>
    <xf numFmtId="0" fontId="7" fillId="16" borderId="1" xfId="0" applyFont="1" applyFill="1" applyBorder="1" applyAlignment="1">
      <alignment horizontal="center"/>
    </xf>
    <xf numFmtId="166" fontId="5" fillId="16" borderId="15" xfId="1" applyNumberFormat="1" applyFont="1" applyFill="1" applyBorder="1" applyAlignment="1">
      <alignment horizontal="center" vertical="center" wrapText="1"/>
    </xf>
    <xf numFmtId="10" fontId="23" fillId="6" borderId="1" xfId="3" applyNumberFormat="1" applyFont="1" applyFill="1" applyBorder="1" applyAlignment="1">
      <alignment horizontal="left"/>
    </xf>
    <xf numFmtId="164" fontId="6" fillId="2" borderId="1" xfId="3" applyNumberFormat="1" applyFont="1" applyFill="1" applyBorder="1" applyAlignment="1">
      <alignment horizontal="center" vertical="center"/>
    </xf>
    <xf numFmtId="164" fontId="6" fillId="2" borderId="1" xfId="3" applyNumberFormat="1" applyFont="1" applyFill="1" applyBorder="1" applyAlignment="1">
      <alignment horizontal="center"/>
    </xf>
    <xf numFmtId="164" fontId="6" fillId="6" borderId="4"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4" fontId="6" fillId="6" borderId="1" xfId="0" applyNumberFormat="1" applyFont="1" applyFill="1" applyBorder="1" applyAlignment="1">
      <alignment horizontal="center" vertical="center"/>
    </xf>
    <xf numFmtId="0" fontId="5" fillId="6" borderId="0" xfId="0" applyFont="1" applyFill="1" applyAlignment="1">
      <alignment horizontal="left" vertical="center"/>
    </xf>
    <xf numFmtId="164" fontId="5" fillId="10" borderId="11"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164" fontId="5" fillId="16" borderId="1" xfId="0" applyNumberFormat="1" applyFont="1" applyFill="1" applyBorder="1" applyAlignment="1">
      <alignment horizontal="center" vertical="center"/>
    </xf>
    <xf numFmtId="3" fontId="5" fillId="10" borderId="8" xfId="0" applyNumberFormat="1" applyFont="1" applyFill="1" applyBorder="1" applyAlignment="1">
      <alignment horizontal="center" vertical="center"/>
    </xf>
    <xf numFmtId="4" fontId="5" fillId="10" borderId="1" xfId="0" applyNumberFormat="1" applyFont="1" applyFill="1" applyBorder="1" applyAlignment="1">
      <alignment horizontal="center" vertical="center"/>
    </xf>
    <xf numFmtId="164" fontId="5" fillId="5" borderId="4" xfId="0" applyNumberFormat="1" applyFont="1" applyFill="1" applyBorder="1" applyAlignment="1">
      <alignment horizontal="center" vertical="center"/>
    </xf>
    <xf numFmtId="0" fontId="5" fillId="17" borderId="1" xfId="0" applyFont="1" applyFill="1" applyBorder="1" applyAlignment="1">
      <alignment horizontal="center" vertical="center"/>
    </xf>
    <xf numFmtId="164" fontId="5" fillId="17" borderId="1" xfId="0" applyNumberFormat="1" applyFont="1" applyFill="1" applyBorder="1" applyAlignment="1">
      <alignment horizontal="center" vertical="center"/>
    </xf>
    <xf numFmtId="0" fontId="5" fillId="17" borderId="1" xfId="0" applyNumberFormat="1" applyFont="1" applyFill="1" applyBorder="1" applyAlignment="1">
      <alignment horizontal="center" vertical="center"/>
    </xf>
    <xf numFmtId="0" fontId="31" fillId="6" borderId="0" xfId="0" applyFont="1" applyFill="1" applyAlignment="1">
      <alignment horizontal="center" vertical="center"/>
    </xf>
    <xf numFmtId="9" fontId="31" fillId="6" borderId="0" xfId="3" applyFont="1" applyFill="1" applyAlignment="1">
      <alignment horizontal="center" vertical="center"/>
    </xf>
    <xf numFmtId="2" fontId="5" fillId="6" borderId="0" xfId="0" applyNumberFormat="1" applyFont="1" applyFill="1" applyAlignment="1">
      <alignment horizontal="center" vertical="center"/>
    </xf>
    <xf numFmtId="49" fontId="5" fillId="6" borderId="0" xfId="0" applyNumberFormat="1" applyFont="1" applyFill="1" applyAlignment="1">
      <alignment horizontal="center" vertical="center"/>
    </xf>
    <xf numFmtId="0" fontId="17" fillId="6" borderId="0" xfId="0" applyFont="1" applyFill="1" applyAlignment="1">
      <alignment horizontal="center" vertical="center"/>
    </xf>
    <xf numFmtId="0" fontId="0" fillId="6" borderId="8" xfId="1" applyNumberFormat="1" applyFont="1" applyFill="1" applyBorder="1" applyAlignment="1">
      <alignment horizontal="left"/>
    </xf>
    <xf numFmtId="0" fontId="0" fillId="6" borderId="8" xfId="0" applyFont="1" applyFill="1" applyBorder="1" applyAlignment="1">
      <alignment horizontal="left" vertical="center"/>
    </xf>
    <xf numFmtId="0" fontId="0" fillId="6" borderId="8" xfId="0" applyFont="1" applyFill="1" applyBorder="1" applyAlignment="1">
      <alignment horizontal="left"/>
    </xf>
    <xf numFmtId="0" fontId="0" fillId="6" borderId="7" xfId="0" applyFont="1" applyFill="1" applyBorder="1" applyAlignment="1">
      <alignment horizontal="left"/>
    </xf>
    <xf numFmtId="0" fontId="0" fillId="6" borderId="0" xfId="0" applyFont="1" applyFill="1" applyBorder="1" applyAlignment="1">
      <alignment horizontal="left"/>
    </xf>
    <xf numFmtId="4" fontId="0" fillId="6" borderId="5" xfId="2" applyNumberFormat="1" applyFont="1" applyFill="1" applyBorder="1" applyAlignment="1">
      <alignment horizontal="center"/>
    </xf>
    <xf numFmtId="4" fontId="0" fillId="6" borderId="8" xfId="2" applyNumberFormat="1" applyFont="1" applyFill="1" applyBorder="1" applyAlignment="1">
      <alignment horizontal="center"/>
    </xf>
    <xf numFmtId="4" fontId="33" fillId="6" borderId="8" xfId="2" applyNumberFormat="1" applyFont="1" applyFill="1" applyBorder="1" applyAlignment="1">
      <alignment horizontal="center" wrapText="1"/>
    </xf>
    <xf numFmtId="4" fontId="6" fillId="6" borderId="8" xfId="3" applyNumberFormat="1" applyFont="1" applyFill="1" applyBorder="1" applyAlignment="1">
      <alignment horizontal="center"/>
    </xf>
    <xf numFmtId="4" fontId="0" fillId="6" borderId="7" xfId="2" applyNumberFormat="1" applyFont="1" applyFill="1" applyBorder="1" applyAlignment="1">
      <alignment horizontal="center"/>
    </xf>
    <xf numFmtId="164" fontId="0" fillId="6" borderId="5" xfId="2" applyNumberFormat="1" applyFont="1" applyFill="1" applyBorder="1" applyAlignment="1">
      <alignment horizontal="center"/>
    </xf>
    <xf numFmtId="164" fontId="0" fillId="6" borderId="7" xfId="2" applyNumberFormat="1" applyFont="1" applyFill="1" applyBorder="1" applyAlignment="1">
      <alignment horizontal="center"/>
    </xf>
    <xf numFmtId="10" fontId="0" fillId="6" borderId="5" xfId="2" applyNumberFormat="1" applyFont="1" applyFill="1" applyBorder="1" applyAlignment="1">
      <alignment horizontal="center"/>
    </xf>
    <xf numFmtId="10" fontId="0" fillId="6" borderId="8" xfId="2" applyNumberFormat="1" applyFont="1" applyFill="1" applyBorder="1" applyAlignment="1">
      <alignment horizontal="center"/>
    </xf>
    <xf numFmtId="10" fontId="6" fillId="6" borderId="8" xfId="3" applyNumberFormat="1" applyFont="1" applyFill="1" applyBorder="1" applyAlignment="1">
      <alignment horizontal="center"/>
    </xf>
    <xf numFmtId="10" fontId="0" fillId="6" borderId="7" xfId="2" applyNumberFormat="1" applyFont="1" applyFill="1" applyBorder="1" applyAlignment="1">
      <alignment horizontal="center"/>
    </xf>
    <xf numFmtId="10" fontId="8" fillId="6" borderId="7" xfId="2" applyNumberFormat="1" applyFont="1" applyFill="1" applyBorder="1" applyAlignment="1">
      <alignment horizontal="center"/>
    </xf>
    <xf numFmtId="10" fontId="8" fillId="6" borderId="8" xfId="2" applyNumberFormat="1" applyFont="1" applyFill="1" applyBorder="1" applyAlignment="1">
      <alignment horizontal="center"/>
    </xf>
    <xf numFmtId="164" fontId="8" fillId="6" borderId="7" xfId="2" applyNumberFormat="1" applyFont="1" applyFill="1" applyBorder="1" applyAlignment="1">
      <alignment horizontal="center"/>
    </xf>
    <xf numFmtId="164" fontId="8" fillId="6" borderId="8" xfId="2" applyNumberFormat="1" applyFont="1" applyFill="1" applyBorder="1" applyAlignment="1">
      <alignment horizontal="center"/>
    </xf>
    <xf numFmtId="0" fontId="7" fillId="6" borderId="1" xfId="0" applyFont="1" applyFill="1" applyBorder="1" applyAlignment="1">
      <alignment horizontal="center" vertical="center" wrapText="1"/>
    </xf>
    <xf numFmtId="164" fontId="1" fillId="6" borderId="7" xfId="2" applyNumberFormat="1" applyFont="1" applyFill="1" applyBorder="1" applyAlignment="1">
      <alignment horizontal="center"/>
    </xf>
    <xf numFmtId="164" fontId="1" fillId="6" borderId="8" xfId="2" applyNumberFormat="1" applyFont="1" applyFill="1" applyBorder="1" applyAlignment="1">
      <alignment horizontal="center"/>
    </xf>
    <xf numFmtId="0" fontId="5" fillId="6" borderId="0" xfId="0" applyFont="1" applyFill="1" applyBorder="1" applyAlignment="1">
      <alignment horizontal="right"/>
    </xf>
    <xf numFmtId="2" fontId="6" fillId="6" borderId="1" xfId="1" applyNumberFormat="1" applyFont="1" applyFill="1" applyBorder="1" applyAlignment="1">
      <alignment horizontal="center" vertical="center" wrapText="1"/>
    </xf>
    <xf numFmtId="0" fontId="6" fillId="6" borderId="4" xfId="0" applyFont="1" applyFill="1" applyBorder="1" applyAlignment="1">
      <alignment horizontal="center" vertical="center" wrapText="1"/>
    </xf>
    <xf numFmtId="1" fontId="6" fillId="6" borderId="1" xfId="3" applyNumberFormat="1" applyFont="1" applyFill="1" applyBorder="1" applyAlignment="1">
      <alignment horizontal="center" vertical="center"/>
    </xf>
    <xf numFmtId="1" fontId="6" fillId="6" borderId="1" xfId="3" applyNumberFormat="1" applyFont="1" applyFill="1" applyBorder="1" applyAlignment="1">
      <alignment horizontal="center"/>
    </xf>
    <xf numFmtId="168" fontId="6" fillId="6" borderId="1" xfId="3" quotePrefix="1" applyNumberFormat="1" applyFont="1" applyFill="1" applyBorder="1" applyAlignment="1">
      <alignment horizontal="center" vertical="center"/>
    </xf>
    <xf numFmtId="10" fontId="6" fillId="6" borderId="1" xfId="3" quotePrefix="1" applyNumberFormat="1" applyFont="1" applyFill="1" applyBorder="1" applyAlignment="1">
      <alignment horizontal="center" vertical="center"/>
    </xf>
    <xf numFmtId="39" fontId="5" fillId="6" borderId="1" xfId="0" applyNumberFormat="1" applyFont="1" applyFill="1" applyBorder="1" applyAlignment="1" applyProtection="1">
      <alignment horizontal="left" vertical="center" wrapText="1"/>
      <protection hidden="1"/>
    </xf>
    <xf numFmtId="9" fontId="6" fillId="6" borderId="1" xfId="3" applyFont="1" applyFill="1" applyBorder="1" applyAlignment="1">
      <alignment horizontal="left" vertical="center"/>
    </xf>
    <xf numFmtId="0" fontId="6" fillId="6" borderId="1" xfId="0" applyFont="1" applyFill="1" applyBorder="1" applyAlignment="1">
      <alignment horizontal="left" vertical="center"/>
    </xf>
    <xf numFmtId="0" fontId="6" fillId="6" borderId="0" xfId="0" applyFont="1" applyFill="1" applyBorder="1" applyAlignment="1">
      <alignment horizontal="left" vertical="center"/>
    </xf>
    <xf numFmtId="0" fontId="6" fillId="4" borderId="1" xfId="0" applyFont="1" applyFill="1" applyBorder="1" applyAlignment="1">
      <alignment horizontal="left" vertical="center" wrapText="1"/>
    </xf>
    <xf numFmtId="0" fontId="6" fillId="6" borderId="0" xfId="0" applyFont="1" applyFill="1" applyAlignment="1">
      <alignment horizontal="left" vertical="center"/>
    </xf>
    <xf numFmtId="49" fontId="5" fillId="6" borderId="0" xfId="0" applyNumberFormat="1" applyFont="1" applyFill="1" applyBorder="1" applyAlignment="1">
      <alignment horizontal="left"/>
    </xf>
    <xf numFmtId="164" fontId="37" fillId="6" borderId="1" xfId="0" applyNumberFormat="1" applyFont="1" applyFill="1" applyBorder="1" applyAlignment="1">
      <alignment horizontal="center" vertical="center"/>
    </xf>
    <xf numFmtId="10" fontId="7" fillId="6" borderId="0" xfId="3" applyNumberFormat="1" applyFont="1" applyFill="1" applyAlignment="1">
      <alignment horizontal="center" vertical="center"/>
    </xf>
    <xf numFmtId="10" fontId="2" fillId="6" borderId="0" xfId="3" applyNumberFormat="1" applyFont="1" applyFill="1" applyAlignment="1">
      <alignment horizontal="center" vertical="center"/>
    </xf>
    <xf numFmtId="164" fontId="6" fillId="6" borderId="5" xfId="2" applyNumberFormat="1" applyFont="1" applyFill="1" applyBorder="1" applyAlignment="1">
      <alignment horizontal="center"/>
    </xf>
    <xf numFmtId="164" fontId="6" fillId="6" borderId="8" xfId="2" applyNumberFormat="1" applyFont="1" applyFill="1" applyBorder="1" applyAlignment="1">
      <alignment horizontal="center"/>
    </xf>
    <xf numFmtId="164" fontId="5" fillId="6" borderId="7" xfId="2" applyNumberFormat="1" applyFont="1" applyFill="1" applyBorder="1" applyAlignment="1">
      <alignment horizontal="center"/>
    </xf>
    <xf numFmtId="164" fontId="5" fillId="6" borderId="8" xfId="2" applyNumberFormat="1" applyFont="1" applyFill="1" applyBorder="1" applyAlignment="1">
      <alignment horizontal="center"/>
    </xf>
    <xf numFmtId="164" fontId="5" fillId="6" borderId="0" xfId="2" applyNumberFormat="1" applyFont="1" applyFill="1" applyBorder="1" applyAlignment="1">
      <alignment horizontal="center"/>
    </xf>
    <xf numFmtId="2" fontId="14" fillId="6" borderId="1" xfId="1" applyNumberFormat="1" applyFont="1" applyFill="1" applyBorder="1" applyAlignment="1">
      <alignment horizontal="left"/>
    </xf>
    <xf numFmtId="164" fontId="14" fillId="6" borderId="1" xfId="2" applyNumberFormat="1" applyFont="1" applyFill="1" applyBorder="1" applyAlignment="1">
      <alignment horizontal="left" vertical="center"/>
    </xf>
    <xf numFmtId="164" fontId="14" fillId="6" borderId="1" xfId="2" applyNumberFormat="1" applyFont="1" applyFill="1" applyBorder="1" applyAlignment="1">
      <alignment horizontal="left"/>
    </xf>
    <xf numFmtId="164" fontId="14" fillId="6" borderId="0" xfId="2" applyNumberFormat="1" applyFont="1" applyFill="1" applyBorder="1" applyAlignment="1">
      <alignment horizontal="left"/>
    </xf>
    <xf numFmtId="10" fontId="31" fillId="6" borderId="1" xfId="3" quotePrefix="1" applyNumberFormat="1" applyFont="1" applyFill="1" applyBorder="1" applyAlignment="1">
      <alignment horizontal="center" vertical="center"/>
    </xf>
    <xf numFmtId="1" fontId="31" fillId="6" borderId="1" xfId="0" applyNumberFormat="1" applyFont="1" applyFill="1" applyBorder="1" applyAlignment="1">
      <alignment horizontal="center" vertical="center" wrapText="1"/>
    </xf>
    <xf numFmtId="3" fontId="31" fillId="6" borderId="5" xfId="0" applyNumberFormat="1" applyFont="1" applyFill="1" applyBorder="1" applyAlignment="1">
      <alignment horizontal="center" vertical="center"/>
    </xf>
    <xf numFmtId="44" fontId="31" fillId="6" borderId="1" xfId="2" applyFont="1" applyFill="1" applyBorder="1" applyAlignment="1">
      <alignment horizontal="center" vertical="center"/>
    </xf>
    <xf numFmtId="0" fontId="31" fillId="6" borderId="1" xfId="2" applyNumberFormat="1" applyFont="1" applyFill="1" applyBorder="1" applyAlignment="1">
      <alignment horizontal="center" vertical="center"/>
    </xf>
    <xf numFmtId="0" fontId="37" fillId="6" borderId="1" xfId="0" applyNumberFormat="1" applyFont="1" applyFill="1" applyBorder="1" applyAlignment="1">
      <alignment horizontal="center" vertical="center"/>
    </xf>
    <xf numFmtId="0" fontId="37" fillId="6" borderId="8" xfId="0" applyFont="1" applyFill="1" applyBorder="1" applyAlignment="1">
      <alignment horizontal="center" vertical="center" wrapText="1"/>
    </xf>
    <xf numFmtId="49" fontId="37" fillId="6" borderId="1" xfId="0" applyNumberFormat="1"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37" fillId="6" borderId="1" xfId="0" applyFont="1" applyFill="1" applyBorder="1" applyAlignment="1">
      <alignment horizontal="left" vertical="center" wrapText="1"/>
    </xf>
    <xf numFmtId="164" fontId="37" fillId="6" borderId="4" xfId="0" applyNumberFormat="1" applyFont="1" applyFill="1" applyBorder="1" applyAlignment="1">
      <alignment horizontal="center" vertical="center" wrapText="1"/>
    </xf>
    <xf numFmtId="166" fontId="37" fillId="6" borderId="4" xfId="0" applyNumberFormat="1" applyFont="1" applyFill="1" applyBorder="1" applyAlignment="1">
      <alignment horizontal="center" vertical="center" wrapText="1"/>
    </xf>
    <xf numFmtId="8" fontId="37" fillId="6" borderId="4" xfId="0" applyNumberFormat="1" applyFont="1" applyFill="1" applyBorder="1" applyAlignment="1">
      <alignment horizontal="center" vertical="center" wrapText="1"/>
    </xf>
    <xf numFmtId="1" fontId="37" fillId="6" borderId="1" xfId="0" applyNumberFormat="1" applyFont="1" applyFill="1" applyBorder="1" applyAlignment="1">
      <alignment horizontal="center" vertical="center" wrapText="1"/>
    </xf>
    <xf numFmtId="49" fontId="37" fillId="6" borderId="1" xfId="0" applyNumberFormat="1" applyFont="1" applyFill="1" applyBorder="1" applyAlignment="1">
      <alignment horizontal="left" vertical="center"/>
    </xf>
    <xf numFmtId="168" fontId="37" fillId="6" borderId="1" xfId="3" applyNumberFormat="1" applyFont="1" applyFill="1" applyBorder="1" applyAlignment="1">
      <alignment horizontal="center" vertical="center"/>
    </xf>
    <xf numFmtId="9" fontId="37" fillId="6" borderId="1" xfId="3" applyFont="1" applyFill="1" applyBorder="1" applyAlignment="1">
      <alignment horizontal="center" vertical="center"/>
    </xf>
    <xf numFmtId="166" fontId="37" fillId="6" borderId="1" xfId="0" applyNumberFormat="1" applyFont="1" applyFill="1" applyBorder="1" applyAlignment="1">
      <alignment horizontal="center" vertical="center"/>
    </xf>
    <xf numFmtId="10" fontId="37" fillId="6" borderId="1" xfId="3" applyNumberFormat="1" applyFont="1" applyFill="1" applyBorder="1" applyAlignment="1">
      <alignment horizontal="center" vertical="center"/>
    </xf>
    <xf numFmtId="0" fontId="37" fillId="6" borderId="1" xfId="0" applyFont="1" applyFill="1" applyBorder="1" applyAlignment="1">
      <alignment horizontal="center" vertical="center"/>
    </xf>
    <xf numFmtId="168" fontId="37" fillId="6" borderId="11" xfId="3" applyNumberFormat="1" applyFont="1" applyFill="1" applyBorder="1" applyAlignment="1">
      <alignment horizontal="center" vertical="center"/>
    </xf>
    <xf numFmtId="164" fontId="37" fillId="6" borderId="8" xfId="1" applyNumberFormat="1" applyFont="1" applyFill="1" applyBorder="1" applyAlignment="1">
      <alignment horizontal="center" vertical="center" wrapText="1"/>
    </xf>
    <xf numFmtId="164" fontId="37" fillId="6" borderId="4" xfId="0" applyNumberFormat="1" applyFont="1" applyFill="1" applyBorder="1" applyAlignment="1">
      <alignment horizontal="center" vertical="center"/>
    </xf>
    <xf numFmtId="164" fontId="37" fillId="6" borderId="11" xfId="0" applyNumberFormat="1" applyFont="1" applyFill="1" applyBorder="1" applyAlignment="1">
      <alignment horizontal="center" vertical="center"/>
    </xf>
    <xf numFmtId="164" fontId="37" fillId="6" borderId="5" xfId="0" applyNumberFormat="1" applyFont="1" applyFill="1" applyBorder="1" applyAlignment="1">
      <alignment horizontal="center" vertical="center"/>
    </xf>
    <xf numFmtId="3" fontId="37" fillId="6" borderId="8" xfId="0" applyNumberFormat="1" applyFont="1" applyFill="1" applyBorder="1" applyAlignment="1">
      <alignment horizontal="center" vertical="center"/>
    </xf>
    <xf numFmtId="4" fontId="37" fillId="6" borderId="1" xfId="0" applyNumberFormat="1" applyFont="1" applyFill="1" applyBorder="1" applyAlignment="1">
      <alignment horizontal="center" vertical="center"/>
    </xf>
    <xf numFmtId="9" fontId="37" fillId="6" borderId="0" xfId="3" applyFont="1" applyFill="1" applyAlignment="1">
      <alignment horizontal="center" vertical="center"/>
    </xf>
    <xf numFmtId="44" fontId="37" fillId="6" borderId="1" xfId="2" applyFont="1" applyFill="1" applyBorder="1" applyAlignment="1">
      <alignment horizontal="center" vertical="center"/>
    </xf>
    <xf numFmtId="0" fontId="37" fillId="6" borderId="1" xfId="2" applyNumberFormat="1" applyFont="1" applyFill="1" applyBorder="1" applyAlignment="1">
      <alignment horizontal="center" vertical="center"/>
    </xf>
    <xf numFmtId="0" fontId="37" fillId="6" borderId="0" xfId="0" applyFont="1" applyFill="1" applyAlignment="1">
      <alignment horizontal="center" vertical="center"/>
    </xf>
    <xf numFmtId="44" fontId="6" fillId="6" borderId="1" xfId="2" applyFont="1" applyFill="1" applyBorder="1" applyAlignment="1">
      <alignment horizontal="center" vertical="center"/>
    </xf>
    <xf numFmtId="0" fontId="6" fillId="6" borderId="1" xfId="2" applyNumberFormat="1" applyFont="1" applyFill="1" applyBorder="1" applyAlignment="1">
      <alignment horizontal="center" vertical="center"/>
    </xf>
    <xf numFmtId="165" fontId="38" fillId="6" borderId="1" xfId="1" quotePrefix="1" applyNumberFormat="1" applyFont="1" applyFill="1" applyBorder="1" applyAlignment="1">
      <alignment horizontal="center" vertical="center" wrapText="1"/>
    </xf>
    <xf numFmtId="165" fontId="5" fillId="6" borderId="1" xfId="1" quotePrefix="1" applyNumberFormat="1" applyFont="1" applyFill="1" applyBorder="1" applyAlignment="1">
      <alignment horizontal="center" vertical="center" wrapText="1"/>
    </xf>
    <xf numFmtId="0" fontId="32" fillId="4" borderId="1" xfId="0" applyFont="1" applyFill="1" applyBorder="1" applyAlignment="1">
      <alignment horizontal="left" vertical="center" wrapText="1"/>
    </xf>
    <xf numFmtId="0" fontId="40" fillId="6" borderId="9" xfId="0" applyFont="1" applyFill="1" applyBorder="1" applyAlignment="1">
      <alignment horizontal="center" vertical="center" wrapText="1"/>
    </xf>
    <xf numFmtId="10" fontId="5" fillId="2" borderId="15" xfId="3" applyNumberFormat="1" applyFont="1" applyFill="1" applyBorder="1" applyAlignment="1">
      <alignment horizontal="center"/>
    </xf>
    <xf numFmtId="164" fontId="37" fillId="4" borderId="4" xfId="0" applyNumberFormat="1" applyFont="1" applyFill="1" applyBorder="1" applyAlignment="1">
      <alignment horizontal="center" vertical="center" wrapText="1"/>
    </xf>
    <xf numFmtId="168" fontId="37" fillId="4" borderId="1" xfId="3" applyNumberFormat="1" applyFont="1" applyFill="1" applyBorder="1" applyAlignment="1">
      <alignment horizontal="center" vertical="center"/>
    </xf>
    <xf numFmtId="164" fontId="37" fillId="4" borderId="1" xfId="0" applyNumberFormat="1" applyFont="1" applyFill="1" applyBorder="1" applyAlignment="1">
      <alignment horizontal="center" vertical="center"/>
    </xf>
    <xf numFmtId="164" fontId="6" fillId="10" borderId="19" xfId="0" applyNumberFormat="1" applyFont="1" applyFill="1" applyBorder="1" applyAlignment="1">
      <alignment horizontal="center" vertical="center"/>
    </xf>
    <xf numFmtId="0" fontId="42" fillId="4" borderId="1" xfId="0" applyFont="1" applyFill="1" applyBorder="1" applyAlignment="1">
      <alignment horizontal="center" vertical="center"/>
    </xf>
    <xf numFmtId="0" fontId="41" fillId="13" borderId="1" xfId="0" applyFont="1" applyFill="1" applyBorder="1" applyAlignment="1">
      <alignment horizontal="center" vertical="center" wrapText="1" readingOrder="1"/>
    </xf>
    <xf numFmtId="0" fontId="41" fillId="18" borderId="1" xfId="0" applyFont="1" applyFill="1" applyBorder="1" applyAlignment="1">
      <alignment horizontal="center" vertical="center" wrapText="1" readingOrder="1"/>
    </xf>
    <xf numFmtId="0" fontId="41" fillId="19" borderId="1" xfId="0" applyFont="1" applyFill="1" applyBorder="1" applyAlignment="1">
      <alignment horizontal="center" vertical="center" wrapText="1" readingOrder="1"/>
    </xf>
    <xf numFmtId="0" fontId="5" fillId="10" borderId="6" xfId="0" applyFont="1" applyFill="1" applyBorder="1" applyAlignment="1">
      <alignment horizontal="center" vertical="center"/>
    </xf>
    <xf numFmtId="0" fontId="5" fillId="10" borderId="7" xfId="0" applyFont="1" applyFill="1" applyBorder="1" applyAlignment="1">
      <alignment horizontal="center" vertical="center"/>
    </xf>
    <xf numFmtId="0" fontId="6" fillId="10" borderId="16" xfId="0" applyFont="1" applyFill="1" applyBorder="1" applyAlignment="1">
      <alignment horizontal="center"/>
    </xf>
    <xf numFmtId="0" fontId="6" fillId="10" borderId="17" xfId="0" applyFont="1" applyFill="1" applyBorder="1" applyAlignment="1">
      <alignment horizontal="center"/>
    </xf>
    <xf numFmtId="2" fontId="6" fillId="6" borderId="11" xfId="1" applyNumberFormat="1" applyFont="1" applyFill="1" applyBorder="1" applyAlignment="1">
      <alignment horizontal="center" vertical="center" wrapText="1"/>
    </xf>
    <xf numFmtId="2" fontId="6" fillId="6" borderId="8" xfId="1" applyNumberFormat="1" applyFont="1" applyFill="1" applyBorder="1" applyAlignment="1">
      <alignment horizontal="center" vertical="center" wrapText="1"/>
    </xf>
    <xf numFmtId="0" fontId="43" fillId="6" borderId="1" xfId="0" applyFont="1" applyFill="1" applyBorder="1" applyAlignment="1">
      <alignment horizontal="center" vertical="center" wrapText="1" readingOrder="1"/>
    </xf>
    <xf numFmtId="0" fontId="8" fillId="4" borderId="1" xfId="0" applyFont="1" applyFill="1" applyBorder="1" applyAlignment="1">
      <alignment horizontal="center" vertical="center" wrapText="1"/>
    </xf>
    <xf numFmtId="0" fontId="9" fillId="2" borderId="1" xfId="0" applyFont="1" applyFill="1" applyBorder="1" applyAlignment="1">
      <alignment horizontal="left"/>
    </xf>
    <xf numFmtId="0" fontId="9" fillId="0" borderId="1" xfId="0" applyFont="1" applyBorder="1" applyAlignment="1">
      <alignment horizontal="center" wrapText="1"/>
    </xf>
    <xf numFmtId="0" fontId="9" fillId="7" borderId="11" xfId="0" applyFont="1" applyFill="1" applyBorder="1" applyAlignment="1">
      <alignment horizontal="left" wrapText="1"/>
    </xf>
    <xf numFmtId="0" fontId="9" fillId="7" borderId="8" xfId="0" applyFont="1" applyFill="1" applyBorder="1" applyAlignment="1">
      <alignment horizontal="left" wrapText="1"/>
    </xf>
    <xf numFmtId="0" fontId="9" fillId="7" borderId="11" xfId="0" applyFont="1" applyFill="1" applyBorder="1" applyAlignment="1">
      <alignment horizontal="center" wrapText="1"/>
    </xf>
    <xf numFmtId="0" fontId="9" fillId="7" borderId="8" xfId="0" applyFont="1" applyFill="1" applyBorder="1" applyAlignment="1">
      <alignment horizontal="center" wrapText="1"/>
    </xf>
    <xf numFmtId="0" fontId="9" fillId="7" borderId="4" xfId="0" applyFont="1" applyFill="1" applyBorder="1" applyAlignment="1">
      <alignment horizontal="center" wrapText="1"/>
    </xf>
    <xf numFmtId="0" fontId="10" fillId="0" borderId="1" xfId="0" applyFont="1" applyBorder="1" applyAlignment="1">
      <alignment horizontal="left" wrapText="1"/>
    </xf>
    <xf numFmtId="0" fontId="22" fillId="0" borderId="1" xfId="0" applyFont="1" applyBorder="1" applyAlignment="1">
      <alignment horizontal="left" wrapText="1"/>
    </xf>
    <xf numFmtId="0" fontId="10" fillId="0" borderId="4" xfId="0" applyFont="1" applyBorder="1" applyAlignment="1">
      <alignment horizontal="left" wrapText="1"/>
    </xf>
    <xf numFmtId="0" fontId="9" fillId="7" borderId="1" xfId="0" applyFont="1" applyFill="1" applyBorder="1" applyAlignment="1">
      <alignment horizontal="center" wrapText="1"/>
    </xf>
    <xf numFmtId="0" fontId="10" fillId="8" borderId="1" xfId="0" applyFont="1" applyFill="1" applyBorder="1" applyAlignment="1">
      <alignment horizontal="center"/>
    </xf>
    <xf numFmtId="0" fontId="18"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9" fillId="6" borderId="5" xfId="0" applyFont="1" applyFill="1" applyBorder="1" applyAlignment="1">
      <alignment horizontal="center" vertical="center" wrapText="1"/>
    </xf>
    <xf numFmtId="164" fontId="6" fillId="6" borderId="1" xfId="0" applyNumberFormat="1" applyFont="1" applyFill="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FF99CC"/>
      <color rgb="FF99FF66"/>
      <color rgb="FFFFCCFF"/>
      <color rgb="FFFF66FF"/>
      <color rgb="FFCCFFFF"/>
      <color rgb="FFFF99FF"/>
      <color rgb="FF99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lamb/Downloads/New%20IP%20Base%20Rate%20Methdology%2010.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FT Base Rate Meth 1"/>
      <sheetName val="Stakeholder Review 1"/>
      <sheetName val="DRAFT Base Rate Meth 2"/>
      <sheetName val="possible Quality measure"/>
      <sheetName val="How Ceiling-Floor Works"/>
      <sheetName val="Start on SPA language"/>
      <sheetName val="Final Rule Fed Rate"/>
      <sheetName val="3 Yr Avg Discharges"/>
      <sheetName val="Public Option Sheet"/>
      <sheetName val="Hospital Prov IDs"/>
    </sheetNames>
    <sheetDataSet>
      <sheetData sheetId="0"/>
      <sheetData sheetId="1"/>
      <sheetData sheetId="2"/>
      <sheetData sheetId="3"/>
      <sheetData sheetId="4"/>
      <sheetData sheetId="5"/>
      <sheetData sheetId="6"/>
      <sheetData sheetId="7"/>
      <sheetData sheetId="8">
        <row r="9">
          <cell r="A9">
            <v>60001</v>
          </cell>
          <cell r="B9" t="str">
            <v>North Colorado Medical Center</v>
          </cell>
          <cell r="C9">
            <v>81.500561479999988</v>
          </cell>
          <cell r="D9">
            <v>8010.6140325319802</v>
          </cell>
          <cell r="E9">
            <v>81.500561479999988</v>
          </cell>
          <cell r="F9">
            <v>6267.2741099999994</v>
          </cell>
          <cell r="G9">
            <v>305.04000000000002</v>
          </cell>
          <cell r="H9">
            <v>19034</v>
          </cell>
          <cell r="I9"/>
          <cell r="J9" t="str">
            <v>X</v>
          </cell>
          <cell r="K9" t="str">
            <v/>
          </cell>
          <cell r="L9">
            <v>0</v>
          </cell>
          <cell r="M9">
            <v>0</v>
          </cell>
          <cell r="N9">
            <v>378</v>
          </cell>
          <cell r="O9">
            <v>4</v>
          </cell>
          <cell r="P9">
            <v>21992.666666666668</v>
          </cell>
          <cell r="Q9">
            <v>0</v>
          </cell>
          <cell r="R9">
            <v>0</v>
          </cell>
          <cell r="S9" t="str">
            <v>Banner</v>
          </cell>
          <cell r="T9">
            <v>0.77855169700000004</v>
          </cell>
          <cell r="U9">
            <v>16484.120595579665</v>
          </cell>
          <cell r="V9">
            <v>11375.470719555335</v>
          </cell>
          <cell r="W9">
            <v>730.23509277999995</v>
          </cell>
          <cell r="X9">
            <v>1934.8759045879999</v>
          </cell>
          <cell r="Y9">
            <v>7967.6670888210001</v>
          </cell>
          <cell r="Z9">
            <v>12981733</v>
          </cell>
          <cell r="AA9">
            <v>1259.3429779623509</v>
          </cell>
          <cell r="AB9" t="str">
            <v>N</v>
          </cell>
          <cell r="AC9" t="str">
            <v>N</v>
          </cell>
          <cell r="AD9">
            <v>0</v>
          </cell>
          <cell r="AE9">
            <v>0</v>
          </cell>
          <cell r="AF9">
            <v>6.4456216025641042E-2</v>
          </cell>
          <cell r="AG9">
            <v>0</v>
          </cell>
          <cell r="AH9">
            <v>7.031879227220786E-3</v>
          </cell>
          <cell r="AI9">
            <v>4.1398651560616527E-2</v>
          </cell>
          <cell r="AJ9">
            <v>0</v>
          </cell>
          <cell r="AK9">
            <v>0</v>
          </cell>
          <cell r="AL9">
            <v>1.7128867468134785</v>
          </cell>
          <cell r="AM9">
            <v>3.37</v>
          </cell>
          <cell r="AN9">
            <v>1.6571132531865216</v>
          </cell>
          <cell r="AO9">
            <v>362539385.33333331</v>
          </cell>
          <cell r="AP9">
            <v>12015376.404759238</v>
          </cell>
          <cell r="AQ9">
            <v>30038441.011898097</v>
          </cell>
        </row>
        <row r="10">
          <cell r="A10">
            <v>60003</v>
          </cell>
          <cell r="B10" t="str">
            <v>Longmont United Hospital</v>
          </cell>
          <cell r="C10">
            <v>82.047556040000003</v>
          </cell>
          <cell r="D10">
            <v>7414.4200800776198</v>
          </cell>
          <cell r="E10">
            <v>82.047556040000003</v>
          </cell>
          <cell r="F10">
            <v>6311.6160300000001</v>
          </cell>
          <cell r="G10">
            <v>309.8</v>
          </cell>
          <cell r="H10">
            <v>18499</v>
          </cell>
          <cell r="I10"/>
          <cell r="J10" t="str">
            <v>X</v>
          </cell>
          <cell r="K10" t="str">
            <v/>
          </cell>
          <cell r="L10">
            <v>0</v>
          </cell>
          <cell r="M10">
            <v>0</v>
          </cell>
          <cell r="N10">
            <v>186</v>
          </cell>
          <cell r="O10">
            <v>3</v>
          </cell>
          <cell r="P10">
            <v>12513.333333333334</v>
          </cell>
          <cell r="Q10">
            <v>0</v>
          </cell>
          <cell r="R10">
            <v>0</v>
          </cell>
          <cell r="S10" t="str">
            <v>Centura-CHI</v>
          </cell>
          <cell r="T10">
            <v>0.74819182866666667</v>
          </cell>
          <cell r="U10">
            <v>13726.300952605001</v>
          </cell>
          <cell r="V10">
            <v>12198.431551913332</v>
          </cell>
          <cell r="W10">
            <v>2274.7972443980002</v>
          </cell>
          <cell r="X10">
            <v>1306.7667875760001</v>
          </cell>
          <cell r="Y10">
            <v>7939.3308624990004</v>
          </cell>
          <cell r="Z10">
            <v>-11868985</v>
          </cell>
          <cell r="AA10">
            <v>-365.54840170484812</v>
          </cell>
          <cell r="AB10" t="str">
            <v>N</v>
          </cell>
          <cell r="AC10" t="str">
            <v>N</v>
          </cell>
          <cell r="AD10">
            <v>0</v>
          </cell>
          <cell r="AE10">
            <v>0</v>
          </cell>
          <cell r="AF10">
            <v>4.4994761965811952E-2</v>
          </cell>
          <cell r="AG10">
            <v>2.4224600427647576E-2</v>
          </cell>
          <cell r="AH10">
            <v>0</v>
          </cell>
          <cell r="AI10">
            <v>0.1</v>
          </cell>
          <cell r="AJ10">
            <v>0</v>
          </cell>
          <cell r="AK10">
            <v>0</v>
          </cell>
          <cell r="AL10">
            <v>1.7692193623934596</v>
          </cell>
          <cell r="AM10">
            <v>3.32</v>
          </cell>
          <cell r="AN10">
            <v>1.5507806376065403</v>
          </cell>
          <cell r="AO10">
            <v>171734480.66666666</v>
          </cell>
          <cell r="AP10">
            <v>5326450.1485456275</v>
          </cell>
          <cell r="AQ10">
            <v>13316125.37136407</v>
          </cell>
        </row>
        <row r="11">
          <cell r="A11">
            <v>60004</v>
          </cell>
          <cell r="B11" t="str">
            <v>Platte Valley Medical Center</v>
          </cell>
          <cell r="C11">
            <v>81.500561479999988</v>
          </cell>
          <cell r="D11">
            <v>7827.230276664066</v>
          </cell>
          <cell r="E11">
            <v>81.500561479999988</v>
          </cell>
          <cell r="F11">
            <v>6267.2741099999994</v>
          </cell>
          <cell r="G11">
            <v>347.59</v>
          </cell>
          <cell r="H11">
            <v>16861</v>
          </cell>
          <cell r="I11"/>
          <cell r="J11" t="str">
            <v>X</v>
          </cell>
          <cell r="K11" t="str">
            <v/>
          </cell>
          <cell r="L11">
            <v>0</v>
          </cell>
          <cell r="M11">
            <v>0</v>
          </cell>
          <cell r="N11">
            <v>98</v>
          </cell>
          <cell r="O11">
            <v>2</v>
          </cell>
          <cell r="P11">
            <v>8652</v>
          </cell>
          <cell r="Q11">
            <v>0</v>
          </cell>
          <cell r="R11">
            <v>0</v>
          </cell>
          <cell r="S11" t="str">
            <v>SCL</v>
          </cell>
          <cell r="T11">
            <v>0.65446793366666667</v>
          </cell>
          <cell r="U11">
            <v>12617.878225741</v>
          </cell>
          <cell r="V11">
            <v>11354.295151352666</v>
          </cell>
          <cell r="W11">
            <v>2642.4699032069998</v>
          </cell>
          <cell r="X11">
            <v>1098.3993003630001</v>
          </cell>
          <cell r="Y11">
            <v>6710.7332166329998</v>
          </cell>
          <cell r="Z11">
            <v>-11365542</v>
          </cell>
          <cell r="AA11">
            <v>2705.689281861612</v>
          </cell>
          <cell r="AB11" t="str">
            <v>N</v>
          </cell>
          <cell r="AC11" t="str">
            <v>N</v>
          </cell>
          <cell r="AD11">
            <v>0</v>
          </cell>
          <cell r="AE11">
            <v>0</v>
          </cell>
          <cell r="AF11">
            <v>0</v>
          </cell>
          <cell r="AG11">
            <v>3.8418770319618385E-2</v>
          </cell>
          <cell r="AH11">
            <v>7.391091580107448E-3</v>
          </cell>
          <cell r="AI11">
            <v>0</v>
          </cell>
          <cell r="AJ11">
            <v>0</v>
          </cell>
          <cell r="AK11">
            <v>0</v>
          </cell>
          <cell r="AL11">
            <v>1.6458098618997259</v>
          </cell>
          <cell r="AM11">
            <v>3.68</v>
          </cell>
          <cell r="AN11">
            <v>2.034190138100274</v>
          </cell>
          <cell r="AO11">
            <v>109504871</v>
          </cell>
          <cell r="AP11">
            <v>4455074.5732428543</v>
          </cell>
          <cell r="AQ11">
            <v>11137686.433107136</v>
          </cell>
        </row>
        <row r="12">
          <cell r="A12">
            <v>60009</v>
          </cell>
          <cell r="B12" t="str">
            <v>Lutheran Medical Center</v>
          </cell>
          <cell r="C12">
            <v>81.500561479999988</v>
          </cell>
          <cell r="D12">
            <v>7592.5584253870584</v>
          </cell>
          <cell r="E12">
            <v>81.500561479999988</v>
          </cell>
          <cell r="F12">
            <v>6267.2741099999994</v>
          </cell>
          <cell r="G12">
            <v>272.7</v>
          </cell>
          <cell r="H12">
            <v>15169</v>
          </cell>
          <cell r="I12"/>
          <cell r="J12" t="str">
            <v>X</v>
          </cell>
          <cell r="K12" t="str">
            <v/>
          </cell>
          <cell r="L12">
            <v>0</v>
          </cell>
          <cell r="M12">
            <v>0</v>
          </cell>
          <cell r="N12">
            <v>338</v>
          </cell>
          <cell r="O12">
            <v>4</v>
          </cell>
          <cell r="P12">
            <v>31005.666666666668</v>
          </cell>
          <cell r="Q12">
            <v>0</v>
          </cell>
          <cell r="R12">
            <v>0</v>
          </cell>
          <cell r="S12" t="str">
            <v>SCL</v>
          </cell>
          <cell r="T12">
            <v>0.73551546200000006</v>
          </cell>
          <cell r="U12">
            <v>12050.810073303668</v>
          </cell>
          <cell r="V12">
            <v>9976.8324750456668</v>
          </cell>
          <cell r="W12">
            <v>1847.196595915</v>
          </cell>
          <cell r="X12">
            <v>911.93718957299996</v>
          </cell>
          <cell r="Y12">
            <v>6291.2413526</v>
          </cell>
          <cell r="Z12">
            <v>8963373</v>
          </cell>
          <cell r="AA12">
            <v>1165.8680026231764</v>
          </cell>
          <cell r="AB12" t="str">
            <v>N</v>
          </cell>
          <cell r="AC12" t="str">
            <v>N</v>
          </cell>
          <cell r="AD12">
            <v>0</v>
          </cell>
          <cell r="AE12">
            <v>0</v>
          </cell>
          <cell r="AF12">
            <v>3.6868885897435914E-2</v>
          </cell>
          <cell r="AG12">
            <v>4.5680495923886955E-2</v>
          </cell>
          <cell r="AH12">
            <v>3.075771882874187E-2</v>
          </cell>
          <cell r="AI12">
            <v>4.5748347946804269E-2</v>
          </cell>
          <cell r="AJ12">
            <v>0</v>
          </cell>
          <cell r="AK12">
            <v>0</v>
          </cell>
          <cell r="AL12">
            <v>1.759055448596869</v>
          </cell>
          <cell r="AM12">
            <v>2.84</v>
          </cell>
          <cell r="AN12">
            <v>1.0809445514031308</v>
          </cell>
          <cell r="AO12">
            <v>373526059.66666669</v>
          </cell>
          <cell r="AP12">
            <v>8075219.1800752822</v>
          </cell>
          <cell r="AQ12">
            <v>20188047.950188205</v>
          </cell>
        </row>
        <row r="13">
          <cell r="A13">
            <v>60010</v>
          </cell>
          <cell r="B13" t="str">
            <v>Poudre Valley Hospital</v>
          </cell>
          <cell r="C13">
            <v>81.256367479999994</v>
          </cell>
          <cell r="D13">
            <v>7265.7608301059881</v>
          </cell>
          <cell r="E13">
            <v>81.256367479999994</v>
          </cell>
          <cell r="F13">
            <v>6248.5376609999994</v>
          </cell>
          <cell r="G13">
            <v>454.2</v>
          </cell>
          <cell r="H13">
            <v>22292</v>
          </cell>
          <cell r="I13"/>
          <cell r="J13" t="str">
            <v>X</v>
          </cell>
          <cell r="K13" t="str">
            <v/>
          </cell>
          <cell r="L13">
            <v>0</v>
          </cell>
          <cell r="M13">
            <v>0</v>
          </cell>
          <cell r="N13">
            <v>255</v>
          </cell>
          <cell r="O13">
            <v>3</v>
          </cell>
          <cell r="P13">
            <v>36362.666666666664</v>
          </cell>
          <cell r="Q13">
            <v>0</v>
          </cell>
          <cell r="R13">
            <v>0</v>
          </cell>
          <cell r="S13" t="str">
            <v>UCHealth</v>
          </cell>
          <cell r="T13">
            <v>0.64977991533333335</v>
          </cell>
          <cell r="U13">
            <v>14600.234413381333</v>
          </cell>
          <cell r="V13">
            <v>10302.995597764666</v>
          </cell>
          <cell r="W13">
            <v>3176.873041288</v>
          </cell>
          <cell r="X13">
            <v>745.21649952999996</v>
          </cell>
          <cell r="Y13">
            <v>6437.2826279709998</v>
          </cell>
          <cell r="Z13">
            <v>98773275</v>
          </cell>
          <cell r="AA13">
            <v>3655.8183668231159</v>
          </cell>
          <cell r="AB13" t="str">
            <v>N</v>
          </cell>
          <cell r="AC13" t="str">
            <v>N</v>
          </cell>
          <cell r="AD13">
            <v>0</v>
          </cell>
          <cell r="AE13">
            <v>0</v>
          </cell>
          <cell r="AF13">
            <v>0</v>
          </cell>
          <cell r="AG13">
            <v>1.3033238399521925E-2</v>
          </cell>
          <cell r="AH13">
            <v>2.5224841428928488E-2</v>
          </cell>
          <cell r="AI13">
            <v>0</v>
          </cell>
          <cell r="AJ13">
            <v>0</v>
          </cell>
          <cell r="AK13">
            <v>0</v>
          </cell>
          <cell r="AL13">
            <v>1.6382580798284505</v>
          </cell>
          <cell r="AM13">
            <v>4.3</v>
          </cell>
          <cell r="AN13">
            <v>2.6617419201715493</v>
          </cell>
          <cell r="AO13">
            <v>531208610</v>
          </cell>
          <cell r="AP13">
            <v>28278804.511861198</v>
          </cell>
          <cell r="AQ13">
            <v>70697011.279652998</v>
          </cell>
        </row>
        <row r="14">
          <cell r="A14">
            <v>60014</v>
          </cell>
          <cell r="B14" t="str">
            <v>Presbyterian/St. Luke's Medical Center</v>
          </cell>
          <cell r="C14">
            <v>81.500561479999988</v>
          </cell>
          <cell r="D14">
            <v>7789.6042084644996</v>
          </cell>
          <cell r="E14">
            <v>81.500561479999988</v>
          </cell>
          <cell r="F14">
            <v>6267.2741099999994</v>
          </cell>
          <cell r="G14">
            <v>243.32</v>
          </cell>
          <cell r="H14">
            <v>21234</v>
          </cell>
          <cell r="I14"/>
          <cell r="J14" t="str">
            <v>X</v>
          </cell>
          <cell r="K14" t="str">
            <v/>
          </cell>
          <cell r="L14">
            <v>0</v>
          </cell>
          <cell r="M14">
            <v>0</v>
          </cell>
          <cell r="N14">
            <v>680</v>
          </cell>
          <cell r="O14">
            <v>5</v>
          </cell>
          <cell r="P14">
            <v>15423.333333333334</v>
          </cell>
          <cell r="Q14">
            <v>0</v>
          </cell>
          <cell r="R14">
            <v>0</v>
          </cell>
          <cell r="S14" t="str">
            <v>HealthONE</v>
          </cell>
          <cell r="T14">
            <v>0.63863509466666668</v>
          </cell>
          <cell r="U14">
            <v>31764.981540732002</v>
          </cell>
          <cell r="V14">
            <v>21805.777984386332</v>
          </cell>
          <cell r="W14">
            <v>2698.1922684400001</v>
          </cell>
          <cell r="X14">
            <v>2940.7123599669999</v>
          </cell>
          <cell r="Y14">
            <v>16990.886747016</v>
          </cell>
          <cell r="Z14">
            <v>201706718</v>
          </cell>
          <cell r="AA14">
            <v>11241.615885022693</v>
          </cell>
          <cell r="AB14" t="str">
            <v>N</v>
          </cell>
          <cell r="AC14" t="str">
            <v>N</v>
          </cell>
          <cell r="AD14">
            <v>0</v>
          </cell>
          <cell r="AE14">
            <v>0</v>
          </cell>
          <cell r="AF14">
            <v>0</v>
          </cell>
          <cell r="AG14">
            <v>0</v>
          </cell>
          <cell r="AH14">
            <v>0</v>
          </cell>
          <cell r="AI14">
            <v>0</v>
          </cell>
          <cell r="AJ14">
            <v>0</v>
          </cell>
          <cell r="AK14">
            <v>0</v>
          </cell>
          <cell r="AL14">
            <v>1.6</v>
          </cell>
          <cell r="AM14">
            <v>2.57</v>
          </cell>
          <cell r="AN14">
            <v>0.96999999999999975</v>
          </cell>
          <cell r="AO14">
            <v>490080772.66666669</v>
          </cell>
          <cell r="AP14">
            <v>9507566.9897333309</v>
          </cell>
          <cell r="AQ14">
            <v>23768917.474333331</v>
          </cell>
        </row>
        <row r="15">
          <cell r="A15">
            <v>60015</v>
          </cell>
          <cell r="B15" t="str">
            <v>St. Anthony Hospital</v>
          </cell>
          <cell r="C15">
            <v>81.500561479999988</v>
          </cell>
          <cell r="D15">
            <v>7327.3296496888388</v>
          </cell>
          <cell r="E15">
            <v>81.500561479999988</v>
          </cell>
          <cell r="F15">
            <v>6267.2741099999994</v>
          </cell>
          <cell r="G15">
            <v>377.9</v>
          </cell>
          <cell r="H15">
            <v>28860</v>
          </cell>
          <cell r="I15"/>
          <cell r="J15" t="str">
            <v>X</v>
          </cell>
          <cell r="K15" t="str">
            <v/>
          </cell>
          <cell r="L15">
            <v>0</v>
          </cell>
          <cell r="M15">
            <v>0</v>
          </cell>
          <cell r="N15">
            <v>237</v>
          </cell>
          <cell r="O15">
            <v>3</v>
          </cell>
          <cell r="P15">
            <v>20810</v>
          </cell>
          <cell r="Q15">
            <v>0</v>
          </cell>
          <cell r="R15">
            <v>0</v>
          </cell>
          <cell r="S15" t="str">
            <v>Centura-CHI</v>
          </cell>
          <cell r="T15">
            <v>0.70443530399999998</v>
          </cell>
          <cell r="U15">
            <v>19727.883984057666</v>
          </cell>
          <cell r="V15">
            <v>15504.160637773</v>
          </cell>
          <cell r="W15">
            <v>1978.0792011349999</v>
          </cell>
          <cell r="X15">
            <v>1311.2665653229999</v>
          </cell>
          <cell r="Y15">
            <v>11535.554251961999</v>
          </cell>
          <cell r="Z15">
            <v>31117067</v>
          </cell>
          <cell r="AA15">
            <v>2056.7324523466282</v>
          </cell>
          <cell r="AB15" t="str">
            <v>N</v>
          </cell>
          <cell r="AC15" t="str">
            <v>N</v>
          </cell>
          <cell r="AD15">
            <v>0</v>
          </cell>
          <cell r="AE15">
            <v>0</v>
          </cell>
          <cell r="AF15">
            <v>1.6945707692307656E-2</v>
          </cell>
          <cell r="AG15">
            <v>0</v>
          </cell>
          <cell r="AH15">
            <v>0</v>
          </cell>
          <cell r="AI15">
            <v>4.2935108261224677E-3</v>
          </cell>
          <cell r="AJ15">
            <v>0</v>
          </cell>
          <cell r="AK15">
            <v>0</v>
          </cell>
          <cell r="AL15">
            <v>1.6212392185184301</v>
          </cell>
          <cell r="AM15">
            <v>4.3</v>
          </cell>
          <cell r="AN15">
            <v>2.6787607814815697</v>
          </cell>
          <cell r="AO15">
            <v>410366415.66666669</v>
          </cell>
          <cell r="AP15">
            <v>21985469.206500616</v>
          </cell>
          <cell r="AQ15">
            <v>54963673.016251542</v>
          </cell>
        </row>
        <row r="16">
          <cell r="A16">
            <v>60023</v>
          </cell>
          <cell r="B16" t="str">
            <v>St. Mary's Hospital &amp; Medical Center, Inc.</v>
          </cell>
          <cell r="C16">
            <v>87.287101345079989</v>
          </cell>
          <cell r="D16">
            <v>7626.295150992959</v>
          </cell>
          <cell r="E16">
            <v>81.500561479999988</v>
          </cell>
          <cell r="F16">
            <v>6267.2741099999994</v>
          </cell>
          <cell r="G16">
            <v>353.69</v>
          </cell>
          <cell r="H16">
            <v>21227</v>
          </cell>
          <cell r="I16"/>
          <cell r="J16" t="str">
            <v>X</v>
          </cell>
          <cell r="K16" t="str">
            <v/>
          </cell>
          <cell r="L16">
            <v>0</v>
          </cell>
          <cell r="M16">
            <v>0</v>
          </cell>
          <cell r="N16">
            <v>346</v>
          </cell>
          <cell r="O16">
            <v>4</v>
          </cell>
          <cell r="P16">
            <v>22965.333333333332</v>
          </cell>
          <cell r="Q16">
            <v>0</v>
          </cell>
          <cell r="R16">
            <v>0</v>
          </cell>
          <cell r="S16" t="str">
            <v>SCL</v>
          </cell>
          <cell r="T16">
            <v>0.75027228433333326</v>
          </cell>
          <cell r="U16">
            <v>19630.970356626665</v>
          </cell>
          <cell r="V16">
            <v>13485.657063585333</v>
          </cell>
          <cell r="W16">
            <v>973.68013715899997</v>
          </cell>
          <cell r="X16">
            <v>1626.663480599</v>
          </cell>
          <cell r="Y16">
            <v>8543.0819567769995</v>
          </cell>
          <cell r="Z16">
            <v>9051650</v>
          </cell>
          <cell r="AA16">
            <v>2273.5784080352996</v>
          </cell>
          <cell r="AB16" t="str">
            <v>N</v>
          </cell>
          <cell r="AC16" t="str">
            <v>N</v>
          </cell>
          <cell r="AD16">
            <v>0</v>
          </cell>
          <cell r="AE16">
            <v>0</v>
          </cell>
          <cell r="AF16">
            <v>4.6328387393162328E-2</v>
          </cell>
          <cell r="AG16">
            <v>0</v>
          </cell>
          <cell r="AH16">
            <v>0</v>
          </cell>
          <cell r="AI16">
            <v>0</v>
          </cell>
          <cell r="AJ16">
            <v>0</v>
          </cell>
          <cell r="AK16">
            <v>0</v>
          </cell>
          <cell r="AL16">
            <v>1.6463283873931625</v>
          </cell>
          <cell r="AM16">
            <v>3.22</v>
          </cell>
          <cell r="AN16">
            <v>1.5736716126068377</v>
          </cell>
          <cell r="AO16">
            <v>450331699.66666669</v>
          </cell>
          <cell r="AP16">
            <v>14173484.24044843</v>
          </cell>
          <cell r="AQ16">
            <v>35433710.601121075</v>
          </cell>
        </row>
        <row r="17">
          <cell r="A17">
            <v>60024</v>
          </cell>
          <cell r="B17" t="str">
            <v>University of Colorado Hospital</v>
          </cell>
          <cell r="C17">
            <v>81.500561479999988</v>
          </cell>
          <cell r="D17">
            <v>9084.2463129960579</v>
          </cell>
          <cell r="E17">
            <v>81.500561479999988</v>
          </cell>
          <cell r="F17">
            <v>6267.2741099999994</v>
          </cell>
          <cell r="G17">
            <v>334.14</v>
          </cell>
          <cell r="H17">
            <v>21257</v>
          </cell>
          <cell r="I17"/>
          <cell r="J17" t="str">
            <v>X</v>
          </cell>
          <cell r="K17" t="str">
            <v/>
          </cell>
          <cell r="L17">
            <v>0</v>
          </cell>
          <cell r="M17">
            <v>0</v>
          </cell>
          <cell r="N17">
            <v>673</v>
          </cell>
          <cell r="O17">
            <v>5</v>
          </cell>
          <cell r="P17">
            <v>58213.666666666664</v>
          </cell>
          <cell r="Q17">
            <v>0</v>
          </cell>
          <cell r="R17">
            <v>0</v>
          </cell>
          <cell r="S17" t="str">
            <v>UCHealth</v>
          </cell>
          <cell r="T17">
            <v>0.65811678233333337</v>
          </cell>
          <cell r="U17">
            <v>25183.988533291664</v>
          </cell>
          <cell r="V17">
            <v>17563.331175155003</v>
          </cell>
          <cell r="W17">
            <v>2513.9462203500002</v>
          </cell>
          <cell r="X17">
            <v>1454.0917830400001</v>
          </cell>
          <cell r="Y17">
            <v>13346.040551378999</v>
          </cell>
          <cell r="Z17">
            <v>197042046</v>
          </cell>
          <cell r="AA17">
            <v>5077.3667065580248</v>
          </cell>
          <cell r="AB17" t="str">
            <v>N</v>
          </cell>
          <cell r="AC17" t="str">
            <v>N</v>
          </cell>
          <cell r="AD17">
            <v>0</v>
          </cell>
          <cell r="AE17">
            <v>0</v>
          </cell>
          <cell r="AF17">
            <v>0</v>
          </cell>
          <cell r="AG17">
            <v>0</v>
          </cell>
          <cell r="AH17">
            <v>0</v>
          </cell>
          <cell r="AI17">
            <v>0</v>
          </cell>
          <cell r="AJ17">
            <v>0</v>
          </cell>
          <cell r="AK17">
            <v>0</v>
          </cell>
          <cell r="AL17">
            <v>1.6</v>
          </cell>
          <cell r="AM17">
            <v>2.85</v>
          </cell>
          <cell r="AN17">
            <v>1.25</v>
          </cell>
          <cell r="AO17">
            <v>1468246345.3333333</v>
          </cell>
          <cell r="AP17">
            <v>36706158.633333333</v>
          </cell>
          <cell r="AQ17">
            <v>91765396.583333328</v>
          </cell>
        </row>
        <row r="18">
          <cell r="A18">
            <v>60028</v>
          </cell>
          <cell r="B18" t="str">
            <v>St. Joseph Hospital</v>
          </cell>
          <cell r="C18">
            <v>81.500561479999988</v>
          </cell>
          <cell r="D18">
            <v>10676.151435575337</v>
          </cell>
          <cell r="E18">
            <v>81.500561479999988</v>
          </cell>
          <cell r="F18">
            <v>6267.2741099999994</v>
          </cell>
          <cell r="G18">
            <v>171.69</v>
          </cell>
          <cell r="H18">
            <v>12292</v>
          </cell>
          <cell r="I18"/>
          <cell r="J18" t="str">
            <v>X</v>
          </cell>
          <cell r="K18" t="str">
            <v/>
          </cell>
          <cell r="L18">
            <v>0</v>
          </cell>
          <cell r="M18">
            <v>0</v>
          </cell>
          <cell r="N18">
            <v>400</v>
          </cell>
          <cell r="O18">
            <v>4</v>
          </cell>
          <cell r="P18">
            <v>30636</v>
          </cell>
          <cell r="Q18">
            <v>0</v>
          </cell>
          <cell r="R18">
            <v>0</v>
          </cell>
          <cell r="S18" t="str">
            <v>SCL</v>
          </cell>
          <cell r="T18">
            <v>0.6273419223333333</v>
          </cell>
          <cell r="U18">
            <v>17334.919802833334</v>
          </cell>
          <cell r="V18">
            <v>13430.606360167332</v>
          </cell>
          <cell r="W18">
            <v>2161.0674284689999</v>
          </cell>
          <cell r="X18">
            <v>1627.416417374</v>
          </cell>
          <cell r="Y18">
            <v>8851.432004319</v>
          </cell>
          <cell r="Z18">
            <v>47326811</v>
          </cell>
          <cell r="AA18">
            <v>1756.8565086825956</v>
          </cell>
          <cell r="AB18" t="str">
            <v>N</v>
          </cell>
          <cell r="AC18" t="str">
            <v>N</v>
          </cell>
          <cell r="AD18">
            <v>0</v>
          </cell>
          <cell r="AE18">
            <v>0</v>
          </cell>
          <cell r="AF18">
            <v>0</v>
          </cell>
          <cell r="AG18">
            <v>0</v>
          </cell>
          <cell r="AH18">
            <v>0</v>
          </cell>
          <cell r="AI18">
            <v>1.8247719465677263E-2</v>
          </cell>
          <cell r="AJ18">
            <v>0</v>
          </cell>
          <cell r="AK18">
            <v>0</v>
          </cell>
          <cell r="AL18">
            <v>1.6182477194656772</v>
          </cell>
          <cell r="AM18">
            <v>1.59</v>
          </cell>
          <cell r="AN18">
            <v>-2.8247719465677168E-2</v>
          </cell>
          <cell r="AO18">
            <v>531401268</v>
          </cell>
          <cell r="AP18">
            <v>-300217.47884338262</v>
          </cell>
          <cell r="AQ18">
            <v>-750543.69710845652</v>
          </cell>
        </row>
        <row r="19">
          <cell r="A19">
            <v>60030</v>
          </cell>
          <cell r="B19" t="str">
            <v>McKee Medical Center</v>
          </cell>
          <cell r="C19">
            <v>81.256367479999994</v>
          </cell>
          <cell r="D19">
            <v>7546.3168323282498</v>
          </cell>
          <cell r="E19">
            <v>81.256367479999994</v>
          </cell>
          <cell r="F19">
            <v>6248.5376609999994</v>
          </cell>
          <cell r="G19">
            <v>298.83999999999997</v>
          </cell>
          <cell r="H19">
            <v>13508</v>
          </cell>
          <cell r="I19"/>
          <cell r="J19" t="str">
            <v>X</v>
          </cell>
          <cell r="K19" t="str">
            <v/>
          </cell>
          <cell r="L19">
            <v>0</v>
          </cell>
          <cell r="M19">
            <v>0</v>
          </cell>
          <cell r="N19">
            <v>115</v>
          </cell>
          <cell r="O19">
            <v>3</v>
          </cell>
          <cell r="P19">
            <v>11774.333333333334</v>
          </cell>
          <cell r="Q19">
            <v>0</v>
          </cell>
          <cell r="R19">
            <v>0</v>
          </cell>
          <cell r="S19" t="str">
            <v>Banner</v>
          </cell>
          <cell r="T19">
            <v>0.69542638933333334</v>
          </cell>
          <cell r="U19">
            <v>11937.501746656999</v>
          </cell>
          <cell r="V19">
            <v>8549.6379196790003</v>
          </cell>
          <cell r="W19">
            <v>1051.9531529200001</v>
          </cell>
          <cell r="X19">
            <v>1217.3475193219999</v>
          </cell>
          <cell r="Y19">
            <v>6404.7054254659997</v>
          </cell>
          <cell r="Z19">
            <v>9402707</v>
          </cell>
          <cell r="AA19">
            <v>1283.0829204767431</v>
          </cell>
          <cell r="AB19" t="str">
            <v>N</v>
          </cell>
          <cell r="AC19" t="str">
            <v>N</v>
          </cell>
          <cell r="AD19">
            <v>0</v>
          </cell>
          <cell r="AE19">
            <v>0</v>
          </cell>
          <cell r="AF19">
            <v>1.117076239316237E-2</v>
          </cell>
          <cell r="AG19">
            <v>4.7131492551453463E-2</v>
          </cell>
          <cell r="AH19">
            <v>5.49679742208821E-2</v>
          </cell>
          <cell r="AI19">
            <v>4.0293954375209724E-2</v>
          </cell>
          <cell r="AJ19">
            <v>0</v>
          </cell>
          <cell r="AK19">
            <v>0</v>
          </cell>
          <cell r="AL19">
            <v>1.7535641835407079</v>
          </cell>
          <cell r="AM19">
            <v>3.19</v>
          </cell>
          <cell r="AN19">
            <v>1.4364358164592921</v>
          </cell>
          <cell r="AO19">
            <v>137555932.66666666</v>
          </cell>
          <cell r="AP19">
            <v>3951805.3689772547</v>
          </cell>
          <cell r="AQ19">
            <v>9879513.4224431366</v>
          </cell>
        </row>
        <row r="20">
          <cell r="A20">
            <v>60031</v>
          </cell>
          <cell r="B20" t="str">
            <v>Penrose-St. Francis Health Services</v>
          </cell>
          <cell r="C20">
            <v>81.500561479999988</v>
          </cell>
          <cell r="D20">
            <v>6896.3837702186793</v>
          </cell>
          <cell r="E20">
            <v>81.500561479999988</v>
          </cell>
          <cell r="F20">
            <v>6267.2741099999994</v>
          </cell>
          <cell r="G20">
            <v>188.92</v>
          </cell>
          <cell r="H20">
            <v>13574</v>
          </cell>
          <cell r="I20"/>
          <cell r="J20" t="str">
            <v>X</v>
          </cell>
          <cell r="K20" t="str">
            <v/>
          </cell>
          <cell r="L20">
            <v>0</v>
          </cell>
          <cell r="M20">
            <v>0</v>
          </cell>
          <cell r="N20">
            <v>327</v>
          </cell>
          <cell r="O20">
            <v>4</v>
          </cell>
          <cell r="P20">
            <v>48398.666666666664</v>
          </cell>
          <cell r="Q20">
            <v>0</v>
          </cell>
          <cell r="R20">
            <v>0</v>
          </cell>
          <cell r="S20" t="str">
            <v>Centura-CHI</v>
          </cell>
          <cell r="T20">
            <v>0.66992740400000006</v>
          </cell>
          <cell r="U20">
            <v>11988.797518847668</v>
          </cell>
          <cell r="V20">
            <v>9785.2746082553331</v>
          </cell>
          <cell r="W20">
            <v>1484.3698533199999</v>
          </cell>
          <cell r="X20">
            <v>634.00596621900002</v>
          </cell>
          <cell r="Y20">
            <v>7294.7775494400003</v>
          </cell>
          <cell r="Z20">
            <v>19329941</v>
          </cell>
          <cell r="AA20">
            <v>620.71993030111025</v>
          </cell>
          <cell r="AB20" t="str">
            <v>N</v>
          </cell>
          <cell r="AC20" t="str">
            <v>N</v>
          </cell>
          <cell r="AD20">
            <v>0</v>
          </cell>
          <cell r="AE20">
            <v>0</v>
          </cell>
          <cell r="AF20">
            <v>0</v>
          </cell>
          <cell r="AG20">
            <v>4.6474612385098368E-2</v>
          </cell>
          <cell r="AH20">
            <v>3.40072161449477E-2</v>
          </cell>
          <cell r="AI20">
            <v>7.1115871088826887E-2</v>
          </cell>
          <cell r="AJ20">
            <v>0</v>
          </cell>
          <cell r="AK20">
            <v>0</v>
          </cell>
          <cell r="AL20">
            <v>1.7515976996188731</v>
          </cell>
          <cell r="AM20">
            <v>2.2799999999999998</v>
          </cell>
          <cell r="AN20">
            <v>0.52840230038112668</v>
          </cell>
          <cell r="AO20">
            <v>580627137.33333337</v>
          </cell>
          <cell r="AP20">
            <v>6136094.3006128352</v>
          </cell>
          <cell r="AQ20">
            <v>15340235.751532087</v>
          </cell>
        </row>
        <row r="21">
          <cell r="A21">
            <v>60032</v>
          </cell>
          <cell r="B21" t="str">
            <v>Rose Medical Center</v>
          </cell>
          <cell r="C21">
            <v>81.500561479999988</v>
          </cell>
          <cell r="D21">
            <v>7360.9694737097198</v>
          </cell>
          <cell r="E21">
            <v>81.500561479999988</v>
          </cell>
          <cell r="F21">
            <v>6267.2741099999994</v>
          </cell>
          <cell r="G21">
            <v>283.36</v>
          </cell>
          <cell r="H21">
            <v>15271</v>
          </cell>
          <cell r="I21"/>
          <cell r="J21" t="str">
            <v>X</v>
          </cell>
          <cell r="K21" t="str">
            <v/>
          </cell>
          <cell r="L21">
            <v>0</v>
          </cell>
          <cell r="M21">
            <v>0</v>
          </cell>
          <cell r="N21">
            <v>422</v>
          </cell>
          <cell r="O21">
            <v>4</v>
          </cell>
          <cell r="P21">
            <v>21706.333333333332</v>
          </cell>
          <cell r="Q21">
            <v>0</v>
          </cell>
          <cell r="R21">
            <v>0</v>
          </cell>
          <cell r="S21" t="str">
            <v>HealthONE</v>
          </cell>
          <cell r="T21">
            <v>0.5553769586666667</v>
          </cell>
          <cell r="U21">
            <v>13446.831679823334</v>
          </cell>
          <cell r="V21">
            <v>9275.2786075093336</v>
          </cell>
          <cell r="W21">
            <v>1156.607197193</v>
          </cell>
          <cell r="X21">
            <v>1194.595525445</v>
          </cell>
          <cell r="Y21">
            <v>6942.1023709130004</v>
          </cell>
          <cell r="Z21">
            <v>114288373</v>
          </cell>
          <cell r="AA21">
            <v>4810.6633240682449</v>
          </cell>
          <cell r="AB21" t="str">
            <v>N</v>
          </cell>
          <cell r="AC21" t="str">
            <v>N</v>
          </cell>
          <cell r="AD21">
            <v>0</v>
          </cell>
          <cell r="AE21">
            <v>0</v>
          </cell>
          <cell r="AF21">
            <v>0</v>
          </cell>
          <cell r="AG21">
            <v>2.7803410426132238E-2</v>
          </cell>
          <cell r="AH21">
            <v>4.2658547794582974E-2</v>
          </cell>
          <cell r="AI21">
            <v>0</v>
          </cell>
          <cell r="AJ21">
            <v>0</v>
          </cell>
          <cell r="AK21">
            <v>0</v>
          </cell>
          <cell r="AL21">
            <v>1.6704619582207152</v>
          </cell>
          <cell r="AM21">
            <v>2.67</v>
          </cell>
          <cell r="AN21">
            <v>0.99953804177928474</v>
          </cell>
          <cell r="AO21">
            <v>291824243.66666669</v>
          </cell>
          <cell r="AP21">
            <v>5833788.6611660169</v>
          </cell>
          <cell r="AQ21">
            <v>14584471.652915044</v>
          </cell>
        </row>
        <row r="22">
          <cell r="A22">
            <v>60034</v>
          </cell>
          <cell r="B22" t="str">
            <v>Swedish Medical Center</v>
          </cell>
          <cell r="C22">
            <v>81.500561479999988</v>
          </cell>
          <cell r="D22">
            <v>7410.0334530241998</v>
          </cell>
          <cell r="E22">
            <v>81.500561479999988</v>
          </cell>
          <cell r="F22">
            <v>6267.2741099999994</v>
          </cell>
          <cell r="G22">
            <v>297.88</v>
          </cell>
          <cell r="H22">
            <v>20471</v>
          </cell>
          <cell r="I22"/>
          <cell r="J22" t="str">
            <v>X</v>
          </cell>
          <cell r="K22" t="str">
            <v/>
          </cell>
          <cell r="L22">
            <v>0</v>
          </cell>
          <cell r="M22">
            <v>0</v>
          </cell>
          <cell r="N22">
            <v>408</v>
          </cell>
          <cell r="O22">
            <v>4</v>
          </cell>
          <cell r="P22">
            <v>32056.333333333332</v>
          </cell>
          <cell r="Q22">
            <v>0</v>
          </cell>
          <cell r="R22">
            <v>0</v>
          </cell>
          <cell r="S22" t="str">
            <v>HealthONE</v>
          </cell>
          <cell r="T22">
            <v>0.69598566966666675</v>
          </cell>
          <cell r="U22">
            <v>17317.386257349001</v>
          </cell>
          <cell r="V22">
            <v>11392.563120012666</v>
          </cell>
          <cell r="W22">
            <v>1591.1578254020001</v>
          </cell>
          <cell r="X22">
            <v>1337.859218883</v>
          </cell>
          <cell r="Y22">
            <v>9092.8024430980004</v>
          </cell>
          <cell r="Z22">
            <v>272176550</v>
          </cell>
          <cell r="AA22">
            <v>7769.3051919017562</v>
          </cell>
          <cell r="AB22" t="str">
            <v>N</v>
          </cell>
          <cell r="AC22" t="str">
            <v>N</v>
          </cell>
          <cell r="AD22">
            <v>0</v>
          </cell>
          <cell r="AE22">
            <v>0</v>
          </cell>
          <cell r="AF22">
            <v>1.1529275427350454E-2</v>
          </cell>
          <cell r="AG22">
            <v>0</v>
          </cell>
          <cell r="AH22">
            <v>6.7419318064009109E-3</v>
          </cell>
          <cell r="AI22">
            <v>0</v>
          </cell>
          <cell r="AJ22">
            <v>0</v>
          </cell>
          <cell r="AK22">
            <v>0</v>
          </cell>
          <cell r="AL22">
            <v>1.6182712072337515</v>
          </cell>
          <cell r="AM22">
            <v>3.24</v>
          </cell>
          <cell r="AN22">
            <v>1.6217287927662487</v>
          </cell>
          <cell r="AO22">
            <v>554585490</v>
          </cell>
          <cell r="AP22">
            <v>17987745.143667571</v>
          </cell>
          <cell r="AQ22">
            <v>44969362.859168924</v>
          </cell>
        </row>
        <row r="23">
          <cell r="A23">
            <v>60064</v>
          </cell>
          <cell r="B23" t="str">
            <v>Porter Adventist Hospital</v>
          </cell>
          <cell r="C23">
            <v>81.500561479999988</v>
          </cell>
          <cell r="D23">
            <v>6945.6699667092789</v>
          </cell>
          <cell r="E23">
            <v>81.500561479999988</v>
          </cell>
          <cell r="F23">
            <v>6267.2741099999994</v>
          </cell>
          <cell r="G23">
            <v>202.56</v>
          </cell>
          <cell r="H23">
            <v>16971</v>
          </cell>
          <cell r="I23"/>
          <cell r="J23" t="str">
            <v>X</v>
          </cell>
          <cell r="K23" t="str">
            <v/>
          </cell>
          <cell r="L23">
            <v>0</v>
          </cell>
          <cell r="M23">
            <v>0</v>
          </cell>
          <cell r="N23">
            <v>368</v>
          </cell>
          <cell r="O23">
            <v>4</v>
          </cell>
          <cell r="P23">
            <v>17794.333333333332</v>
          </cell>
          <cell r="Q23">
            <v>0</v>
          </cell>
          <cell r="R23">
            <v>0</v>
          </cell>
          <cell r="S23" t="str">
            <v>Centura-Adventist</v>
          </cell>
          <cell r="T23">
            <v>0.72780071599999996</v>
          </cell>
          <cell r="U23">
            <v>18167.913821923998</v>
          </cell>
          <cell r="V23">
            <v>14000.706989845334</v>
          </cell>
          <cell r="W23">
            <v>1694.751105955</v>
          </cell>
          <cell r="X23">
            <v>1007.01817093</v>
          </cell>
          <cell r="Y23">
            <v>10185.914395942</v>
          </cell>
          <cell r="Z23">
            <v>-6803831</v>
          </cell>
          <cell r="AA23">
            <v>491.39074237116682</v>
          </cell>
          <cell r="AB23" t="str">
            <v>N</v>
          </cell>
          <cell r="AC23" t="str">
            <v>N</v>
          </cell>
          <cell r="AD23">
            <v>0</v>
          </cell>
          <cell r="AE23">
            <v>0</v>
          </cell>
          <cell r="AF23">
            <v>3.1923535897435844E-2</v>
          </cell>
          <cell r="AG23">
            <v>0</v>
          </cell>
          <cell r="AH23">
            <v>0</v>
          </cell>
          <cell r="AI23">
            <v>7.7133981276353347E-2</v>
          </cell>
          <cell r="AJ23">
            <v>0</v>
          </cell>
          <cell r="AK23">
            <v>0</v>
          </cell>
          <cell r="AL23">
            <v>1.7090575171737892</v>
          </cell>
          <cell r="AM23">
            <v>2.5</v>
          </cell>
          <cell r="AN23">
            <v>0.79094248282621082</v>
          </cell>
          <cell r="AO23">
            <v>323285794.33333331</v>
          </cell>
          <cell r="AP23">
            <v>5114009.3766490081</v>
          </cell>
          <cell r="AQ23">
            <v>12785023.441622522</v>
          </cell>
        </row>
        <row r="24">
          <cell r="A24">
            <v>60100</v>
          </cell>
          <cell r="B24" t="str">
            <v>The Medical Center of Aurora</v>
          </cell>
          <cell r="C24">
            <v>81.500561479999988</v>
          </cell>
          <cell r="D24">
            <v>7556.5413708900996</v>
          </cell>
          <cell r="E24">
            <v>81.500561479999988</v>
          </cell>
          <cell r="F24">
            <v>6267.2741099999994</v>
          </cell>
          <cell r="G24">
            <v>465.14</v>
          </cell>
          <cell r="H24">
            <v>18268</v>
          </cell>
          <cell r="I24"/>
          <cell r="J24" t="str">
            <v>X</v>
          </cell>
          <cell r="K24" t="str">
            <v/>
          </cell>
          <cell r="L24">
            <v>0</v>
          </cell>
          <cell r="M24">
            <v>0</v>
          </cell>
          <cell r="N24">
            <v>346</v>
          </cell>
          <cell r="O24">
            <v>4</v>
          </cell>
          <cell r="P24">
            <v>27712.666666666668</v>
          </cell>
          <cell r="Q24">
            <v>0</v>
          </cell>
          <cell r="R24">
            <v>0</v>
          </cell>
          <cell r="S24" t="str">
            <v>HealthONE</v>
          </cell>
          <cell r="T24">
            <v>0.745989185</v>
          </cell>
          <cell r="U24">
            <v>11882.536643163001</v>
          </cell>
          <cell r="V24">
            <v>9401.9090206839992</v>
          </cell>
          <cell r="W24">
            <v>1344.9259158929999</v>
          </cell>
          <cell r="X24">
            <v>963.70840160800003</v>
          </cell>
          <cell r="Y24">
            <v>6757.9473478720001</v>
          </cell>
          <cell r="Z24">
            <v>103437841</v>
          </cell>
          <cell r="AA24">
            <v>3473.9618826529386</v>
          </cell>
          <cell r="AB24" t="str">
            <v>N</v>
          </cell>
          <cell r="AC24" t="str">
            <v>N</v>
          </cell>
          <cell r="AD24">
            <v>0</v>
          </cell>
          <cell r="AE24">
            <v>0</v>
          </cell>
          <cell r="AF24">
            <v>4.3582810897435875E-2</v>
          </cell>
          <cell r="AG24">
            <v>4.7835361209335375E-2</v>
          </cell>
          <cell r="AH24">
            <v>4.051044918262936E-2</v>
          </cell>
          <cell r="AI24">
            <v>0</v>
          </cell>
          <cell r="AJ24">
            <v>0</v>
          </cell>
          <cell r="AK24">
            <v>0</v>
          </cell>
          <cell r="AL24">
            <v>1.7319286212894007</v>
          </cell>
          <cell r="AM24">
            <v>3.85</v>
          </cell>
          <cell r="AN24">
            <v>2.1180713787105994</v>
          </cell>
          <cell r="AO24">
            <v>329362151.33333331</v>
          </cell>
          <cell r="AP24">
            <v>13952250.919393647</v>
          </cell>
          <cell r="AQ24">
            <v>34880627.298484117</v>
          </cell>
        </row>
        <row r="25">
          <cell r="A25">
            <v>60112</v>
          </cell>
          <cell r="B25" t="str">
            <v>Sky Ridge Medical Center</v>
          </cell>
          <cell r="C25">
            <v>81.500561479999988</v>
          </cell>
          <cell r="D25">
            <v>6910.9412525510406</v>
          </cell>
          <cell r="E25">
            <v>81.500561479999988</v>
          </cell>
          <cell r="F25">
            <v>6267.2741099999994</v>
          </cell>
          <cell r="G25">
            <v>253.65</v>
          </cell>
          <cell r="H25">
            <v>13734</v>
          </cell>
          <cell r="I25"/>
          <cell r="J25" t="str">
            <v>X</v>
          </cell>
          <cell r="K25" t="str">
            <v/>
          </cell>
          <cell r="L25">
            <v>0</v>
          </cell>
          <cell r="M25">
            <v>0</v>
          </cell>
          <cell r="N25">
            <v>284</v>
          </cell>
          <cell r="O25">
            <v>3</v>
          </cell>
          <cell r="P25">
            <v>24966.333333333332</v>
          </cell>
          <cell r="Q25">
            <v>0</v>
          </cell>
          <cell r="R25">
            <v>0</v>
          </cell>
          <cell r="S25" t="str">
            <v>HealthONE</v>
          </cell>
          <cell r="T25">
            <v>0.4706215133333333</v>
          </cell>
          <cell r="U25">
            <v>16980.294311366331</v>
          </cell>
          <cell r="V25">
            <v>10433.859456757333</v>
          </cell>
          <cell r="W25">
            <v>1257.176516045</v>
          </cell>
          <cell r="X25">
            <v>1397.6939571630001</v>
          </cell>
          <cell r="Y25">
            <v>6980.5750540830004</v>
          </cell>
          <cell r="Z25">
            <v>197647728</v>
          </cell>
          <cell r="AA25">
            <v>7063.6419444852409</v>
          </cell>
          <cell r="AB25" t="str">
            <v>N</v>
          </cell>
          <cell r="AC25" t="str">
            <v>N</v>
          </cell>
          <cell r="AD25">
            <v>0</v>
          </cell>
          <cell r="AE25">
            <v>0</v>
          </cell>
          <cell r="AF25">
            <v>0</v>
          </cell>
          <cell r="AG25">
            <v>0</v>
          </cell>
          <cell r="AH25">
            <v>2.3004928638552455E-2</v>
          </cell>
          <cell r="AI25">
            <v>0</v>
          </cell>
          <cell r="AJ25">
            <v>0</v>
          </cell>
          <cell r="AK25">
            <v>0</v>
          </cell>
          <cell r="AL25">
            <v>1.6230049286385526</v>
          </cell>
          <cell r="AM25">
            <v>2.5499999999999998</v>
          </cell>
          <cell r="AN25">
            <v>0.92699507136144721</v>
          </cell>
          <cell r="AO25">
            <v>423960103</v>
          </cell>
          <cell r="AP25">
            <v>7860178.5186978308</v>
          </cell>
          <cell r="AQ25">
            <v>19650446.296744578</v>
          </cell>
        </row>
        <row r="26">
          <cell r="A26">
            <v>60113</v>
          </cell>
          <cell r="B26" t="str">
            <v>Littleton Adventist Hospital</v>
          </cell>
          <cell r="C26">
            <v>81.500561479999988</v>
          </cell>
          <cell r="D26">
            <v>6809.2091422177791</v>
          </cell>
          <cell r="E26">
            <v>81.500561479999988</v>
          </cell>
          <cell r="F26">
            <v>6267.2741099999994</v>
          </cell>
          <cell r="G26">
            <v>259.77</v>
          </cell>
          <cell r="H26">
            <v>17303</v>
          </cell>
          <cell r="I26"/>
          <cell r="J26" t="str">
            <v>X</v>
          </cell>
          <cell r="K26" t="str">
            <v/>
          </cell>
          <cell r="L26">
            <v>0</v>
          </cell>
          <cell r="M26">
            <v>0</v>
          </cell>
          <cell r="N26">
            <v>231</v>
          </cell>
          <cell r="O26">
            <v>3</v>
          </cell>
          <cell r="P26">
            <v>19187.666666666668</v>
          </cell>
          <cell r="Q26">
            <v>0</v>
          </cell>
          <cell r="R26">
            <v>0</v>
          </cell>
          <cell r="S26" t="str">
            <v>Centura-Adventist</v>
          </cell>
          <cell r="T26">
            <v>0.61862156433333337</v>
          </cell>
          <cell r="U26">
            <v>14922.488109968666</v>
          </cell>
          <cell r="V26">
            <v>9955.1410639923342</v>
          </cell>
          <cell r="W26">
            <v>1432.2842898189999</v>
          </cell>
          <cell r="X26">
            <v>1131.7856077020001</v>
          </cell>
          <cell r="Y26">
            <v>7217.029414822</v>
          </cell>
          <cell r="Z26">
            <v>18739101</v>
          </cell>
          <cell r="AA26">
            <v>1225.1165505619929</v>
          </cell>
          <cell r="AB26" t="str">
            <v>N</v>
          </cell>
          <cell r="AC26" t="str">
            <v>N</v>
          </cell>
          <cell r="AD26">
            <v>0</v>
          </cell>
          <cell r="AE26">
            <v>0</v>
          </cell>
          <cell r="AF26">
            <v>0</v>
          </cell>
          <cell r="AG26">
            <v>8.9065423233619379E-3</v>
          </cell>
          <cell r="AH26">
            <v>3.1125681696482884E-2</v>
          </cell>
          <cell r="AI26">
            <v>4.2991319192089678E-2</v>
          </cell>
          <cell r="AJ26">
            <v>0</v>
          </cell>
          <cell r="AK26">
            <v>0</v>
          </cell>
          <cell r="AL26">
            <v>1.6830235432119345</v>
          </cell>
          <cell r="AM26">
            <v>3.11</v>
          </cell>
          <cell r="AN26">
            <v>1.4269764567880654</v>
          </cell>
          <cell r="AO26">
            <v>286144592</v>
          </cell>
          <cell r="AP26">
            <v>8166431.9204245321</v>
          </cell>
          <cell r="AQ26">
            <v>20416079.801061332</v>
          </cell>
        </row>
        <row r="27">
          <cell r="A27">
            <v>60114</v>
          </cell>
          <cell r="B27" t="str">
            <v>Parker Adventist Hospital</v>
          </cell>
          <cell r="C27">
            <v>81.500561479999988</v>
          </cell>
          <cell r="D27">
            <v>7085.22165192186</v>
          </cell>
          <cell r="E27">
            <v>81.500561479999988</v>
          </cell>
          <cell r="F27">
            <v>6267.2741099999994</v>
          </cell>
          <cell r="G27">
            <v>331.8</v>
          </cell>
          <cell r="H27">
            <v>17819</v>
          </cell>
          <cell r="I27"/>
          <cell r="J27" t="str">
            <v>X</v>
          </cell>
          <cell r="K27" t="str">
            <v/>
          </cell>
          <cell r="L27">
            <v>0</v>
          </cell>
          <cell r="M27">
            <v>0</v>
          </cell>
          <cell r="N27">
            <v>170</v>
          </cell>
          <cell r="O27">
            <v>3</v>
          </cell>
          <cell r="P27">
            <v>16365.666666666666</v>
          </cell>
          <cell r="Q27">
            <v>0</v>
          </cell>
          <cell r="R27">
            <v>0</v>
          </cell>
          <cell r="S27" t="str">
            <v>Centura-Adventist</v>
          </cell>
          <cell r="T27">
            <v>0.55372102700000003</v>
          </cell>
          <cell r="U27">
            <v>16667.644910790001</v>
          </cell>
          <cell r="V27">
            <v>11025.895434102667</v>
          </cell>
          <cell r="W27">
            <v>1392.030649115</v>
          </cell>
          <cell r="X27">
            <v>1353.6690922529999</v>
          </cell>
          <cell r="Y27">
            <v>7748.2900101490004</v>
          </cell>
          <cell r="Z27">
            <v>40847390</v>
          </cell>
          <cell r="AA27">
            <v>2451.7319184471557</v>
          </cell>
          <cell r="AB27" t="str">
            <v>N</v>
          </cell>
          <cell r="AC27" t="str">
            <v>N</v>
          </cell>
          <cell r="AD27">
            <v>0</v>
          </cell>
          <cell r="AE27">
            <v>0</v>
          </cell>
          <cell r="AF27">
            <v>0</v>
          </cell>
          <cell r="AG27">
            <v>0</v>
          </cell>
          <cell r="AH27">
            <v>1.296190951479784E-2</v>
          </cell>
          <cell r="AI27">
            <v>0</v>
          </cell>
          <cell r="AJ27">
            <v>0</v>
          </cell>
          <cell r="AK27">
            <v>0</v>
          </cell>
          <cell r="AL27">
            <v>1.612961909514798</v>
          </cell>
          <cell r="AM27">
            <v>3.54</v>
          </cell>
          <cell r="AN27">
            <v>1.927038090485202</v>
          </cell>
          <cell r="AO27">
            <v>273417173.66666669</v>
          </cell>
          <cell r="AP27">
            <v>10537706.164969485</v>
          </cell>
          <cell r="AQ27">
            <v>26344265.412423715</v>
          </cell>
        </row>
        <row r="28">
          <cell r="A28">
            <v>60116</v>
          </cell>
          <cell r="B28" t="str">
            <v>Good Samaritan Medical Center</v>
          </cell>
          <cell r="C28">
            <v>82.047556040000003</v>
          </cell>
          <cell r="D28">
            <v>6327.5677799557498</v>
          </cell>
          <cell r="E28">
            <v>82.047556040000003</v>
          </cell>
          <cell r="F28">
            <v>6311.6160300000001</v>
          </cell>
          <cell r="G28">
            <v>116.85</v>
          </cell>
          <cell r="H28">
            <v>10953</v>
          </cell>
          <cell r="I28"/>
          <cell r="J28" t="str">
            <v>X</v>
          </cell>
          <cell r="K28" t="str">
            <v/>
          </cell>
          <cell r="L28">
            <v>0</v>
          </cell>
          <cell r="M28">
            <v>0</v>
          </cell>
          <cell r="N28">
            <v>234</v>
          </cell>
          <cell r="O28">
            <v>3</v>
          </cell>
          <cell r="P28">
            <v>23057.333333333332</v>
          </cell>
          <cell r="Q28">
            <v>0</v>
          </cell>
          <cell r="R28">
            <v>0</v>
          </cell>
          <cell r="S28" t="str">
            <v>SCL</v>
          </cell>
          <cell r="T28">
            <v>0.5966524093333333</v>
          </cell>
          <cell r="U28">
            <v>13249.101164690001</v>
          </cell>
          <cell r="V28">
            <v>10909.631895555334</v>
          </cell>
          <cell r="W28">
            <v>1882.767969497</v>
          </cell>
          <cell r="X28">
            <v>1122.562098552</v>
          </cell>
          <cell r="Y28">
            <v>7318.9956902390004</v>
          </cell>
          <cell r="Z28">
            <v>32721150</v>
          </cell>
          <cell r="AA28">
            <v>1530.7202336205401</v>
          </cell>
          <cell r="AB28" t="str">
            <v>N</v>
          </cell>
          <cell r="AC28" t="str">
            <v>N</v>
          </cell>
          <cell r="AD28">
            <v>0</v>
          </cell>
          <cell r="AE28">
            <v>0</v>
          </cell>
          <cell r="AF28">
            <v>0</v>
          </cell>
          <cell r="AG28">
            <v>3.0335495393904462E-2</v>
          </cell>
          <cell r="AH28">
            <v>1.4934149354447257E-2</v>
          </cell>
          <cell r="AI28">
            <v>2.8770580101417406E-2</v>
          </cell>
          <cell r="AJ28">
            <v>0</v>
          </cell>
          <cell r="AK28">
            <v>0</v>
          </cell>
          <cell r="AL28">
            <v>1.6740402248497692</v>
          </cell>
          <cell r="AM28">
            <v>1.72</v>
          </cell>
          <cell r="AN28">
            <v>4.5959775150230753E-2</v>
          </cell>
          <cell r="AO28">
            <v>305486854</v>
          </cell>
          <cell r="AP28">
            <v>280802.14242382738</v>
          </cell>
          <cell r="AQ28">
            <v>702005.35605956847</v>
          </cell>
        </row>
        <row r="29">
          <cell r="A29">
            <v>60119</v>
          </cell>
          <cell r="B29" t="str">
            <v>Medical Center of the Rockies</v>
          </cell>
          <cell r="C29">
            <v>81.256367479999994</v>
          </cell>
          <cell r="D29">
            <v>6900.7617521176489</v>
          </cell>
          <cell r="E29">
            <v>81.256367479999994</v>
          </cell>
          <cell r="F29">
            <v>6248.5376609999994</v>
          </cell>
          <cell r="G29">
            <v>353.91</v>
          </cell>
          <cell r="H29">
            <v>26522</v>
          </cell>
          <cell r="I29"/>
          <cell r="J29" t="str">
            <v>X</v>
          </cell>
          <cell r="K29" t="str">
            <v/>
          </cell>
          <cell r="L29">
            <v>0</v>
          </cell>
          <cell r="M29">
            <v>0</v>
          </cell>
          <cell r="N29">
            <v>174</v>
          </cell>
          <cell r="O29">
            <v>3</v>
          </cell>
          <cell r="P29">
            <v>21581</v>
          </cell>
          <cell r="Q29">
            <v>0</v>
          </cell>
          <cell r="R29">
            <v>0</v>
          </cell>
          <cell r="S29" t="str">
            <v>UCHealth</v>
          </cell>
          <cell r="T29">
            <v>0.6646197193333333</v>
          </cell>
          <cell r="U29">
            <v>19924.111613406334</v>
          </cell>
          <cell r="V29">
            <v>12570.410849680333</v>
          </cell>
          <cell r="W29">
            <v>1560.2034790079999</v>
          </cell>
          <cell r="X29">
            <v>1139.3171933149999</v>
          </cell>
          <cell r="Y29">
            <v>8276.4322352920008</v>
          </cell>
          <cell r="Z29">
            <v>131133217</v>
          </cell>
          <cell r="AA29">
            <v>3345.1908468869224</v>
          </cell>
          <cell r="AB29" t="str">
            <v>N</v>
          </cell>
          <cell r="AC29" t="str">
            <v>N</v>
          </cell>
          <cell r="AD29">
            <v>0</v>
          </cell>
          <cell r="AE29">
            <v>0</v>
          </cell>
          <cell r="AF29">
            <v>0</v>
          </cell>
          <cell r="AG29">
            <v>0</v>
          </cell>
          <cell r="AH29">
            <v>0</v>
          </cell>
          <cell r="AI29">
            <v>0</v>
          </cell>
          <cell r="AJ29">
            <v>0</v>
          </cell>
          <cell r="AK29">
            <v>0</v>
          </cell>
          <cell r="AL29">
            <v>1.6</v>
          </cell>
          <cell r="AM29">
            <v>4.29</v>
          </cell>
          <cell r="AN29">
            <v>2.69</v>
          </cell>
          <cell r="AO29">
            <v>429294743.66666669</v>
          </cell>
          <cell r="AP29">
            <v>23096057.209266666</v>
          </cell>
          <cell r="AQ29">
            <v>57740143.023166671</v>
          </cell>
        </row>
        <row r="30">
          <cell r="A30">
            <v>60124</v>
          </cell>
          <cell r="B30" t="str">
            <v>OrthoColorado Hospital</v>
          </cell>
          <cell r="C30">
            <v>0</v>
          </cell>
          <cell r="D30">
            <v>0</v>
          </cell>
          <cell r="E30">
            <v>81.500561479999988</v>
          </cell>
          <cell r="F30">
            <v>6267.2741099999994</v>
          </cell>
          <cell r="G30">
            <v>85.56</v>
          </cell>
          <cell r="H30">
            <v>19182</v>
          </cell>
          <cell r="I30"/>
          <cell r="J30" t="str">
            <v>X</v>
          </cell>
          <cell r="K30" t="str">
            <v/>
          </cell>
          <cell r="L30">
            <v>0</v>
          </cell>
          <cell r="M30">
            <v>0</v>
          </cell>
          <cell r="N30">
            <v>48</v>
          </cell>
          <cell r="O30">
            <v>2</v>
          </cell>
          <cell r="P30">
            <v>3238.3333333333335</v>
          </cell>
          <cell r="Q30">
            <v>0</v>
          </cell>
          <cell r="R30">
            <v>1</v>
          </cell>
          <cell r="S30" t="str">
            <v>Centura-CHI</v>
          </cell>
          <cell r="T30">
            <v>0.52377172900000002</v>
          </cell>
          <cell r="U30">
            <v>22762.868346415333</v>
          </cell>
          <cell r="V30">
            <v>16756.655325970332</v>
          </cell>
          <cell r="W30">
            <v>2192.9435797320002</v>
          </cell>
          <cell r="X30">
            <v>2854.197395956</v>
          </cell>
          <cell r="Y30">
            <v>11262.06713707</v>
          </cell>
          <cell r="Z30">
            <v>22423423</v>
          </cell>
          <cell r="AA30">
            <v>5901.7775604734943</v>
          </cell>
          <cell r="AB30" t="str">
            <v>N</v>
          </cell>
          <cell r="AC30" t="str">
            <v>N</v>
          </cell>
          <cell r="AD30">
            <v>0</v>
          </cell>
          <cell r="AE30">
            <v>0</v>
          </cell>
          <cell r="AF30">
            <v>0</v>
          </cell>
          <cell r="AG30">
            <v>0</v>
          </cell>
          <cell r="AH30">
            <v>0</v>
          </cell>
          <cell r="AI30">
            <v>0</v>
          </cell>
          <cell r="AJ30">
            <v>0</v>
          </cell>
          <cell r="AK30">
            <v>0</v>
          </cell>
          <cell r="AL30">
            <v>1.6</v>
          </cell>
          <cell r="AM30">
            <v>2.5</v>
          </cell>
          <cell r="AN30">
            <v>0.89999999999999991</v>
          </cell>
          <cell r="AO30">
            <v>73868646.666666672</v>
          </cell>
          <cell r="AP30">
            <v>1329635.6400000001</v>
          </cell>
          <cell r="AQ30">
            <v>3324089.1</v>
          </cell>
        </row>
        <row r="31">
          <cell r="A31">
            <v>60125</v>
          </cell>
          <cell r="B31" t="str">
            <v>Castle Rock Adventist Hospital</v>
          </cell>
          <cell r="C31">
            <v>81.500561479999988</v>
          </cell>
          <cell r="D31">
            <v>7365.5521200639996</v>
          </cell>
          <cell r="E31">
            <v>81.500561479999988</v>
          </cell>
          <cell r="F31">
            <v>6267.2741099999994</v>
          </cell>
          <cell r="G31">
            <v>301.77999999999997</v>
          </cell>
          <cell r="H31">
            <v>14056</v>
          </cell>
          <cell r="I31"/>
          <cell r="J31" t="str">
            <v>X</v>
          </cell>
          <cell r="K31" t="str">
            <v/>
          </cell>
          <cell r="L31">
            <v>0</v>
          </cell>
          <cell r="M31">
            <v>0</v>
          </cell>
          <cell r="N31">
            <v>55</v>
          </cell>
          <cell r="O31">
            <v>2</v>
          </cell>
          <cell r="P31">
            <v>6937.666666666667</v>
          </cell>
          <cell r="Q31">
            <v>0</v>
          </cell>
          <cell r="R31">
            <v>0</v>
          </cell>
          <cell r="S31" t="str">
            <v>Centura-Adventist</v>
          </cell>
          <cell r="T31">
            <v>0.52134162633333336</v>
          </cell>
          <cell r="U31">
            <v>12592.561075499667</v>
          </cell>
          <cell r="V31">
            <v>10081.689181643333</v>
          </cell>
          <cell r="W31">
            <v>1292.1338835250001</v>
          </cell>
          <cell r="X31">
            <v>1151.054914582</v>
          </cell>
          <cell r="Y31">
            <v>5636.7811563630003</v>
          </cell>
          <cell r="Z31">
            <v>805362</v>
          </cell>
          <cell r="AA31">
            <v>-590.44121462547446</v>
          </cell>
          <cell r="AB31" t="str">
            <v>N</v>
          </cell>
          <cell r="AC31" t="str">
            <v>N</v>
          </cell>
          <cell r="AD31">
            <v>0</v>
          </cell>
          <cell r="AE31">
            <v>0</v>
          </cell>
          <cell r="AF31">
            <v>0</v>
          </cell>
          <cell r="AG31">
            <v>3.8742975086442991E-2</v>
          </cell>
          <cell r="AH31">
            <v>2.8978979106983334E-2</v>
          </cell>
          <cell r="AI31">
            <v>0.1</v>
          </cell>
          <cell r="AJ31">
            <v>0</v>
          </cell>
          <cell r="AK31">
            <v>0</v>
          </cell>
          <cell r="AL31">
            <v>1.7677219541934264</v>
          </cell>
          <cell r="AM31">
            <v>3.02</v>
          </cell>
          <cell r="AN31">
            <v>1.2522780458065736</v>
          </cell>
          <cell r="AO31">
            <v>87427728.666666672</v>
          </cell>
          <cell r="AP31">
            <v>2189676.5040800138</v>
          </cell>
          <cell r="AQ31">
            <v>5474191.2602000348</v>
          </cell>
        </row>
        <row r="32">
          <cell r="A32">
            <v>63301</v>
          </cell>
          <cell r="B32" t="str">
            <v>Children's Hospital Colorado</v>
          </cell>
          <cell r="C32">
            <v>0</v>
          </cell>
          <cell r="D32">
            <v>0</v>
          </cell>
          <cell r="E32">
            <v>81.500561479999988</v>
          </cell>
          <cell r="F32">
            <v>6267.2741099999994</v>
          </cell>
          <cell r="G32">
            <v>0</v>
          </cell>
          <cell r="H32">
            <v>0</v>
          </cell>
          <cell r="I32"/>
          <cell r="J32" t="str">
            <v>X</v>
          </cell>
          <cell r="K32" t="str">
            <v/>
          </cell>
          <cell r="L32">
            <v>0</v>
          </cell>
          <cell r="M32">
            <v>0</v>
          </cell>
          <cell r="N32">
            <v>444</v>
          </cell>
          <cell r="O32">
            <v>4</v>
          </cell>
          <cell r="P32">
            <v>29575.666666666668</v>
          </cell>
          <cell r="Q32">
            <v>0</v>
          </cell>
          <cell r="R32">
            <v>0</v>
          </cell>
          <cell r="S32" t="str">
            <v/>
          </cell>
          <cell r="T32">
            <v>0.51183947966666665</v>
          </cell>
          <cell r="U32">
            <v>31417.465236532666</v>
          </cell>
          <cell r="V32">
            <v>24913.054545882002</v>
          </cell>
          <cell r="W32">
            <v>3104.5542609429999</v>
          </cell>
          <cell r="X32">
            <v>3495.0813523729998</v>
          </cell>
          <cell r="Y32">
            <v>17743.39837295</v>
          </cell>
          <cell r="Z32">
            <v>-56615797</v>
          </cell>
          <cell r="AA32">
            <v>1725.803757593517</v>
          </cell>
          <cell r="AB32" t="str">
            <v>N</v>
          </cell>
          <cell r="AC32" t="str">
            <v>N</v>
          </cell>
          <cell r="AD32">
            <v>1</v>
          </cell>
          <cell r="AE32">
            <v>0.15</v>
          </cell>
          <cell r="AF32">
            <v>0</v>
          </cell>
          <cell r="AG32">
            <v>0</v>
          </cell>
          <cell r="AH32">
            <v>0</v>
          </cell>
          <cell r="AI32">
            <v>1.9692705556374267E-2</v>
          </cell>
          <cell r="AJ32">
            <v>0</v>
          </cell>
          <cell r="AK32">
            <v>0</v>
          </cell>
          <cell r="AL32">
            <v>1.7696927055563743</v>
          </cell>
          <cell r="AM32">
            <v>0</v>
          </cell>
          <cell r="AN32">
            <v>0</v>
          </cell>
          <cell r="AO32">
            <v>926940467.33333337</v>
          </cell>
          <cell r="AP32">
            <v>0</v>
          </cell>
          <cell r="AQ32">
            <v>0</v>
          </cell>
        </row>
        <row r="33">
          <cell r="A33">
            <v>60006</v>
          </cell>
          <cell r="B33" t="str">
            <v>Montrose Memorial Hospital</v>
          </cell>
          <cell r="C33">
            <v>87.025569571079984</v>
          </cell>
          <cell r="D33">
            <v>6843.2646809099597</v>
          </cell>
          <cell r="E33">
            <v>81.256367479999994</v>
          </cell>
          <cell r="F33">
            <v>6248.5376609999994</v>
          </cell>
          <cell r="G33">
            <v>274.36</v>
          </cell>
          <cell r="H33">
            <v>15507</v>
          </cell>
          <cell r="I33"/>
          <cell r="J33" t="str">
            <v>X</v>
          </cell>
          <cell r="K33" t="str">
            <v>HIGH</v>
          </cell>
          <cell r="L33">
            <v>1</v>
          </cell>
          <cell r="M33">
            <v>0</v>
          </cell>
          <cell r="N33">
            <v>75</v>
          </cell>
          <cell r="O33">
            <v>2</v>
          </cell>
          <cell r="P33">
            <v>9330.3333333333339</v>
          </cell>
          <cell r="Q33">
            <v>0</v>
          </cell>
          <cell r="R33">
            <v>0</v>
          </cell>
          <cell r="S33" t="str">
            <v/>
          </cell>
          <cell r="T33">
            <v>0.78110392633333336</v>
          </cell>
          <cell r="U33">
            <v>10560.245089817667</v>
          </cell>
          <cell r="V33">
            <v>8032.5176382829995</v>
          </cell>
          <cell r="W33">
            <v>1869.469546629</v>
          </cell>
          <cell r="X33">
            <v>667.70248714700006</v>
          </cell>
          <cell r="Y33">
            <v>5276.961661845</v>
          </cell>
          <cell r="Z33">
            <v>-6528613</v>
          </cell>
          <cell r="AA33">
            <v>109.37690686292022</v>
          </cell>
          <cell r="AB33" t="str">
            <v>N</v>
          </cell>
          <cell r="AC33" t="str">
            <v>N</v>
          </cell>
          <cell r="AD33">
            <v>1</v>
          </cell>
          <cell r="AE33">
            <v>0.15</v>
          </cell>
          <cell r="AF33">
            <v>6.609226047008547E-2</v>
          </cell>
          <cell r="AG33">
            <v>6.4768279039343499E-2</v>
          </cell>
          <cell r="AH33">
            <v>6.3740158807752342E-2</v>
          </cell>
          <cell r="AI33">
            <v>9.4910334720199163E-2</v>
          </cell>
          <cell r="AJ33">
            <v>0</v>
          </cell>
          <cell r="AK33">
            <v>0</v>
          </cell>
          <cell r="AL33">
            <v>2.0395110330373805</v>
          </cell>
          <cell r="AM33">
            <v>3.08</v>
          </cell>
          <cell r="AN33">
            <v>1.0404889669626196</v>
          </cell>
          <cell r="AO33">
            <v>97808555.333333328</v>
          </cell>
          <cell r="AP33">
            <v>2035374.4539777243</v>
          </cell>
          <cell r="AQ33">
            <v>5088436.1349443113</v>
          </cell>
        </row>
        <row r="34">
          <cell r="A34">
            <v>60013</v>
          </cell>
          <cell r="B34" t="str">
            <v>Mercy Regional Medical Center</v>
          </cell>
          <cell r="C34">
            <v>87.025569571079984</v>
          </cell>
          <cell r="D34">
            <v>8699.3418261680581</v>
          </cell>
          <cell r="E34">
            <v>81.256367479999994</v>
          </cell>
          <cell r="F34">
            <v>6248.5376609999994</v>
          </cell>
          <cell r="G34">
            <v>349.37</v>
          </cell>
          <cell r="H34">
            <v>19349</v>
          </cell>
          <cell r="I34"/>
          <cell r="J34" t="str">
            <v>X</v>
          </cell>
          <cell r="K34" t="str">
            <v>HIGH</v>
          </cell>
          <cell r="L34">
            <v>1</v>
          </cell>
          <cell r="M34">
            <v>0</v>
          </cell>
          <cell r="N34">
            <v>82</v>
          </cell>
          <cell r="O34">
            <v>2</v>
          </cell>
          <cell r="P34">
            <v>11045.333333333334</v>
          </cell>
          <cell r="Q34">
            <v>0</v>
          </cell>
          <cell r="R34">
            <v>0</v>
          </cell>
          <cell r="S34" t="str">
            <v>Centura-CHI</v>
          </cell>
          <cell r="T34">
            <v>0.68672122066666663</v>
          </cell>
          <cell r="U34">
            <v>18301.521517807334</v>
          </cell>
          <cell r="V34">
            <v>11760.827676439332</v>
          </cell>
          <cell r="W34">
            <v>1954.105108408</v>
          </cell>
          <cell r="X34">
            <v>1469.791865808</v>
          </cell>
          <cell r="Y34">
            <v>8327.3890958739994</v>
          </cell>
          <cell r="Z34">
            <v>25022263</v>
          </cell>
          <cell r="AA34">
            <v>1964.9978874939643</v>
          </cell>
          <cell r="AB34" t="str">
            <v>N</v>
          </cell>
          <cell r="AC34" t="str">
            <v>N</v>
          </cell>
          <cell r="AD34">
            <v>0</v>
          </cell>
          <cell r="AE34">
            <v>0</v>
          </cell>
          <cell r="AF34">
            <v>5.5905260683760177E-3</v>
          </cell>
          <cell r="AG34">
            <v>0</v>
          </cell>
          <cell r="AH34">
            <v>4.9486553962116691E-4</v>
          </cell>
          <cell r="AI34">
            <v>8.5622202189872369E-3</v>
          </cell>
          <cell r="AJ34">
            <v>0</v>
          </cell>
          <cell r="AK34">
            <v>0</v>
          </cell>
          <cell r="AL34">
            <v>1.6146476118269846</v>
          </cell>
          <cell r="AM34">
            <v>3.17</v>
          </cell>
          <cell r="AN34">
            <v>1.5553523881730154</v>
          </cell>
          <cell r="AO34">
            <v>202651094.33333334</v>
          </cell>
          <cell r="AP34">
            <v>6303877.2707445007</v>
          </cell>
          <cell r="AQ34">
            <v>15759693.176861251</v>
          </cell>
        </row>
        <row r="35">
          <cell r="A35">
            <v>60049</v>
          </cell>
          <cell r="B35" t="str">
            <v>Yampa Valley Medical Center</v>
          </cell>
          <cell r="C35">
            <v>87.025569571079984</v>
          </cell>
          <cell r="D35">
            <v>10469.31645513669</v>
          </cell>
          <cell r="E35">
            <v>81.256367479999994</v>
          </cell>
          <cell r="F35">
            <v>6248.5376609999994</v>
          </cell>
          <cell r="G35">
            <v>223.47</v>
          </cell>
          <cell r="H35">
            <v>18665</v>
          </cell>
          <cell r="I35"/>
          <cell r="J35" t="str">
            <v>X</v>
          </cell>
          <cell r="K35" t="str">
            <v>HIGH</v>
          </cell>
          <cell r="L35">
            <v>1</v>
          </cell>
          <cell r="M35">
            <v>0</v>
          </cell>
          <cell r="N35">
            <v>39</v>
          </cell>
          <cell r="O35">
            <v>2</v>
          </cell>
          <cell r="P35">
            <v>4650</v>
          </cell>
          <cell r="Q35">
            <v>0</v>
          </cell>
          <cell r="R35">
            <v>1</v>
          </cell>
          <cell r="S35" t="str">
            <v>UCHealth</v>
          </cell>
          <cell r="T35">
            <v>0.52600116266666663</v>
          </cell>
          <cell r="U35">
            <v>20833.969953830667</v>
          </cell>
          <cell r="V35">
            <v>15161.700852863001</v>
          </cell>
          <cell r="W35">
            <v>2687.6087087810001</v>
          </cell>
          <cell r="X35">
            <v>1145.7588477679999</v>
          </cell>
          <cell r="Y35">
            <v>11113.337565562</v>
          </cell>
          <cell r="Z35">
            <v>-5688321</v>
          </cell>
          <cell r="AA35">
            <v>2159.046953405018</v>
          </cell>
          <cell r="AB35" t="str">
            <v>N</v>
          </cell>
          <cell r="AC35" t="str">
            <v>N</v>
          </cell>
          <cell r="AD35">
            <v>0</v>
          </cell>
          <cell r="AE35">
            <v>0</v>
          </cell>
          <cell r="AF35">
            <v>0</v>
          </cell>
          <cell r="AG35">
            <v>0</v>
          </cell>
          <cell r="AH35">
            <v>0</v>
          </cell>
          <cell r="AI35">
            <v>0</v>
          </cell>
          <cell r="AJ35">
            <v>0</v>
          </cell>
          <cell r="AK35">
            <v>0</v>
          </cell>
          <cell r="AL35">
            <v>1.6</v>
          </cell>
          <cell r="AM35">
            <v>2.4300000000000002</v>
          </cell>
          <cell r="AN35">
            <v>0.83000000000000007</v>
          </cell>
          <cell r="AO35">
            <v>96743677.666666672</v>
          </cell>
          <cell r="AP35">
            <v>1605945.0492666669</v>
          </cell>
          <cell r="AQ35">
            <v>4014862.6231666673</v>
          </cell>
        </row>
        <row r="36">
          <cell r="A36">
            <v>60075</v>
          </cell>
          <cell r="B36" t="str">
            <v>Valley View Hospital</v>
          </cell>
          <cell r="C36">
            <v>87.025569571079984</v>
          </cell>
          <cell r="D36">
            <v>10269.917234377037</v>
          </cell>
          <cell r="E36">
            <v>81.256367479999994</v>
          </cell>
          <cell r="F36">
            <v>6248.5376609999994</v>
          </cell>
          <cell r="G36">
            <v>394.49</v>
          </cell>
          <cell r="H36">
            <v>28017</v>
          </cell>
          <cell r="I36"/>
          <cell r="J36" t="str">
            <v>X</v>
          </cell>
          <cell r="K36" t="str">
            <v>HIGH</v>
          </cell>
          <cell r="L36">
            <v>1</v>
          </cell>
          <cell r="M36">
            <v>0</v>
          </cell>
          <cell r="N36">
            <v>78</v>
          </cell>
          <cell r="O36">
            <v>2</v>
          </cell>
          <cell r="P36">
            <v>10095.666666666666</v>
          </cell>
          <cell r="Q36">
            <v>0</v>
          </cell>
          <cell r="R36">
            <v>0</v>
          </cell>
          <cell r="S36" t="str">
            <v/>
          </cell>
          <cell r="T36">
            <v>0.70598402866666665</v>
          </cell>
          <cell r="U36">
            <v>22061.174787364667</v>
          </cell>
          <cell r="V36">
            <v>13118.321127868001</v>
          </cell>
          <cell r="W36">
            <v>2988.8396137169998</v>
          </cell>
          <cell r="X36">
            <v>1914.7197803179999</v>
          </cell>
          <cell r="Y36">
            <v>8860.3685131900002</v>
          </cell>
          <cell r="Z36">
            <v>12604975</v>
          </cell>
          <cell r="AA36">
            <v>1703.0450358239509</v>
          </cell>
          <cell r="AB36" t="str">
            <v>N</v>
          </cell>
          <cell r="AC36" t="str">
            <v>N</v>
          </cell>
          <cell r="AD36">
            <v>1</v>
          </cell>
          <cell r="AE36">
            <v>0.15</v>
          </cell>
          <cell r="AF36">
            <v>1.7938479914529879E-2</v>
          </cell>
          <cell r="AG36">
            <v>0</v>
          </cell>
          <cell r="AH36">
            <v>0</v>
          </cell>
          <cell r="AI36">
            <v>2.0751743330667712E-2</v>
          </cell>
          <cell r="AJ36">
            <v>0</v>
          </cell>
          <cell r="AK36">
            <v>0</v>
          </cell>
          <cell r="AL36">
            <v>1.7886902232451978</v>
          </cell>
          <cell r="AM36">
            <v>3.99</v>
          </cell>
          <cell r="AN36">
            <v>2.2013097767548024</v>
          </cell>
          <cell r="AO36">
            <v>221681261.33333334</v>
          </cell>
          <cell r="AP36">
            <v>9759782.5579280611</v>
          </cell>
          <cell r="AQ36">
            <v>24399456.394820154</v>
          </cell>
        </row>
        <row r="37">
          <cell r="A37">
            <v>60096</v>
          </cell>
          <cell r="B37" t="str">
            <v>Vail Health Hospital</v>
          </cell>
          <cell r="C37">
            <v>87.287101345079989</v>
          </cell>
          <cell r="D37">
            <v>14916.628963061165</v>
          </cell>
          <cell r="E37">
            <v>81.500561479999988</v>
          </cell>
          <cell r="F37">
            <v>6267.2741099999994</v>
          </cell>
          <cell r="G37">
            <v>340.96</v>
          </cell>
          <cell r="H37">
            <v>22216</v>
          </cell>
          <cell r="I37"/>
          <cell r="J37" t="str">
            <v>X</v>
          </cell>
          <cell r="K37" t="str">
            <v>HIGH</v>
          </cell>
          <cell r="L37">
            <v>1</v>
          </cell>
          <cell r="M37">
            <v>0</v>
          </cell>
          <cell r="N37">
            <v>56</v>
          </cell>
          <cell r="O37">
            <v>2</v>
          </cell>
          <cell r="P37">
            <v>5436.666666666667</v>
          </cell>
          <cell r="Q37">
            <v>0</v>
          </cell>
          <cell r="R37">
            <v>0</v>
          </cell>
          <cell r="S37" t="str">
            <v/>
          </cell>
          <cell r="T37">
            <v>0.38611309766666668</v>
          </cell>
          <cell r="U37">
            <v>29085.863839731668</v>
          </cell>
          <cell r="V37">
            <v>21468.465788195666</v>
          </cell>
          <cell r="W37">
            <v>4696.2610959229996</v>
          </cell>
          <cell r="X37">
            <v>3075.81830433</v>
          </cell>
          <cell r="Y37">
            <v>14345.652580335</v>
          </cell>
          <cell r="Z37">
            <v>1856504</v>
          </cell>
          <cell r="AA37">
            <v>10764.239852851011</v>
          </cell>
          <cell r="AB37" t="str">
            <v>N</v>
          </cell>
          <cell r="AC37" t="str">
            <v>N</v>
          </cell>
          <cell r="AD37">
            <v>1</v>
          </cell>
          <cell r="AE37">
            <v>0.15</v>
          </cell>
          <cell r="AF37">
            <v>0</v>
          </cell>
          <cell r="AG37">
            <v>0</v>
          </cell>
          <cell r="AH37">
            <v>0</v>
          </cell>
          <cell r="AI37">
            <v>0</v>
          </cell>
          <cell r="AJ37">
            <v>0</v>
          </cell>
          <cell r="AK37">
            <v>0</v>
          </cell>
          <cell r="AL37">
            <v>1.75</v>
          </cell>
          <cell r="AM37">
            <v>2.37</v>
          </cell>
          <cell r="AN37">
            <v>0.62000000000000011</v>
          </cell>
          <cell r="AO37">
            <v>158164208</v>
          </cell>
          <cell r="AP37">
            <v>1961236.1792000006</v>
          </cell>
          <cell r="AQ37">
            <v>4903090.4480000017</v>
          </cell>
        </row>
        <row r="38">
          <cell r="A38">
            <v>60118</v>
          </cell>
          <cell r="B38" t="str">
            <v>St. Anthony Summit Medical Center</v>
          </cell>
          <cell r="C38">
            <v>81.500561479999988</v>
          </cell>
          <cell r="D38">
            <v>6605.7110697608996</v>
          </cell>
          <cell r="E38">
            <v>81.500561479999988</v>
          </cell>
          <cell r="F38">
            <v>6267.2741099999994</v>
          </cell>
          <cell r="G38">
            <v>529.41999999999996</v>
          </cell>
          <cell r="H38">
            <v>21397</v>
          </cell>
          <cell r="I38"/>
          <cell r="J38" t="str">
            <v>X</v>
          </cell>
          <cell r="K38" t="str">
            <v>HIGH</v>
          </cell>
          <cell r="L38">
            <v>1</v>
          </cell>
          <cell r="M38">
            <v>0</v>
          </cell>
          <cell r="N38">
            <v>35</v>
          </cell>
          <cell r="O38">
            <v>2</v>
          </cell>
          <cell r="P38">
            <v>4540.666666666667</v>
          </cell>
          <cell r="Q38">
            <v>0</v>
          </cell>
          <cell r="R38">
            <v>1</v>
          </cell>
          <cell r="S38" t="str">
            <v>Centura-CHI</v>
          </cell>
          <cell r="T38">
            <v>0.44232488799999997</v>
          </cell>
          <cell r="U38">
            <v>20086.119580768664</v>
          </cell>
          <cell r="V38">
            <v>9450.6830769976659</v>
          </cell>
          <cell r="W38">
            <v>1398.419802547</v>
          </cell>
          <cell r="X38">
            <v>843.09033601199997</v>
          </cell>
          <cell r="Y38">
            <v>5262.0117770420002</v>
          </cell>
          <cell r="Z38">
            <v>31260015</v>
          </cell>
          <cell r="AA38">
            <v>5742.6075466157681</v>
          </cell>
          <cell r="AB38" t="str">
            <v>N</v>
          </cell>
          <cell r="AC38" t="str">
            <v>N</v>
          </cell>
          <cell r="AD38">
            <v>0</v>
          </cell>
          <cell r="AE38">
            <v>0</v>
          </cell>
          <cell r="AF38">
            <v>0</v>
          </cell>
          <cell r="AG38">
            <v>0</v>
          </cell>
          <cell r="AH38">
            <v>3.9683069092490829E-2</v>
          </cell>
          <cell r="AI38">
            <v>0</v>
          </cell>
          <cell r="AJ38">
            <v>0</v>
          </cell>
          <cell r="AK38">
            <v>0</v>
          </cell>
          <cell r="AL38">
            <v>1.6396830690924908</v>
          </cell>
          <cell r="AM38">
            <v>5.03</v>
          </cell>
          <cell r="AN38">
            <v>3.3903169309075096</v>
          </cell>
          <cell r="AO38">
            <v>91207316.333333328</v>
          </cell>
          <cell r="AP38">
            <v>6184434.1757507408</v>
          </cell>
          <cell r="AQ38">
            <v>15461085.439376853</v>
          </cell>
        </row>
        <row r="39">
          <cell r="A39">
            <v>60020</v>
          </cell>
          <cell r="B39" t="str">
            <v>Parkview Medical Center</v>
          </cell>
          <cell r="C39">
            <v>81.256367479999994</v>
          </cell>
          <cell r="D39">
            <v>7249.9209593996784</v>
          </cell>
          <cell r="E39">
            <v>81.256367479999994</v>
          </cell>
          <cell r="F39">
            <v>6248.5376609999994</v>
          </cell>
          <cell r="G39">
            <v>269.98</v>
          </cell>
          <cell r="H39">
            <v>14661</v>
          </cell>
          <cell r="I39"/>
          <cell r="J39"/>
          <cell r="K39" t="str">
            <v/>
          </cell>
          <cell r="L39">
            <v>0</v>
          </cell>
          <cell r="M39">
            <v>0</v>
          </cell>
          <cell r="N39">
            <v>350</v>
          </cell>
          <cell r="O39">
            <v>4</v>
          </cell>
          <cell r="P39">
            <v>29865</v>
          </cell>
          <cell r="Q39">
            <v>0</v>
          </cell>
          <cell r="R39">
            <v>0</v>
          </cell>
          <cell r="S39" t="str">
            <v/>
          </cell>
          <cell r="T39">
            <v>0.81513063966666666</v>
          </cell>
          <cell r="U39">
            <v>10377.792521755999</v>
          </cell>
          <cell r="V39">
            <v>7864.0299004743329</v>
          </cell>
          <cell r="W39">
            <v>983.89998585199999</v>
          </cell>
          <cell r="X39">
            <v>720.89565400499998</v>
          </cell>
          <cell r="Y39">
            <v>6399.8183192670003</v>
          </cell>
          <cell r="Z39">
            <v>32117494</v>
          </cell>
          <cell r="AA39">
            <v>391.34741894078911</v>
          </cell>
          <cell r="AB39" t="str">
            <v>N</v>
          </cell>
          <cell r="AC39" t="str">
            <v>N</v>
          </cell>
          <cell r="AD39">
            <v>1</v>
          </cell>
          <cell r="AE39">
            <v>0.15</v>
          </cell>
          <cell r="AF39">
            <v>8.7904256196581182E-2</v>
          </cell>
          <cell r="AG39">
            <v>6.7104718635471905E-2</v>
          </cell>
          <cell r="AH39">
            <v>6.6598305335465097E-2</v>
          </cell>
          <cell r="AI39">
            <v>8.1789324386189438E-2</v>
          </cell>
          <cell r="AJ39">
            <v>0</v>
          </cell>
          <cell r="AK39">
            <v>0</v>
          </cell>
          <cell r="AL39">
            <v>2.0533966045537078</v>
          </cell>
          <cell r="AM39">
            <v>2.89</v>
          </cell>
          <cell r="AN39">
            <v>0.83660339544629236</v>
          </cell>
          <cell r="AO39">
            <v>310155495.33333331</v>
          </cell>
          <cell r="AP39">
            <v>5189542.8102438664</v>
          </cell>
          <cell r="AQ39">
            <v>12973857.025609666</v>
          </cell>
        </row>
        <row r="40">
          <cell r="A40">
            <v>60027</v>
          </cell>
          <cell r="B40" t="str">
            <v>Boulder Community Health</v>
          </cell>
          <cell r="C40">
            <v>82.047556040000003</v>
          </cell>
          <cell r="D40">
            <v>7532.6085983115308</v>
          </cell>
          <cell r="E40">
            <v>82.047556040000003</v>
          </cell>
          <cell r="F40">
            <v>6311.6160300000001</v>
          </cell>
          <cell r="G40">
            <v>241.79</v>
          </cell>
          <cell r="H40">
            <v>18031</v>
          </cell>
          <cell r="I40"/>
          <cell r="J40"/>
          <cell r="K40" t="str">
            <v/>
          </cell>
          <cell r="L40">
            <v>0</v>
          </cell>
          <cell r="M40">
            <v>0</v>
          </cell>
          <cell r="N40">
            <v>178</v>
          </cell>
          <cell r="O40">
            <v>3</v>
          </cell>
          <cell r="P40">
            <v>21358</v>
          </cell>
          <cell r="Q40">
            <v>0</v>
          </cell>
          <cell r="R40">
            <v>0</v>
          </cell>
          <cell r="S40" t="str">
            <v/>
          </cell>
          <cell r="T40">
            <v>0.59270361299999996</v>
          </cell>
          <cell r="U40">
            <v>14470.434671426665</v>
          </cell>
          <cell r="V40">
            <v>12231.732891621999</v>
          </cell>
          <cell r="W40">
            <v>1571.6378341919999</v>
          </cell>
          <cell r="X40">
            <v>1153.2311907010001</v>
          </cell>
          <cell r="Y40">
            <v>9666.4837402699995</v>
          </cell>
          <cell r="Z40">
            <v>-50526843</v>
          </cell>
          <cell r="AA40">
            <v>321.37349002715609</v>
          </cell>
          <cell r="AB40" t="str">
            <v>N</v>
          </cell>
          <cell r="AC40" t="str">
            <v>N</v>
          </cell>
          <cell r="AD40">
            <v>1</v>
          </cell>
          <cell r="AE40">
            <v>0.15</v>
          </cell>
          <cell r="AF40">
            <v>0</v>
          </cell>
          <cell r="AG40">
            <v>1.4695419753788387E-2</v>
          </cell>
          <cell r="AH40">
            <v>0</v>
          </cell>
          <cell r="AI40">
            <v>8.5045440203482744E-2</v>
          </cell>
          <cell r="AJ40">
            <v>0</v>
          </cell>
          <cell r="AK40">
            <v>0</v>
          </cell>
          <cell r="AL40">
            <v>1.8497408599572713</v>
          </cell>
          <cell r="AM40">
            <v>2.99</v>
          </cell>
          <cell r="AN40">
            <v>1.1402591400427289</v>
          </cell>
          <cell r="AO40">
            <v>308866685.66666669</v>
          </cell>
          <cell r="AP40">
            <v>7043761.2277224241</v>
          </cell>
          <cell r="AQ40">
            <v>17609403.069306061</v>
          </cell>
        </row>
        <row r="41">
          <cell r="A41">
            <v>60011</v>
          </cell>
          <cell r="B41" t="str">
            <v>Denver Health Medical Center</v>
          </cell>
          <cell r="C41">
            <v>81.500561479999988</v>
          </cell>
          <cell r="D41">
            <v>15857.389050911617</v>
          </cell>
          <cell r="E41">
            <v>81.500561479999988</v>
          </cell>
          <cell r="F41">
            <v>6267.2741099999994</v>
          </cell>
          <cell r="G41">
            <v>297.95999999999998</v>
          </cell>
          <cell r="H41">
            <v>17517</v>
          </cell>
          <cell r="I41"/>
          <cell r="J41"/>
          <cell r="K41" t="str">
            <v/>
          </cell>
          <cell r="L41">
            <v>0</v>
          </cell>
          <cell r="M41">
            <v>0</v>
          </cell>
          <cell r="N41">
            <v>555</v>
          </cell>
          <cell r="O41">
            <v>5</v>
          </cell>
          <cell r="P41">
            <v>51687</v>
          </cell>
          <cell r="Q41">
            <v>0</v>
          </cell>
          <cell r="R41">
            <v>0</v>
          </cell>
          <cell r="S41" t="str">
            <v/>
          </cell>
          <cell r="T41">
            <v>0.78493040499999989</v>
          </cell>
          <cell r="U41">
            <v>10059.852372265334</v>
          </cell>
          <cell r="V41">
            <v>11866.999292552</v>
          </cell>
          <cell r="W41">
            <v>1618.938555644</v>
          </cell>
          <cell r="X41">
            <v>862.99848734499994</v>
          </cell>
          <cell r="Y41">
            <v>8950.4369086429997</v>
          </cell>
          <cell r="Z41">
            <v>-685809224</v>
          </cell>
          <cell r="AA41">
            <v>291.17076505375303</v>
          </cell>
          <cell r="AB41" t="str">
            <v>N</v>
          </cell>
          <cell r="AC41" t="str">
            <v>N</v>
          </cell>
          <cell r="AD41">
            <v>1</v>
          </cell>
          <cell r="AE41">
            <v>0.15</v>
          </cell>
          <cell r="AF41">
            <v>6.8545131410256324E-2</v>
          </cell>
          <cell r="AG41">
            <v>7.1176176562103552E-2</v>
          </cell>
          <cell r="AH41">
            <v>0</v>
          </cell>
          <cell r="AI41">
            <v>8.6450871798336298E-2</v>
          </cell>
          <cell r="AJ41">
            <v>0</v>
          </cell>
          <cell r="AK41">
            <v>0</v>
          </cell>
          <cell r="AL41">
            <v>1.9761721797706961</v>
          </cell>
          <cell r="AM41">
            <v>2.38</v>
          </cell>
          <cell r="AN41">
            <v>0.40382782022930375</v>
          </cell>
          <cell r="AO41">
            <v>519991273.33333331</v>
          </cell>
          <cell r="AP41">
            <v>4199738.8489692016</v>
          </cell>
          <cell r="AQ41">
            <v>10499347.122423004</v>
          </cell>
        </row>
        <row r="42">
          <cell r="A42">
            <v>60012</v>
          </cell>
          <cell r="B42" t="str">
            <v>St. Mary-Corwin Medical Center</v>
          </cell>
          <cell r="C42">
            <v>81.256367479999994</v>
          </cell>
          <cell r="D42">
            <v>7497.5136999809192</v>
          </cell>
          <cell r="E42">
            <v>81.256367479999994</v>
          </cell>
          <cell r="F42">
            <v>6248.5376609999994</v>
          </cell>
          <cell r="G42">
            <v>202.98</v>
          </cell>
          <cell r="H42">
            <v>14862</v>
          </cell>
          <cell r="I42"/>
          <cell r="J42"/>
          <cell r="K42" t="str">
            <v/>
          </cell>
          <cell r="L42">
            <v>0</v>
          </cell>
          <cell r="M42">
            <v>0</v>
          </cell>
          <cell r="N42">
            <v>408</v>
          </cell>
          <cell r="O42">
            <v>4</v>
          </cell>
          <cell r="P42">
            <v>16293</v>
          </cell>
          <cell r="Q42">
            <v>0</v>
          </cell>
          <cell r="R42">
            <v>0</v>
          </cell>
          <cell r="S42" t="str">
            <v>Centura-CHI</v>
          </cell>
          <cell r="T42">
            <v>0.83116942199999999</v>
          </cell>
          <cell r="U42">
            <v>11158.298964310334</v>
          </cell>
          <cell r="V42">
            <v>8967.1861693253322</v>
          </cell>
          <cell r="W42">
            <v>1476.2618264150001</v>
          </cell>
          <cell r="X42">
            <v>497.37666356400001</v>
          </cell>
          <cell r="Y42">
            <v>6679.2415577989996</v>
          </cell>
          <cell r="Z42">
            <v>-6644232</v>
          </cell>
          <cell r="AA42">
            <v>-228.96607950244481</v>
          </cell>
          <cell r="AB42" t="str">
            <v>N</v>
          </cell>
          <cell r="AC42" t="str">
            <v>N</v>
          </cell>
          <cell r="AD42">
            <v>0</v>
          </cell>
          <cell r="AE42">
            <v>0</v>
          </cell>
          <cell r="AF42">
            <v>9.8185526923076916E-2</v>
          </cell>
          <cell r="AG42">
            <v>5.7109758428603746E-2</v>
          </cell>
          <cell r="AH42">
            <v>4.7884882623828125E-2</v>
          </cell>
          <cell r="AI42">
            <v>0.1</v>
          </cell>
          <cell r="AJ42">
            <v>0</v>
          </cell>
          <cell r="AK42">
            <v>0</v>
          </cell>
          <cell r="AL42">
            <v>1.9031801679755089</v>
          </cell>
          <cell r="AM42">
            <v>2.48</v>
          </cell>
          <cell r="AN42">
            <v>0.57681983202449105</v>
          </cell>
          <cell r="AO42">
            <v>181647988.66666666</v>
          </cell>
          <cell r="AP42">
            <v>2095563.2462058663</v>
          </cell>
          <cell r="AQ42">
            <v>5238908.1155146658</v>
          </cell>
        </row>
        <row r="43">
          <cell r="A43">
            <v>60022</v>
          </cell>
          <cell r="B43" t="str">
            <v>Memorial Hospital Central</v>
          </cell>
          <cell r="C43">
            <v>81.256367479999994</v>
          </cell>
          <cell r="D43">
            <v>7502.7623167878883</v>
          </cell>
          <cell r="E43">
            <v>81.256367479999994</v>
          </cell>
          <cell r="F43">
            <v>6248.5376609999994</v>
          </cell>
          <cell r="G43">
            <v>254.09</v>
          </cell>
          <cell r="H43">
            <v>14726</v>
          </cell>
          <cell r="I43"/>
          <cell r="J43"/>
          <cell r="K43" t="str">
            <v/>
          </cell>
          <cell r="L43">
            <v>0</v>
          </cell>
          <cell r="M43">
            <v>0</v>
          </cell>
          <cell r="N43">
            <v>583</v>
          </cell>
          <cell r="O43">
            <v>5</v>
          </cell>
          <cell r="P43">
            <v>50327.666666666664</v>
          </cell>
          <cell r="Q43">
            <v>0</v>
          </cell>
          <cell r="R43">
            <v>0</v>
          </cell>
          <cell r="S43" t="str">
            <v>UCHealth</v>
          </cell>
          <cell r="T43">
            <v>0.68826346166666674</v>
          </cell>
          <cell r="U43">
            <v>13861.482833971668</v>
          </cell>
          <cell r="V43">
            <v>10413.772078387334</v>
          </cell>
          <cell r="W43">
            <v>1206.8103902109999</v>
          </cell>
          <cell r="X43">
            <v>882.03708345999996</v>
          </cell>
          <cell r="Y43">
            <v>7032.2227437729998</v>
          </cell>
          <cell r="Z43">
            <v>26980770</v>
          </cell>
          <cell r="AA43">
            <v>687.84049859918014</v>
          </cell>
          <cell r="AB43" t="str">
            <v>N</v>
          </cell>
          <cell r="AC43" t="str">
            <v>N</v>
          </cell>
          <cell r="AD43">
            <v>0</v>
          </cell>
          <cell r="AE43">
            <v>0</v>
          </cell>
          <cell r="AF43">
            <v>6.579142094017114E-3</v>
          </cell>
          <cell r="AG43">
            <v>2.249349681173431E-2</v>
          </cell>
          <cell r="AH43">
            <v>2.3345681452292898E-2</v>
          </cell>
          <cell r="AI43">
            <v>6.7992531475142851E-2</v>
          </cell>
          <cell r="AJ43">
            <v>0</v>
          </cell>
          <cell r="AK43">
            <v>0</v>
          </cell>
          <cell r="AL43">
            <v>1.7204108518331873</v>
          </cell>
          <cell r="AM43">
            <v>2.76</v>
          </cell>
          <cell r="AN43">
            <v>1.0395891481668125</v>
          </cell>
          <cell r="AO43">
            <v>695768873.66666663</v>
          </cell>
          <cell r="AP43">
            <v>14466275.41392225</v>
          </cell>
          <cell r="AQ43">
            <v>36165688.534805626</v>
          </cell>
        </row>
        <row r="44">
          <cell r="A44">
            <v>60054</v>
          </cell>
          <cell r="B44" t="str">
            <v>Community Hospital</v>
          </cell>
          <cell r="C44">
            <v>81.256367479999994</v>
          </cell>
          <cell r="D44">
            <v>8079.7986113940397</v>
          </cell>
          <cell r="E44">
            <v>81.256367479999994</v>
          </cell>
          <cell r="F44">
            <v>6248.5376609999994</v>
          </cell>
          <cell r="G44">
            <v>292.52</v>
          </cell>
          <cell r="H44">
            <v>17486</v>
          </cell>
          <cell r="I44"/>
          <cell r="J44"/>
          <cell r="K44" t="str">
            <v/>
          </cell>
          <cell r="L44">
            <v>0</v>
          </cell>
          <cell r="M44">
            <v>0</v>
          </cell>
          <cell r="N44">
            <v>60</v>
          </cell>
          <cell r="O44">
            <v>2</v>
          </cell>
          <cell r="P44">
            <v>8032.666666666667</v>
          </cell>
          <cell r="Q44">
            <v>0</v>
          </cell>
          <cell r="R44">
            <v>0</v>
          </cell>
          <cell r="S44" t="str">
            <v/>
          </cell>
          <cell r="T44">
            <v>0.74145700933333336</v>
          </cell>
          <cell r="U44">
            <v>13125.496354628667</v>
          </cell>
          <cell r="V44">
            <v>8780.1253182766668</v>
          </cell>
          <cell r="W44">
            <v>748.07419113699996</v>
          </cell>
          <cell r="X44">
            <v>1099.6505851920001</v>
          </cell>
          <cell r="Y44">
            <v>6294.4253737950003</v>
          </cell>
          <cell r="Z44">
            <v>-5780944</v>
          </cell>
          <cell r="AA44">
            <v>23.882396879409079</v>
          </cell>
          <cell r="AB44" t="str">
            <v>N</v>
          </cell>
          <cell r="AC44" t="str">
            <v>N</v>
          </cell>
          <cell r="AD44">
            <v>1</v>
          </cell>
          <cell r="AE44">
            <v>0.15</v>
          </cell>
          <cell r="AF44">
            <v>4.0677570085470086E-2</v>
          </cell>
          <cell r="AG44">
            <v>3.1918346079796815E-2</v>
          </cell>
          <cell r="AH44">
            <v>5.1058094685722366E-2</v>
          </cell>
          <cell r="AI44">
            <v>9.8888673946979574E-2</v>
          </cell>
          <cell r="AJ44">
            <v>0</v>
          </cell>
          <cell r="AK44">
            <v>0</v>
          </cell>
          <cell r="AL44">
            <v>1.972542684797969</v>
          </cell>
          <cell r="AM44">
            <v>3.6</v>
          </cell>
          <cell r="AN44">
            <v>1.6274573152020311</v>
          </cell>
          <cell r="AO44">
            <v>104820637</v>
          </cell>
          <cell r="AP44">
            <v>3411822.2493957337</v>
          </cell>
          <cell r="AQ44">
            <v>8529555.6234893333</v>
          </cell>
        </row>
        <row r="45">
          <cell r="A45">
            <v>60065</v>
          </cell>
          <cell r="B45" t="str">
            <v>North Suburban Medical Center</v>
          </cell>
          <cell r="C45">
            <v>81.500561479999988</v>
          </cell>
          <cell r="D45">
            <v>8283.9631143507595</v>
          </cell>
          <cell r="E45">
            <v>81.500561479999988</v>
          </cell>
          <cell r="F45">
            <v>6267.2741099999994</v>
          </cell>
          <cell r="G45">
            <v>512.59</v>
          </cell>
          <cell r="H45">
            <v>18784</v>
          </cell>
          <cell r="I45"/>
          <cell r="J45"/>
          <cell r="K45" t="str">
            <v/>
          </cell>
          <cell r="L45">
            <v>0</v>
          </cell>
          <cell r="M45">
            <v>0</v>
          </cell>
          <cell r="N45">
            <v>157</v>
          </cell>
          <cell r="O45">
            <v>3</v>
          </cell>
          <cell r="P45">
            <v>16269</v>
          </cell>
          <cell r="Q45">
            <v>0</v>
          </cell>
          <cell r="R45">
            <v>0</v>
          </cell>
          <cell r="S45" t="str">
            <v>HealthONE</v>
          </cell>
          <cell r="T45">
            <v>0.76808594500000005</v>
          </cell>
          <cell r="U45">
            <v>9371.8974715150016</v>
          </cell>
          <cell r="V45">
            <v>7215.6971439716663</v>
          </cell>
          <cell r="W45">
            <v>1032.7299854400001</v>
          </cell>
          <cell r="X45">
            <v>746.73792253800002</v>
          </cell>
          <cell r="Y45">
            <v>5305.4130904450003</v>
          </cell>
          <cell r="Z45">
            <v>28249418</v>
          </cell>
          <cell r="AA45">
            <v>1622.4650357530684</v>
          </cell>
          <cell r="AB45" t="str">
            <v>N</v>
          </cell>
          <cell r="AC45" t="str">
            <v>N</v>
          </cell>
          <cell r="AD45">
            <v>0</v>
          </cell>
          <cell r="AE45">
            <v>0</v>
          </cell>
          <cell r="AF45">
            <v>5.7747400641025654E-2</v>
          </cell>
          <cell r="AG45">
            <v>7.9985946068446653E-2</v>
          </cell>
          <cell r="AH45">
            <v>7.7596316472066731E-2</v>
          </cell>
          <cell r="AI45">
            <v>2.450139433443144E-2</v>
          </cell>
          <cell r="AJ45">
            <v>0</v>
          </cell>
          <cell r="AK45">
            <v>0</v>
          </cell>
          <cell r="AL45">
            <v>1.8398310575159704</v>
          </cell>
          <cell r="AM45">
            <v>4.6100000000000003</v>
          </cell>
          <cell r="AN45">
            <v>2.7701689424840299</v>
          </cell>
          <cell r="AO45">
            <v>152387087.66666666</v>
          </cell>
          <cell r="AP45">
            <v>8442759.5497958232</v>
          </cell>
          <cell r="AQ45">
            <v>21106898.874489561</v>
          </cell>
        </row>
        <row r="46">
          <cell r="A46">
            <v>60103</v>
          </cell>
          <cell r="B46" t="str">
            <v>Avista Adventist Hospital</v>
          </cell>
          <cell r="C46">
            <v>82.047556040000003</v>
          </cell>
          <cell r="D46">
            <v>8141.2909687881493</v>
          </cell>
          <cell r="E46">
            <v>82.047556040000003</v>
          </cell>
          <cell r="F46">
            <v>6311.6160300000001</v>
          </cell>
          <cell r="G46">
            <v>165.67</v>
          </cell>
          <cell r="H46">
            <v>12716</v>
          </cell>
          <cell r="I46"/>
          <cell r="J46"/>
          <cell r="K46" t="str">
            <v/>
          </cell>
          <cell r="L46">
            <v>0</v>
          </cell>
          <cell r="M46">
            <v>0</v>
          </cell>
          <cell r="N46">
            <v>114</v>
          </cell>
          <cell r="O46">
            <v>3</v>
          </cell>
          <cell r="P46">
            <v>10040.333333333334</v>
          </cell>
          <cell r="Q46">
            <v>0</v>
          </cell>
          <cell r="R46">
            <v>0</v>
          </cell>
          <cell r="S46" t="str">
            <v>Centura-Adventist</v>
          </cell>
          <cell r="T46">
            <v>0.48944758466666666</v>
          </cell>
          <cell r="U46">
            <v>10515.722799518668</v>
          </cell>
          <cell r="V46">
            <v>9159.2006486560003</v>
          </cell>
          <cell r="W46">
            <v>1286.8474651040001</v>
          </cell>
          <cell r="X46">
            <v>549.68835166500003</v>
          </cell>
          <cell r="Y46">
            <v>5803.6758905739998</v>
          </cell>
          <cell r="Z46">
            <v>-6590237</v>
          </cell>
          <cell r="AA46">
            <v>-390.80243019820057</v>
          </cell>
          <cell r="AB46" t="str">
            <v>N</v>
          </cell>
          <cell r="AC46" t="str">
            <v>N</v>
          </cell>
          <cell r="AD46">
            <v>0</v>
          </cell>
          <cell r="AE46">
            <v>0</v>
          </cell>
          <cell r="AF46">
            <v>0</v>
          </cell>
          <cell r="AG46">
            <v>6.5338419778221704E-2</v>
          </cell>
          <cell r="AH46">
            <v>4.4627639547820182E-2</v>
          </cell>
          <cell r="AI46">
            <v>0.1</v>
          </cell>
          <cell r="AJ46">
            <v>0</v>
          </cell>
          <cell r="AK46">
            <v>0</v>
          </cell>
          <cell r="AL46">
            <v>1.809966059326042</v>
          </cell>
          <cell r="AM46">
            <v>2.0699999999999998</v>
          </cell>
          <cell r="AN46">
            <v>0.2600339406739578</v>
          </cell>
          <cell r="AO46">
            <v>104899027.66666667</v>
          </cell>
          <cell r="AP46">
            <v>545546.15074059716</v>
          </cell>
          <cell r="AQ46">
            <v>1363865.376851493</v>
          </cell>
        </row>
        <row r="47">
          <cell r="A47">
            <v>60104</v>
          </cell>
          <cell r="B47" t="str">
            <v>St. Anthony North Health Campus</v>
          </cell>
          <cell r="C47">
            <v>81.500561479999988</v>
          </cell>
          <cell r="D47">
            <v>8743.7076032325585</v>
          </cell>
          <cell r="E47">
            <v>81.500561479999988</v>
          </cell>
          <cell r="F47">
            <v>6267.2741099999994</v>
          </cell>
          <cell r="G47">
            <v>352.52</v>
          </cell>
          <cell r="H47">
            <v>14873</v>
          </cell>
          <cell r="I47"/>
          <cell r="J47"/>
          <cell r="K47" t="str">
            <v/>
          </cell>
          <cell r="L47">
            <v>0</v>
          </cell>
          <cell r="M47">
            <v>0</v>
          </cell>
          <cell r="N47">
            <v>100</v>
          </cell>
          <cell r="O47">
            <v>2</v>
          </cell>
          <cell r="P47">
            <v>14541</v>
          </cell>
          <cell r="Q47">
            <v>0</v>
          </cell>
          <cell r="R47">
            <v>0</v>
          </cell>
          <cell r="S47" t="str">
            <v>Centura-CHI</v>
          </cell>
          <cell r="T47">
            <v>0.73800521066666669</v>
          </cell>
          <cell r="U47">
            <v>11200.964796343002</v>
          </cell>
          <cell r="V47">
            <v>9561.4755389389993</v>
          </cell>
          <cell r="W47">
            <v>1200.9935309140001</v>
          </cell>
          <cell r="X47">
            <v>881.91364491599995</v>
          </cell>
          <cell r="Y47">
            <v>6007.1341002669997</v>
          </cell>
          <cell r="Z47">
            <v>-3758781</v>
          </cell>
          <cell r="AA47">
            <v>-739.00568507438732</v>
          </cell>
          <cell r="AB47" t="str">
            <v>N</v>
          </cell>
          <cell r="AC47" t="str">
            <v>N</v>
          </cell>
          <cell r="AD47">
            <v>0</v>
          </cell>
          <cell r="AE47">
            <v>0</v>
          </cell>
          <cell r="AF47">
            <v>3.8464878632478626E-2</v>
          </cell>
          <cell r="AG47">
            <v>5.6563391005980262E-2</v>
          </cell>
          <cell r="AH47">
            <v>3.780363801630196E-2</v>
          </cell>
          <cell r="AI47">
            <v>0.1</v>
          </cell>
          <cell r="AJ47">
            <v>0</v>
          </cell>
          <cell r="AK47">
            <v>0</v>
          </cell>
          <cell r="AL47">
            <v>1.832831907654761</v>
          </cell>
          <cell r="AM47">
            <v>3.16</v>
          </cell>
          <cell r="AN47">
            <v>1.3271680923452391</v>
          </cell>
          <cell r="AO47">
            <v>163150184</v>
          </cell>
          <cell r="AP47">
            <v>4330554.3693010947</v>
          </cell>
          <cell r="AQ47">
            <v>10826385.923252739</v>
          </cell>
        </row>
        <row r="48">
          <cell r="A48">
            <v>60107</v>
          </cell>
          <cell r="B48" t="str">
            <v>National Jewish Health</v>
          </cell>
          <cell r="C48">
            <v>0</v>
          </cell>
          <cell r="D48">
            <v>157773.33408260136</v>
          </cell>
          <cell r="E48">
            <v>81.500561479999988</v>
          </cell>
          <cell r="F48">
            <v>6267.2741099999994</v>
          </cell>
          <cell r="G48">
            <v>233.95</v>
          </cell>
          <cell r="H48">
            <v>0</v>
          </cell>
          <cell r="I48"/>
          <cell r="J48"/>
          <cell r="K48" t="str">
            <v/>
          </cell>
          <cell r="L48">
            <v>0</v>
          </cell>
          <cell r="M48">
            <v>0</v>
          </cell>
          <cell r="N48">
            <v>46</v>
          </cell>
          <cell r="O48">
            <v>2</v>
          </cell>
          <cell r="P48">
            <v>28710</v>
          </cell>
          <cell r="Q48">
            <v>0</v>
          </cell>
          <cell r="R48">
            <v>0</v>
          </cell>
          <cell r="S48" t="str">
            <v/>
          </cell>
          <cell r="T48">
            <v>0.6264004866666667</v>
          </cell>
          <cell r="U48">
            <v>7311.856741988001</v>
          </cell>
          <cell r="V48">
            <v>4232.3220157043334</v>
          </cell>
          <cell r="W48">
            <v>1035.5891702439999</v>
          </cell>
          <cell r="X48">
            <v>214.524024532</v>
          </cell>
          <cell r="Y48">
            <v>3252.575067926</v>
          </cell>
          <cell r="Z48">
            <v>-36454111</v>
          </cell>
          <cell r="AA48">
            <v>103.79658655520724</v>
          </cell>
          <cell r="AB48" t="str">
            <v>N</v>
          </cell>
          <cell r="AC48" t="str">
            <v>N</v>
          </cell>
          <cell r="AD48">
            <v>1</v>
          </cell>
          <cell r="AE48">
            <v>0.15</v>
          </cell>
          <cell r="AF48">
            <v>0</v>
          </cell>
          <cell r="AG48">
            <v>0.10636628579859136</v>
          </cell>
          <cell r="AH48">
            <v>0.12820488522978232</v>
          </cell>
          <cell r="AI48">
            <v>9.5170005278957318E-2</v>
          </cell>
          <cell r="AJ48">
            <v>0</v>
          </cell>
          <cell r="AK48">
            <v>0</v>
          </cell>
          <cell r="AL48">
            <v>2.0797411763073312</v>
          </cell>
          <cell r="AM48">
            <v>0</v>
          </cell>
          <cell r="AN48">
            <v>0</v>
          </cell>
          <cell r="AO48">
            <v>203968647.33333334</v>
          </cell>
          <cell r="AP48">
            <v>0</v>
          </cell>
          <cell r="AQ48">
            <v>0</v>
          </cell>
        </row>
        <row r="49">
          <cell r="A49">
            <v>60126</v>
          </cell>
          <cell r="B49" t="str">
            <v>Banner Fort Collins Medical Center</v>
          </cell>
          <cell r="C49">
            <v>81.256367479999994</v>
          </cell>
          <cell r="D49">
            <v>8705.5092308299991</v>
          </cell>
          <cell r="E49">
            <v>81.256367479999994</v>
          </cell>
          <cell r="F49">
            <v>6248.5376609999994</v>
          </cell>
          <cell r="G49">
            <v>260.85000000000002</v>
          </cell>
          <cell r="H49">
            <v>12252</v>
          </cell>
          <cell r="I49"/>
          <cell r="J49"/>
          <cell r="K49" t="str">
            <v/>
          </cell>
          <cell r="L49">
            <v>0</v>
          </cell>
          <cell r="M49">
            <v>0</v>
          </cell>
          <cell r="N49">
            <v>23</v>
          </cell>
          <cell r="O49">
            <v>1</v>
          </cell>
          <cell r="P49">
            <v>2610</v>
          </cell>
          <cell r="Q49">
            <v>0</v>
          </cell>
          <cell r="R49">
            <v>1</v>
          </cell>
          <cell r="S49" t="str">
            <v>Banner</v>
          </cell>
          <cell r="T49">
            <v>0.61362069750000003</v>
          </cell>
          <cell r="U49">
            <v>12886.651389767499</v>
          </cell>
          <cell r="V49">
            <v>14279.496723119999</v>
          </cell>
          <cell r="W49">
            <v>1420.554384903</v>
          </cell>
          <cell r="X49">
            <v>3648.4876709069999</v>
          </cell>
          <cell r="Y49">
            <v>7140.1723695649998</v>
          </cell>
          <cell r="Z49">
            <v>-13333066</v>
          </cell>
          <cell r="AA49">
            <v>-4584.5511494252878</v>
          </cell>
          <cell r="AB49" t="str">
            <v>N</v>
          </cell>
          <cell r="AC49" t="str">
            <v>N</v>
          </cell>
          <cell r="AD49">
            <v>0</v>
          </cell>
          <cell r="AE49">
            <v>0</v>
          </cell>
          <cell r="AF49">
            <v>0</v>
          </cell>
          <cell r="AG49">
            <v>3.497693187645666E-2</v>
          </cell>
          <cell r="AH49">
            <v>0</v>
          </cell>
          <cell r="AI49">
            <v>0.1</v>
          </cell>
          <cell r="AJ49">
            <v>0</v>
          </cell>
          <cell r="AK49">
            <v>0</v>
          </cell>
          <cell r="AL49">
            <v>1.7349769318764567</v>
          </cell>
          <cell r="AM49">
            <v>2.58</v>
          </cell>
          <cell r="AN49">
            <v>0.84502306812354333</v>
          </cell>
          <cell r="AO49">
            <v>33366549</v>
          </cell>
          <cell r="AP49">
            <v>563910.07217349089</v>
          </cell>
          <cell r="AQ49">
            <v>1409775.1804337273</v>
          </cell>
        </row>
        <row r="50">
          <cell r="A50">
            <v>61324</v>
          </cell>
          <cell r="B50" t="str">
            <v>Aspen Valley Hospital</v>
          </cell>
          <cell r="C50">
            <v>0</v>
          </cell>
          <cell r="D50">
            <v>0</v>
          </cell>
          <cell r="E50">
            <v>81.256367479999994</v>
          </cell>
          <cell r="F50">
            <v>6248.5376609999994</v>
          </cell>
          <cell r="G50">
            <v>361.09</v>
          </cell>
          <cell r="H50">
            <v>16678</v>
          </cell>
          <cell r="I50"/>
          <cell r="J50"/>
          <cell r="K50" t="str">
            <v>HIGH</v>
          </cell>
          <cell r="L50">
            <v>1</v>
          </cell>
          <cell r="M50">
            <v>1</v>
          </cell>
          <cell r="N50">
            <v>25</v>
          </cell>
          <cell r="O50">
            <v>1</v>
          </cell>
          <cell r="P50">
            <v>3400</v>
          </cell>
          <cell r="Q50">
            <v>0</v>
          </cell>
          <cell r="R50">
            <v>0</v>
          </cell>
          <cell r="S50" t="str">
            <v/>
          </cell>
          <cell r="T50">
            <v>0.43738879933333336</v>
          </cell>
          <cell r="U50">
            <v>24974.057147675001</v>
          </cell>
          <cell r="V50">
            <v>21384.521677989334</v>
          </cell>
          <cell r="W50">
            <v>3986.1737580650001</v>
          </cell>
          <cell r="X50">
            <v>4456.5839558380003</v>
          </cell>
          <cell r="Y50">
            <v>13685.824074163</v>
          </cell>
          <cell r="Z50">
            <v>-8765055</v>
          </cell>
          <cell r="AA50">
            <v>3587.82931372549</v>
          </cell>
          <cell r="AB50" t="str">
            <v>N</v>
          </cell>
          <cell r="AC50" t="str">
            <v>N</v>
          </cell>
          <cell r="AD50">
            <v>1</v>
          </cell>
          <cell r="AE50">
            <v>0.15</v>
          </cell>
          <cell r="AF50">
            <v>0</v>
          </cell>
          <cell r="AG50">
            <v>0</v>
          </cell>
          <cell r="AH50">
            <v>0</v>
          </cell>
          <cell r="AI50">
            <v>0</v>
          </cell>
          <cell r="AJ50">
            <v>0</v>
          </cell>
          <cell r="AK50">
            <v>0.2</v>
          </cell>
          <cell r="AL50">
            <v>1.75</v>
          </cell>
          <cell r="AM50">
            <v>1.1499999999999999</v>
          </cell>
          <cell r="AN50">
            <v>-0.60000000000000009</v>
          </cell>
          <cell r="AO50">
            <v>84882039.333333328</v>
          </cell>
          <cell r="AP50">
            <v>-1018584.4720000001</v>
          </cell>
          <cell r="AQ50">
            <v>-2546461.1800000002</v>
          </cell>
        </row>
        <row r="51">
          <cell r="A51">
            <v>61300</v>
          </cell>
          <cell r="B51" t="str">
            <v>Weisbrod Memorial County Hospital</v>
          </cell>
          <cell r="C51">
            <v>0</v>
          </cell>
          <cell r="D51">
            <v>0</v>
          </cell>
          <cell r="E51">
            <v>81.256367479999994</v>
          </cell>
          <cell r="F51">
            <v>6248.5376609999994</v>
          </cell>
          <cell r="G51">
            <v>251.1</v>
          </cell>
          <cell r="H51">
            <v>0</v>
          </cell>
          <cell r="I51"/>
          <cell r="J51"/>
          <cell r="K51" t="str">
            <v>LOW</v>
          </cell>
          <cell r="L51">
            <v>1</v>
          </cell>
          <cell r="M51">
            <v>1</v>
          </cell>
          <cell r="N51">
            <v>25</v>
          </cell>
          <cell r="O51">
            <v>1</v>
          </cell>
          <cell r="P51">
            <v>47</v>
          </cell>
          <cell r="Q51">
            <v>0</v>
          </cell>
          <cell r="R51">
            <v>0</v>
          </cell>
          <cell r="S51" t="str">
            <v/>
          </cell>
          <cell r="T51">
            <v>0.70857241366666679</v>
          </cell>
          <cell r="U51">
            <v>116399.237384832</v>
          </cell>
          <cell r="V51">
            <v>134679.518282462</v>
          </cell>
          <cell r="W51">
            <v>25926.310440251</v>
          </cell>
          <cell r="X51">
            <v>5993.0930215110002</v>
          </cell>
          <cell r="Y51">
            <v>141373.001199611</v>
          </cell>
          <cell r="Z51">
            <v>-940129</v>
          </cell>
          <cell r="AA51">
            <v>9582.3262411347514</v>
          </cell>
          <cell r="AB51" t="str">
            <v>N</v>
          </cell>
          <cell r="AC51" t="str">
            <v>N</v>
          </cell>
          <cell r="AD51">
            <v>1</v>
          </cell>
          <cell r="AE51">
            <v>0.15</v>
          </cell>
          <cell r="AF51">
            <v>1.9597701068376119E-2</v>
          </cell>
          <cell r="AG51">
            <v>0</v>
          </cell>
          <cell r="AH51">
            <v>0</v>
          </cell>
          <cell r="AI51">
            <v>0</v>
          </cell>
          <cell r="AJ51">
            <v>0</v>
          </cell>
          <cell r="AK51">
            <v>0.2</v>
          </cell>
          <cell r="AL51">
            <v>1.7695977010683763</v>
          </cell>
          <cell r="AM51">
            <v>0</v>
          </cell>
          <cell r="AN51">
            <v>0</v>
          </cell>
          <cell r="AO51">
            <v>4939743</v>
          </cell>
          <cell r="AP51">
            <v>0</v>
          </cell>
          <cell r="AQ51">
            <v>0</v>
          </cell>
        </row>
        <row r="52">
          <cell r="A52">
            <v>61301</v>
          </cell>
          <cell r="B52" t="str">
            <v>Rio Grande Hospital</v>
          </cell>
          <cell r="C52">
            <v>0</v>
          </cell>
          <cell r="D52">
            <v>0</v>
          </cell>
          <cell r="E52">
            <v>81.256367479999994</v>
          </cell>
          <cell r="F52">
            <v>6248.5376609999994</v>
          </cell>
          <cell r="G52">
            <v>0</v>
          </cell>
          <cell r="H52">
            <v>4420</v>
          </cell>
          <cell r="I52"/>
          <cell r="J52"/>
          <cell r="K52" t="str">
            <v>LOW</v>
          </cell>
          <cell r="L52">
            <v>1</v>
          </cell>
          <cell r="M52">
            <v>1</v>
          </cell>
          <cell r="N52">
            <v>17</v>
          </cell>
          <cell r="O52">
            <v>1</v>
          </cell>
          <cell r="P52">
            <v>2153.6666666666665</v>
          </cell>
          <cell r="Q52">
            <v>0</v>
          </cell>
          <cell r="R52">
            <v>0</v>
          </cell>
          <cell r="S52" t="str">
            <v/>
          </cell>
          <cell r="T52">
            <v>0.85920885699999994</v>
          </cell>
          <cell r="U52">
            <v>7497.9387834796662</v>
          </cell>
          <cell r="V52">
            <v>6311.6640484710006</v>
          </cell>
          <cell r="W52">
            <v>1142.104988195</v>
          </cell>
          <cell r="X52">
            <v>701.76439987799995</v>
          </cell>
          <cell r="Y52">
            <v>4465.6961799669998</v>
          </cell>
          <cell r="Z52">
            <v>-637861</v>
          </cell>
          <cell r="AA52">
            <v>532.79507816127534</v>
          </cell>
          <cell r="AB52" t="str">
            <v>N</v>
          </cell>
          <cell r="AC52" t="str">
            <v>N</v>
          </cell>
          <cell r="AD52">
            <v>1</v>
          </cell>
          <cell r="AE52">
            <v>0.15</v>
          </cell>
          <cell r="AF52">
            <v>0.11615952371794867</v>
          </cell>
          <cell r="AG52">
            <v>0.10398336812037821</v>
          </cell>
          <cell r="AH52">
            <v>9.2931907574707373E-2</v>
          </cell>
          <cell r="AI52">
            <v>7.5207302086492539E-2</v>
          </cell>
          <cell r="AJ52">
            <v>0</v>
          </cell>
          <cell r="AK52">
            <v>0.2</v>
          </cell>
          <cell r="AL52">
            <v>2.1382821014995268</v>
          </cell>
          <cell r="AM52">
            <v>0</v>
          </cell>
          <cell r="AN52">
            <v>0</v>
          </cell>
          <cell r="AO52">
            <v>16120045</v>
          </cell>
          <cell r="AP52">
            <v>0</v>
          </cell>
          <cell r="AQ52">
            <v>0</v>
          </cell>
        </row>
        <row r="53">
          <cell r="A53">
            <v>61304</v>
          </cell>
          <cell r="B53" t="str">
            <v>Haxtun Hospital District</v>
          </cell>
          <cell r="C53">
            <v>0</v>
          </cell>
          <cell r="D53">
            <v>0</v>
          </cell>
          <cell r="E53">
            <v>81.256367479999994</v>
          </cell>
          <cell r="F53">
            <v>6248.5376609999994</v>
          </cell>
          <cell r="G53">
            <v>412.5</v>
          </cell>
          <cell r="H53">
            <v>0</v>
          </cell>
          <cell r="I53"/>
          <cell r="J53"/>
          <cell r="K53" t="str">
            <v>LOW</v>
          </cell>
          <cell r="L53">
            <v>1</v>
          </cell>
          <cell r="M53">
            <v>1</v>
          </cell>
          <cell r="N53">
            <v>25</v>
          </cell>
          <cell r="O53">
            <v>1</v>
          </cell>
          <cell r="P53">
            <v>257</v>
          </cell>
          <cell r="Q53">
            <v>0</v>
          </cell>
          <cell r="R53">
            <v>0</v>
          </cell>
          <cell r="S53" t="str">
            <v/>
          </cell>
          <cell r="T53">
            <v>0.52255204699999991</v>
          </cell>
          <cell r="U53">
            <v>33255.446105212002</v>
          </cell>
          <cell r="V53">
            <v>25647.687774910501</v>
          </cell>
          <cell r="W53">
            <v>0</v>
          </cell>
          <cell r="X53">
            <v>0</v>
          </cell>
          <cell r="Y53">
            <v>0</v>
          </cell>
          <cell r="Z53">
            <v>0</v>
          </cell>
          <cell r="AA53">
            <v>3025.782101167315</v>
          </cell>
          <cell r="AB53" t="str">
            <v>N</v>
          </cell>
          <cell r="AC53" t="str">
            <v>N</v>
          </cell>
          <cell r="AD53">
            <v>1</v>
          </cell>
          <cell r="AE53">
            <v>0.15</v>
          </cell>
          <cell r="AF53">
            <v>0</v>
          </cell>
          <cell r="AG53">
            <v>0</v>
          </cell>
          <cell r="AH53">
            <v>0</v>
          </cell>
          <cell r="AI53">
            <v>0</v>
          </cell>
          <cell r="AJ53">
            <v>0</v>
          </cell>
          <cell r="AK53">
            <v>0.2</v>
          </cell>
          <cell r="AL53">
            <v>1.75</v>
          </cell>
          <cell r="AM53">
            <v>0</v>
          </cell>
          <cell r="AN53">
            <v>0</v>
          </cell>
          <cell r="AO53">
            <v>8377713</v>
          </cell>
          <cell r="AP53">
            <v>0</v>
          </cell>
          <cell r="AQ53">
            <v>0</v>
          </cell>
        </row>
        <row r="54">
          <cell r="A54">
            <v>61305</v>
          </cell>
          <cell r="B54" t="str">
            <v>Melissa Memorial Hospital</v>
          </cell>
          <cell r="C54">
            <v>0</v>
          </cell>
          <cell r="D54">
            <v>0</v>
          </cell>
          <cell r="E54">
            <v>81.256367479999994</v>
          </cell>
          <cell r="F54">
            <v>6248.5376609999994</v>
          </cell>
          <cell r="G54">
            <v>481.66</v>
          </cell>
          <cell r="H54">
            <v>12386</v>
          </cell>
          <cell r="I54"/>
          <cell r="J54"/>
          <cell r="K54" t="str">
            <v>LOW</v>
          </cell>
          <cell r="L54">
            <v>1</v>
          </cell>
          <cell r="M54">
            <v>1</v>
          </cell>
          <cell r="N54">
            <v>15</v>
          </cell>
          <cell r="O54">
            <v>1</v>
          </cell>
          <cell r="P54">
            <v>529.66666666666663</v>
          </cell>
          <cell r="Q54">
            <v>0</v>
          </cell>
          <cell r="R54">
            <v>0</v>
          </cell>
          <cell r="S54" t="str">
            <v/>
          </cell>
          <cell r="T54">
            <v>0.80506875966666669</v>
          </cell>
          <cell r="U54">
            <v>21411.534319757662</v>
          </cell>
          <cell r="V54">
            <v>22112.978766698001</v>
          </cell>
          <cell r="W54">
            <v>3827.8401302090001</v>
          </cell>
          <cell r="X54">
            <v>3351.9695188609999</v>
          </cell>
          <cell r="Y54">
            <v>17236.214253106999</v>
          </cell>
          <cell r="Z54">
            <v>-2274723</v>
          </cell>
          <cell r="AA54">
            <v>1049.6777847702958</v>
          </cell>
          <cell r="AB54" t="str">
            <v>N</v>
          </cell>
          <cell r="AC54" t="str">
            <v>N</v>
          </cell>
          <cell r="AD54">
            <v>1</v>
          </cell>
          <cell r="AE54">
            <v>0.15</v>
          </cell>
          <cell r="AF54">
            <v>8.1454333119658121E-2</v>
          </cell>
          <cell r="AG54">
            <v>0</v>
          </cell>
          <cell r="AH54">
            <v>0</v>
          </cell>
          <cell r="AI54">
            <v>5.1155058875277076E-2</v>
          </cell>
          <cell r="AJ54">
            <v>0</v>
          </cell>
          <cell r="AK54">
            <v>0.2</v>
          </cell>
          <cell r="AL54">
            <v>1.8826093919949352</v>
          </cell>
          <cell r="AM54">
            <v>1.55</v>
          </cell>
          <cell r="AN54">
            <v>-0.33260939199493511</v>
          </cell>
          <cell r="AO54">
            <v>11247221.333333334</v>
          </cell>
          <cell r="AP54">
            <v>-74818.62898624927</v>
          </cell>
          <cell r="AQ54">
            <v>-187046.57246562318</v>
          </cell>
        </row>
        <row r="55">
          <cell r="A55">
            <v>61306</v>
          </cell>
          <cell r="B55" t="str">
            <v>Lincoln Community Hospital</v>
          </cell>
          <cell r="C55">
            <v>0</v>
          </cell>
          <cell r="D55">
            <v>0</v>
          </cell>
          <cell r="E55">
            <v>81.256367479999994</v>
          </cell>
          <cell r="F55">
            <v>6248.5376609999994</v>
          </cell>
          <cell r="G55">
            <v>309.14</v>
          </cell>
          <cell r="H55">
            <v>5578</v>
          </cell>
          <cell r="I55"/>
          <cell r="J55"/>
          <cell r="K55" t="str">
            <v>LOW</v>
          </cell>
          <cell r="L55">
            <v>1</v>
          </cell>
          <cell r="M55">
            <v>1</v>
          </cell>
          <cell r="N55">
            <v>15</v>
          </cell>
          <cell r="O55">
            <v>1</v>
          </cell>
          <cell r="P55">
            <v>611</v>
          </cell>
          <cell r="Q55">
            <v>0</v>
          </cell>
          <cell r="R55">
            <v>0</v>
          </cell>
          <cell r="S55" t="str">
            <v/>
          </cell>
          <cell r="T55">
            <v>0.82420861499999998</v>
          </cell>
          <cell r="U55">
            <v>23255.103580133</v>
          </cell>
          <cell r="V55">
            <v>23464.359774799668</v>
          </cell>
          <cell r="W55">
            <v>4089.6569775319999</v>
          </cell>
          <cell r="X55">
            <v>883.428934895</v>
          </cell>
          <cell r="Y55">
            <v>18241.685809543</v>
          </cell>
          <cell r="Z55">
            <v>-3161326</v>
          </cell>
          <cell r="AA55">
            <v>-680.38134206219308</v>
          </cell>
          <cell r="AB55" t="str">
            <v>N</v>
          </cell>
          <cell r="AC55" t="str">
            <v>N</v>
          </cell>
          <cell r="AD55">
            <v>1</v>
          </cell>
          <cell r="AE55">
            <v>0.15</v>
          </cell>
          <cell r="AF55">
            <v>9.3723471153846133E-2</v>
          </cell>
          <cell r="AG55">
            <v>0</v>
          </cell>
          <cell r="AH55">
            <v>0</v>
          </cell>
          <cell r="AI55">
            <v>0.1</v>
          </cell>
          <cell r="AJ55">
            <v>0</v>
          </cell>
          <cell r="AK55">
            <v>0.2</v>
          </cell>
          <cell r="AL55">
            <v>1.9437234711538462</v>
          </cell>
          <cell r="AM55">
            <v>1.26</v>
          </cell>
          <cell r="AN55">
            <v>-0.68372347115384624</v>
          </cell>
          <cell r="AO55">
            <v>14193699.666666666</v>
          </cell>
          <cell r="AP55">
            <v>-194091.31209217047</v>
          </cell>
          <cell r="AQ55">
            <v>-485228.28023042617</v>
          </cell>
        </row>
        <row r="56">
          <cell r="A56">
            <v>61307</v>
          </cell>
          <cell r="B56" t="str">
            <v>Rangely District Hospital</v>
          </cell>
          <cell r="C56">
            <v>0</v>
          </cell>
          <cell r="D56">
            <v>0</v>
          </cell>
          <cell r="E56">
            <v>81.256367479999994</v>
          </cell>
          <cell r="F56">
            <v>6248.5376609999994</v>
          </cell>
          <cell r="G56">
            <v>506.28</v>
          </cell>
          <cell r="H56">
            <v>0</v>
          </cell>
          <cell r="I56"/>
          <cell r="J56"/>
          <cell r="K56" t="str">
            <v>LOW</v>
          </cell>
          <cell r="L56">
            <v>1</v>
          </cell>
          <cell r="M56">
            <v>1</v>
          </cell>
          <cell r="N56">
            <v>25</v>
          </cell>
          <cell r="O56">
            <v>1</v>
          </cell>
          <cell r="P56">
            <v>238.66666666666666</v>
          </cell>
          <cell r="Q56">
            <v>0</v>
          </cell>
          <cell r="R56">
            <v>0</v>
          </cell>
          <cell r="S56" t="str">
            <v/>
          </cell>
          <cell r="T56">
            <v>4.2460211666666671E-2</v>
          </cell>
          <cell r="U56">
            <v>59914.949313758996</v>
          </cell>
          <cell r="V56">
            <v>61254.570457221998</v>
          </cell>
          <cell r="W56">
            <v>8469.424098816</v>
          </cell>
          <cell r="X56">
            <v>12790.138129633</v>
          </cell>
          <cell r="Y56">
            <v>25547.469667039</v>
          </cell>
          <cell r="Z56">
            <v>-6167547</v>
          </cell>
          <cell r="AA56">
            <v>-465.9427374301676</v>
          </cell>
          <cell r="AB56" t="str">
            <v>N</v>
          </cell>
          <cell r="AC56" t="str">
            <v>N</v>
          </cell>
          <cell r="AD56">
            <v>1</v>
          </cell>
          <cell r="AE56">
            <v>0.15</v>
          </cell>
          <cell r="AF56">
            <v>0</v>
          </cell>
          <cell r="AG56">
            <v>0</v>
          </cell>
          <cell r="AH56">
            <v>0</v>
          </cell>
          <cell r="AI56">
            <v>0.1</v>
          </cell>
          <cell r="AJ56">
            <v>0</v>
          </cell>
          <cell r="AK56">
            <v>0.2</v>
          </cell>
          <cell r="AL56">
            <v>1.85</v>
          </cell>
          <cell r="AM56">
            <v>0</v>
          </cell>
          <cell r="AN56">
            <v>0</v>
          </cell>
          <cell r="AO56">
            <v>13781839.666666666</v>
          </cell>
          <cell r="AP56">
            <v>0</v>
          </cell>
          <cell r="AQ56">
            <v>0</v>
          </cell>
        </row>
        <row r="57">
          <cell r="A57">
            <v>61308</v>
          </cell>
          <cell r="B57" t="str">
            <v>San Luis Valley Health Conejos County Hospital</v>
          </cell>
          <cell r="C57">
            <v>0</v>
          </cell>
          <cell r="D57">
            <v>0</v>
          </cell>
          <cell r="E57">
            <v>81.256367479999994</v>
          </cell>
          <cell r="F57">
            <v>6248.5376609999994</v>
          </cell>
          <cell r="G57">
            <v>314.20999999999998</v>
          </cell>
          <cell r="H57">
            <v>10201</v>
          </cell>
          <cell r="I57"/>
          <cell r="J57"/>
          <cell r="K57" t="str">
            <v>LOW</v>
          </cell>
          <cell r="L57">
            <v>1</v>
          </cell>
          <cell r="M57">
            <v>1</v>
          </cell>
          <cell r="N57">
            <v>17</v>
          </cell>
          <cell r="O57">
            <v>1</v>
          </cell>
          <cell r="P57">
            <v>1096.3333333333333</v>
          </cell>
          <cell r="Q57">
            <v>0</v>
          </cell>
          <cell r="R57">
            <v>0</v>
          </cell>
          <cell r="S57" t="str">
            <v>San Luis Valley Health</v>
          </cell>
          <cell r="T57">
            <v>0.81852625733333328</v>
          </cell>
          <cell r="U57">
            <v>11989.438755539333</v>
          </cell>
          <cell r="V57">
            <v>11125.649801073667</v>
          </cell>
          <cell r="W57">
            <v>4980.4727449299999</v>
          </cell>
          <cell r="X57">
            <v>642.95812123300004</v>
          </cell>
          <cell r="Y57">
            <v>13903.271356461</v>
          </cell>
          <cell r="Z57">
            <v>867603</v>
          </cell>
          <cell r="AA57">
            <v>775.87747035573136</v>
          </cell>
          <cell r="AB57" t="str">
            <v>N</v>
          </cell>
          <cell r="AC57" t="str">
            <v>N</v>
          </cell>
          <cell r="AD57">
            <v>0</v>
          </cell>
          <cell r="AE57">
            <v>0</v>
          </cell>
          <cell r="AF57">
            <v>9.0080934188034145E-2</v>
          </cell>
          <cell r="AG57">
            <v>4.6466400876689296E-2</v>
          </cell>
          <cell r="AH57">
            <v>1.1269723476273676E-2</v>
          </cell>
          <cell r="AI57">
            <v>6.389588318493572E-2</v>
          </cell>
          <cell r="AJ57">
            <v>0</v>
          </cell>
          <cell r="AK57">
            <v>0.2</v>
          </cell>
          <cell r="AL57">
            <v>1.811712941725933</v>
          </cell>
          <cell r="AM57">
            <v>1.31</v>
          </cell>
          <cell r="AN57">
            <v>-0.50171294172593295</v>
          </cell>
          <cell r="AO57">
            <v>9930438.666666666</v>
          </cell>
          <cell r="AP57">
            <v>-99644.591921645682</v>
          </cell>
          <cell r="AQ57">
            <v>-249111.47980411421</v>
          </cell>
        </row>
        <row r="58">
          <cell r="A58">
            <v>61309</v>
          </cell>
          <cell r="B58" t="str">
            <v>Wray Community District Hospital</v>
          </cell>
          <cell r="C58">
            <v>0</v>
          </cell>
          <cell r="D58">
            <v>0</v>
          </cell>
          <cell r="E58">
            <v>81.256367479999994</v>
          </cell>
          <cell r="F58">
            <v>6248.5376609999994</v>
          </cell>
          <cell r="G58">
            <v>306.8</v>
          </cell>
          <cell r="H58">
            <v>13638</v>
          </cell>
          <cell r="I58"/>
          <cell r="J58"/>
          <cell r="K58" t="str">
            <v>LOW</v>
          </cell>
          <cell r="L58">
            <v>1</v>
          </cell>
          <cell r="M58">
            <v>1</v>
          </cell>
          <cell r="N58">
            <v>15</v>
          </cell>
          <cell r="O58">
            <v>1</v>
          </cell>
          <cell r="P58">
            <v>1483.3333333333333</v>
          </cell>
          <cell r="Q58">
            <v>0</v>
          </cell>
          <cell r="R58">
            <v>0</v>
          </cell>
          <cell r="S58" t="str">
            <v/>
          </cell>
          <cell r="T58">
            <v>0.65998905066666669</v>
          </cell>
          <cell r="U58">
            <v>10992.277576372668</v>
          </cell>
          <cell r="V58">
            <v>8328.8300106340012</v>
          </cell>
          <cell r="W58">
            <v>1666.4831867949999</v>
          </cell>
          <cell r="X58">
            <v>844.87948906600002</v>
          </cell>
          <cell r="Y58">
            <v>7542.5846766300001</v>
          </cell>
          <cell r="Z58">
            <v>-2445114</v>
          </cell>
          <cell r="AA58">
            <v>-586.06988764044945</v>
          </cell>
          <cell r="AB58" t="str">
            <v>N</v>
          </cell>
          <cell r="AC58" t="str">
            <v>N</v>
          </cell>
          <cell r="AD58">
            <v>1</v>
          </cell>
          <cell r="AE58">
            <v>0.15</v>
          </cell>
          <cell r="AF58">
            <v>0</v>
          </cell>
          <cell r="AG58">
            <v>5.9235784653954827E-2</v>
          </cell>
          <cell r="AH58">
            <v>5.871365545998302E-2</v>
          </cell>
          <cell r="AI58">
            <v>0.1</v>
          </cell>
          <cell r="AJ58">
            <v>0</v>
          </cell>
          <cell r="AK58">
            <v>0.2</v>
          </cell>
          <cell r="AL58">
            <v>1.9679494401139379</v>
          </cell>
          <cell r="AM58">
            <v>1.21</v>
          </cell>
          <cell r="AN58">
            <v>-0.75794944011393794</v>
          </cell>
          <cell r="AO58">
            <v>16017777</v>
          </cell>
          <cell r="AP58">
            <v>-242813.30218039826</v>
          </cell>
          <cell r="AQ58">
            <v>-607033.25545099564</v>
          </cell>
        </row>
        <row r="59">
          <cell r="A59">
            <v>61310</v>
          </cell>
          <cell r="B59" t="str">
            <v>Sedgwick County Health Center</v>
          </cell>
          <cell r="C59">
            <v>0</v>
          </cell>
          <cell r="D59">
            <v>0</v>
          </cell>
          <cell r="E59">
            <v>81.256367479999994</v>
          </cell>
          <cell r="F59">
            <v>6248.5376609999994</v>
          </cell>
          <cell r="G59">
            <v>401.8</v>
          </cell>
          <cell r="H59">
            <v>10802</v>
          </cell>
          <cell r="I59"/>
          <cell r="J59"/>
          <cell r="K59" t="str">
            <v>LOW</v>
          </cell>
          <cell r="L59">
            <v>1</v>
          </cell>
          <cell r="M59">
            <v>1</v>
          </cell>
          <cell r="N59">
            <v>15</v>
          </cell>
          <cell r="O59">
            <v>1</v>
          </cell>
          <cell r="P59">
            <v>584.66666666666663</v>
          </cell>
          <cell r="Q59">
            <v>0</v>
          </cell>
          <cell r="R59">
            <v>0</v>
          </cell>
          <cell r="S59" t="str">
            <v/>
          </cell>
          <cell r="T59">
            <v>0.76845125466666664</v>
          </cell>
          <cell r="U59">
            <v>16425.635208717667</v>
          </cell>
          <cell r="V59">
            <v>14044.806678138333</v>
          </cell>
          <cell r="W59">
            <v>1120.206679549</v>
          </cell>
          <cell r="X59">
            <v>944.159240103</v>
          </cell>
          <cell r="Y59">
            <v>12140.668911252</v>
          </cell>
          <cell r="Z59">
            <v>-763051</v>
          </cell>
          <cell r="AA59">
            <v>853.11174458380844</v>
          </cell>
          <cell r="AB59" t="str">
            <v>N</v>
          </cell>
          <cell r="AC59" t="str">
            <v>N</v>
          </cell>
          <cell r="AD59">
            <v>1</v>
          </cell>
          <cell r="AE59">
            <v>0.15</v>
          </cell>
          <cell r="AF59">
            <v>5.7981573504273465E-2</v>
          </cell>
          <cell r="AG59">
            <v>0</v>
          </cell>
          <cell r="AH59">
            <v>0</v>
          </cell>
          <cell r="AI59">
            <v>6.0301919749473777E-2</v>
          </cell>
          <cell r="AJ59">
            <v>0</v>
          </cell>
          <cell r="AK59">
            <v>0.2</v>
          </cell>
          <cell r="AL59">
            <v>1.8682834932537473</v>
          </cell>
          <cell r="AM59">
            <v>1.72</v>
          </cell>
          <cell r="AN59">
            <v>-0.14828349325374734</v>
          </cell>
          <cell r="AO59">
            <v>9538875</v>
          </cell>
          <cell r="AP59">
            <v>-28289.154134216784</v>
          </cell>
          <cell r="AQ59">
            <v>-70722.885335541956</v>
          </cell>
        </row>
        <row r="60">
          <cell r="A60">
            <v>61311</v>
          </cell>
          <cell r="B60" t="str">
            <v>Southeast Colorado Hospital District</v>
          </cell>
          <cell r="C60">
            <v>0</v>
          </cell>
          <cell r="D60">
            <v>0</v>
          </cell>
          <cell r="E60">
            <v>81.256367479999994</v>
          </cell>
          <cell r="F60">
            <v>6248.5376609999994</v>
          </cell>
          <cell r="G60">
            <v>217.32</v>
          </cell>
          <cell r="H60">
            <v>0</v>
          </cell>
          <cell r="I60"/>
          <cell r="J60"/>
          <cell r="K60" t="str">
            <v>LOW</v>
          </cell>
          <cell r="L60">
            <v>1</v>
          </cell>
          <cell r="M60">
            <v>1</v>
          </cell>
          <cell r="N60">
            <v>23</v>
          </cell>
          <cell r="O60">
            <v>1</v>
          </cell>
          <cell r="P60">
            <v>371</v>
          </cell>
          <cell r="Q60">
            <v>0</v>
          </cell>
          <cell r="R60">
            <v>0</v>
          </cell>
          <cell r="S60" t="str">
            <v/>
          </cell>
          <cell r="T60">
            <v>0.96953000899999997</v>
          </cell>
          <cell r="U60">
            <v>38957.248117825337</v>
          </cell>
          <cell r="V60">
            <v>37929.858829610668</v>
          </cell>
          <cell r="W60">
            <v>5141.8258177260004</v>
          </cell>
          <cell r="X60">
            <v>1777.00672188</v>
          </cell>
          <cell r="Y60">
            <v>29168.398976951001</v>
          </cell>
          <cell r="Z60">
            <v>-2003323</v>
          </cell>
          <cell r="AA60">
            <v>782.53908355795147</v>
          </cell>
          <cell r="AB60" t="str">
            <v>N</v>
          </cell>
          <cell r="AC60" t="str">
            <v>N</v>
          </cell>
          <cell r="AD60">
            <v>1</v>
          </cell>
          <cell r="AE60">
            <v>0.15</v>
          </cell>
          <cell r="AF60">
            <v>0.18687821089743589</v>
          </cell>
          <cell r="AG60">
            <v>0</v>
          </cell>
          <cell r="AH60">
            <v>0</v>
          </cell>
          <cell r="AI60">
            <v>6.3585896530574615E-2</v>
          </cell>
          <cell r="AJ60">
            <v>0</v>
          </cell>
          <cell r="AK60">
            <v>0.2</v>
          </cell>
          <cell r="AL60">
            <v>2.0004641074280105</v>
          </cell>
          <cell r="AM60">
            <v>0</v>
          </cell>
          <cell r="AN60">
            <v>0</v>
          </cell>
          <cell r="AO60">
            <v>14278645.666666666</v>
          </cell>
          <cell r="AP60">
            <v>0</v>
          </cell>
          <cell r="AQ60">
            <v>0</v>
          </cell>
        </row>
        <row r="61">
          <cell r="A61">
            <v>61313</v>
          </cell>
          <cell r="B61" t="str">
            <v>Kit Carson County Health Service District</v>
          </cell>
          <cell r="C61">
            <v>0</v>
          </cell>
          <cell r="D61">
            <v>0</v>
          </cell>
          <cell r="E61">
            <v>81.256367479999994</v>
          </cell>
          <cell r="F61">
            <v>6248.5376609999994</v>
          </cell>
          <cell r="G61">
            <v>421.45</v>
          </cell>
          <cell r="H61">
            <v>13981</v>
          </cell>
          <cell r="I61"/>
          <cell r="J61"/>
          <cell r="K61" t="str">
            <v>LOW</v>
          </cell>
          <cell r="L61">
            <v>1</v>
          </cell>
          <cell r="M61">
            <v>1</v>
          </cell>
          <cell r="N61">
            <v>19</v>
          </cell>
          <cell r="O61">
            <v>1</v>
          </cell>
          <cell r="P61">
            <v>1157</v>
          </cell>
          <cell r="Q61">
            <v>0</v>
          </cell>
          <cell r="R61">
            <v>0</v>
          </cell>
          <cell r="S61" t="str">
            <v/>
          </cell>
          <cell r="T61">
            <v>0.7634872473333334</v>
          </cell>
          <cell r="U61">
            <v>13259.065116528667</v>
          </cell>
          <cell r="V61">
            <v>13737.347220750666</v>
          </cell>
          <cell r="W61">
            <v>3588.6206800320001</v>
          </cell>
          <cell r="X61">
            <v>2141.0672109060001</v>
          </cell>
          <cell r="Y61">
            <v>12887.917702320001</v>
          </cell>
          <cell r="Z61">
            <v>-3386470</v>
          </cell>
          <cell r="AA61">
            <v>-822.41371362719678</v>
          </cell>
          <cell r="AB61" t="str">
            <v>N</v>
          </cell>
          <cell r="AC61" t="str">
            <v>N</v>
          </cell>
          <cell r="AD61">
            <v>1</v>
          </cell>
          <cell r="AE61">
            <v>0.15</v>
          </cell>
          <cell r="AF61">
            <v>5.4799517521367552E-2</v>
          </cell>
          <cell r="AG61">
            <v>3.0207899647475129E-2</v>
          </cell>
          <cell r="AH61">
            <v>0</v>
          </cell>
          <cell r="AI61">
            <v>0.1</v>
          </cell>
          <cell r="AJ61">
            <v>0</v>
          </cell>
          <cell r="AK61">
            <v>0.2</v>
          </cell>
          <cell r="AL61">
            <v>1.9350074171688427</v>
          </cell>
          <cell r="AM61">
            <v>1.5</v>
          </cell>
          <cell r="AN61">
            <v>-0.43500741716884272</v>
          </cell>
          <cell r="AO61">
            <v>14798753.666666666</v>
          </cell>
          <cell r="AP61">
            <v>-128751.35219709214</v>
          </cell>
          <cell r="AQ61">
            <v>-321878.38049273036</v>
          </cell>
        </row>
        <row r="62">
          <cell r="A62">
            <v>61315</v>
          </cell>
          <cell r="B62" t="str">
            <v>Yuma District Hospital</v>
          </cell>
          <cell r="C62">
            <v>0</v>
          </cell>
          <cell r="D62">
            <v>0</v>
          </cell>
          <cell r="E62">
            <v>81.256367479999994</v>
          </cell>
          <cell r="F62">
            <v>6248.5376609999994</v>
          </cell>
          <cell r="G62">
            <v>388.19</v>
          </cell>
          <cell r="H62">
            <v>18472</v>
          </cell>
          <cell r="I62"/>
          <cell r="J62"/>
          <cell r="K62" t="str">
            <v>LOW</v>
          </cell>
          <cell r="L62">
            <v>1</v>
          </cell>
          <cell r="M62">
            <v>1</v>
          </cell>
          <cell r="N62">
            <v>15</v>
          </cell>
          <cell r="O62">
            <v>1</v>
          </cell>
          <cell r="P62">
            <v>1669.6666666666667</v>
          </cell>
          <cell r="Q62">
            <v>0</v>
          </cell>
          <cell r="R62">
            <v>0</v>
          </cell>
          <cell r="S62" t="str">
            <v/>
          </cell>
          <cell r="T62">
            <v>0.87018464833333331</v>
          </cell>
          <cell r="U62">
            <v>11917.905190594667</v>
          </cell>
          <cell r="V62">
            <v>11429.336760755999</v>
          </cell>
          <cell r="W62">
            <v>1827.6347748149999</v>
          </cell>
          <cell r="X62">
            <v>1991.8117827379999</v>
          </cell>
          <cell r="Y62">
            <v>6915.8658498249997</v>
          </cell>
          <cell r="Z62">
            <v>-1117641</v>
          </cell>
          <cell r="AA62">
            <v>-360.2080255540028</v>
          </cell>
          <cell r="AB62" t="str">
            <v>N</v>
          </cell>
          <cell r="AC62" t="str">
            <v>N</v>
          </cell>
          <cell r="AD62">
            <v>1</v>
          </cell>
          <cell r="AE62">
            <v>0.15</v>
          </cell>
          <cell r="AF62">
            <v>0.12319528739316238</v>
          </cell>
          <cell r="AG62">
            <v>4.7382440893908737E-2</v>
          </cell>
          <cell r="AH62">
            <v>6.1181211067684585E-3</v>
          </cell>
          <cell r="AI62">
            <v>0.1</v>
          </cell>
          <cell r="AJ62">
            <v>0</v>
          </cell>
          <cell r="AK62">
            <v>0.2</v>
          </cell>
          <cell r="AL62">
            <v>2.0266958493938398</v>
          </cell>
          <cell r="AM62">
            <v>1.54</v>
          </cell>
          <cell r="AN62">
            <v>-0.48669584939383981</v>
          </cell>
          <cell r="AO62">
            <v>19903403.666666668</v>
          </cell>
          <cell r="AP62">
            <v>-193738.07906753599</v>
          </cell>
          <cell r="AQ62">
            <v>-484345.19766884</v>
          </cell>
        </row>
        <row r="63">
          <cell r="A63">
            <v>61316</v>
          </cell>
          <cell r="B63" t="str">
            <v>Spanish Peaks Regional Health Center</v>
          </cell>
          <cell r="C63">
            <v>0</v>
          </cell>
          <cell r="D63">
            <v>0</v>
          </cell>
          <cell r="E63">
            <v>81.256367479999994</v>
          </cell>
          <cell r="F63">
            <v>6248.5376609999994</v>
          </cell>
          <cell r="G63">
            <v>348.88</v>
          </cell>
          <cell r="H63">
            <v>0</v>
          </cell>
          <cell r="I63"/>
          <cell r="J63"/>
          <cell r="K63" t="str">
            <v>LOW</v>
          </cell>
          <cell r="L63">
            <v>1</v>
          </cell>
          <cell r="M63">
            <v>1</v>
          </cell>
          <cell r="N63">
            <v>20</v>
          </cell>
          <cell r="O63">
            <v>1</v>
          </cell>
          <cell r="P63">
            <v>349.66666666666669</v>
          </cell>
          <cell r="Q63">
            <v>0</v>
          </cell>
          <cell r="R63">
            <v>0</v>
          </cell>
          <cell r="S63" t="str">
            <v/>
          </cell>
          <cell r="T63">
            <v>0.87195024966666657</v>
          </cell>
          <cell r="U63">
            <v>63230.861086427329</v>
          </cell>
          <cell r="V63">
            <v>66315.132378281662</v>
          </cell>
          <cell r="W63">
            <v>10264.749020712999</v>
          </cell>
          <cell r="X63">
            <v>4082.8045984250002</v>
          </cell>
          <cell r="Y63">
            <v>58089.344356633999</v>
          </cell>
          <cell r="Z63">
            <v>-5368769</v>
          </cell>
          <cell r="AA63">
            <v>-5651.6863679694943</v>
          </cell>
          <cell r="AB63" t="str">
            <v>N</v>
          </cell>
          <cell r="AC63" t="str">
            <v>N</v>
          </cell>
          <cell r="AD63">
            <v>1</v>
          </cell>
          <cell r="AE63">
            <v>0.15</v>
          </cell>
          <cell r="AF63">
            <v>0.12432708311965807</v>
          </cell>
          <cell r="AG63">
            <v>0</v>
          </cell>
          <cell r="AH63">
            <v>0</v>
          </cell>
          <cell r="AI63">
            <v>0.1</v>
          </cell>
          <cell r="AJ63">
            <v>0</v>
          </cell>
          <cell r="AK63">
            <v>0.2</v>
          </cell>
          <cell r="AL63">
            <v>1.974327083119658</v>
          </cell>
          <cell r="AM63">
            <v>0</v>
          </cell>
          <cell r="AN63">
            <v>0</v>
          </cell>
          <cell r="AO63">
            <v>22033174.666666668</v>
          </cell>
          <cell r="AP63">
            <v>0</v>
          </cell>
          <cell r="AQ63">
            <v>0</v>
          </cell>
        </row>
        <row r="64">
          <cell r="A64">
            <v>61319</v>
          </cell>
          <cell r="B64" t="str">
            <v>St. Vincent General Hospital District</v>
          </cell>
          <cell r="C64">
            <v>0</v>
          </cell>
          <cell r="D64">
            <v>0</v>
          </cell>
          <cell r="E64">
            <v>81.256367479999994</v>
          </cell>
          <cell r="F64">
            <v>6248.5376609999994</v>
          </cell>
          <cell r="G64">
            <v>406.6</v>
          </cell>
          <cell r="H64">
            <v>0</v>
          </cell>
          <cell r="I64"/>
          <cell r="J64"/>
          <cell r="K64" t="str">
            <v>LOW</v>
          </cell>
          <cell r="L64">
            <v>1</v>
          </cell>
          <cell r="M64">
            <v>1</v>
          </cell>
          <cell r="N64">
            <v>25</v>
          </cell>
          <cell r="O64">
            <v>1</v>
          </cell>
          <cell r="P64">
            <v>855.66666666666663</v>
          </cell>
          <cell r="Q64">
            <v>0</v>
          </cell>
          <cell r="R64">
            <v>0</v>
          </cell>
          <cell r="S64" t="str">
            <v/>
          </cell>
          <cell r="T64">
            <v>0.71846224700000005</v>
          </cell>
          <cell r="U64">
            <v>9673.2781209553341</v>
          </cell>
          <cell r="V64">
            <v>11633.091214895334</v>
          </cell>
          <cell r="W64">
            <v>2812.3896845700001</v>
          </cell>
          <cell r="X64">
            <v>585.62971272000004</v>
          </cell>
          <cell r="Y64">
            <v>6543.0221377620001</v>
          </cell>
          <cell r="Z64">
            <v>-2610770</v>
          </cell>
          <cell r="AA64">
            <v>-498.55746007012078</v>
          </cell>
          <cell r="AB64" t="str">
            <v>N</v>
          </cell>
          <cell r="AC64" t="str">
            <v>N</v>
          </cell>
          <cell r="AD64">
            <v>1</v>
          </cell>
          <cell r="AE64">
            <v>0.15</v>
          </cell>
          <cell r="AF64">
            <v>2.5937337820512829E-2</v>
          </cell>
          <cell r="AG64">
            <v>7.6126544743816957E-2</v>
          </cell>
          <cell r="AH64">
            <v>2.6617266345151163E-3</v>
          </cell>
          <cell r="AI64">
            <v>0.1</v>
          </cell>
          <cell r="AJ64">
            <v>0</v>
          </cell>
          <cell r="AK64">
            <v>0.2</v>
          </cell>
          <cell r="AL64">
            <v>1.954725609198845</v>
          </cell>
          <cell r="AM64">
            <v>0</v>
          </cell>
          <cell r="AN64">
            <v>0</v>
          </cell>
          <cell r="AO64">
            <v>6776161.333333333</v>
          </cell>
          <cell r="AP64">
            <v>0</v>
          </cell>
          <cell r="AQ64">
            <v>0</v>
          </cell>
        </row>
        <row r="65">
          <cell r="A65">
            <v>61325</v>
          </cell>
          <cell r="B65" t="str">
            <v>Pioneers Medical Center</v>
          </cell>
          <cell r="C65">
            <v>0</v>
          </cell>
          <cell r="D65">
            <v>0</v>
          </cell>
          <cell r="E65">
            <v>81.256367479999994</v>
          </cell>
          <cell r="F65">
            <v>6248.5376609999994</v>
          </cell>
          <cell r="G65">
            <v>0</v>
          </cell>
          <cell r="H65">
            <v>17906</v>
          </cell>
          <cell r="I65"/>
          <cell r="J65"/>
          <cell r="K65" t="str">
            <v>LOW</v>
          </cell>
          <cell r="L65">
            <v>1</v>
          </cell>
          <cell r="M65">
            <v>1</v>
          </cell>
          <cell r="N65">
            <v>10</v>
          </cell>
          <cell r="O65">
            <v>1</v>
          </cell>
          <cell r="P65">
            <v>544</v>
          </cell>
          <cell r="Q65">
            <v>0</v>
          </cell>
          <cell r="R65">
            <v>0</v>
          </cell>
          <cell r="S65" t="str">
            <v/>
          </cell>
          <cell r="T65">
            <v>0.76512467633333336</v>
          </cell>
          <cell r="U65">
            <v>30674.153253968328</v>
          </cell>
          <cell r="V65">
            <v>35487.122241996003</v>
          </cell>
          <cell r="W65">
            <v>4822.5602000239996</v>
          </cell>
          <cell r="X65">
            <v>8594.3854863929992</v>
          </cell>
          <cell r="Y65">
            <v>23871.758048188</v>
          </cell>
          <cell r="Z65">
            <v>-4226594</v>
          </cell>
          <cell r="AA65">
            <v>976.19424019607834</v>
          </cell>
          <cell r="AB65" t="str">
            <v>N</v>
          </cell>
          <cell r="AC65" t="str">
            <v>N</v>
          </cell>
          <cell r="AD65">
            <v>1</v>
          </cell>
          <cell r="AE65">
            <v>0.15</v>
          </cell>
          <cell r="AF65">
            <v>5.5849151495726494E-2</v>
          </cell>
          <cell r="AG65">
            <v>0</v>
          </cell>
          <cell r="AH65">
            <v>0</v>
          </cell>
          <cell r="AI65">
            <v>5.4574488590224374E-2</v>
          </cell>
          <cell r="AJ65">
            <v>0</v>
          </cell>
          <cell r="AK65">
            <v>0.2</v>
          </cell>
          <cell r="AL65">
            <v>1.8604236400859508</v>
          </cell>
          <cell r="AM65">
            <v>0</v>
          </cell>
          <cell r="AN65">
            <v>0</v>
          </cell>
          <cell r="AO65">
            <v>16761213</v>
          </cell>
          <cell r="AP65">
            <v>0</v>
          </cell>
          <cell r="AQ65">
            <v>0</v>
          </cell>
        </row>
        <row r="66">
          <cell r="A66">
            <v>61326</v>
          </cell>
          <cell r="B66" t="str">
            <v>Pikes Peak Regional Hospital</v>
          </cell>
          <cell r="C66">
            <v>0</v>
          </cell>
          <cell r="D66">
            <v>0</v>
          </cell>
          <cell r="E66">
            <v>81.256367479999994</v>
          </cell>
          <cell r="F66">
            <v>6248.5376609999994</v>
          </cell>
          <cell r="G66">
            <v>0</v>
          </cell>
          <cell r="H66">
            <v>10578</v>
          </cell>
          <cell r="I66"/>
          <cell r="J66"/>
          <cell r="K66" t="str">
            <v>LOW</v>
          </cell>
          <cell r="L66">
            <v>0</v>
          </cell>
          <cell r="M66">
            <v>1</v>
          </cell>
          <cell r="N66">
            <v>15</v>
          </cell>
          <cell r="O66">
            <v>1</v>
          </cell>
          <cell r="P66">
            <v>2643</v>
          </cell>
          <cell r="Q66">
            <v>0</v>
          </cell>
          <cell r="R66">
            <v>0</v>
          </cell>
          <cell r="S66" t="str">
            <v>National Affiliation - Only one CO hospital</v>
          </cell>
          <cell r="T66">
            <v>0.61416679066666668</v>
          </cell>
          <cell r="U66">
            <v>8958.214390490999</v>
          </cell>
          <cell r="V66">
            <v>6634.2644768850005</v>
          </cell>
          <cell r="W66">
            <v>1193.7364467570001</v>
          </cell>
          <cell r="X66">
            <v>1164.350590706</v>
          </cell>
          <cell r="Y66">
            <v>3985.126774763</v>
          </cell>
          <cell r="Z66">
            <v>-3610310</v>
          </cell>
          <cell r="AA66">
            <v>458.40938327657966</v>
          </cell>
          <cell r="AB66" t="str">
            <v>N</v>
          </cell>
          <cell r="AC66" t="str">
            <v>N</v>
          </cell>
          <cell r="AD66">
            <v>0</v>
          </cell>
          <cell r="AE66">
            <v>0</v>
          </cell>
          <cell r="AF66">
            <v>0</v>
          </cell>
          <cell r="AG66">
            <v>8.5283462793046494E-2</v>
          </cell>
          <cell r="AH66">
            <v>8.7459466040966924E-2</v>
          </cell>
          <cell r="AI66">
            <v>7.8668711806580749E-2</v>
          </cell>
          <cell r="AJ66">
            <v>0</v>
          </cell>
          <cell r="AK66">
            <v>0.2</v>
          </cell>
          <cell r="AL66">
            <v>1.8514116406405943</v>
          </cell>
          <cell r="AM66">
            <v>0</v>
          </cell>
          <cell r="AN66">
            <v>0</v>
          </cell>
          <cell r="AO66">
            <v>23352504</v>
          </cell>
          <cell r="AP66">
            <v>0</v>
          </cell>
          <cell r="AQ66">
            <v>0</v>
          </cell>
        </row>
        <row r="67">
          <cell r="A67">
            <v>61343</v>
          </cell>
          <cell r="B67" t="str">
            <v>Keefe Memorial Health Service District</v>
          </cell>
          <cell r="C67">
            <v>0</v>
          </cell>
          <cell r="D67">
            <v>0</v>
          </cell>
          <cell r="E67">
            <v>81.256367479999994</v>
          </cell>
          <cell r="F67">
            <v>6248.5376609999994</v>
          </cell>
          <cell r="G67">
            <v>267.52999999999997</v>
          </cell>
          <cell r="H67">
            <v>11931</v>
          </cell>
          <cell r="I67"/>
          <cell r="J67"/>
          <cell r="K67" t="str">
            <v>LOW</v>
          </cell>
          <cell r="L67">
            <v>1</v>
          </cell>
          <cell r="M67">
            <v>1</v>
          </cell>
          <cell r="N67">
            <v>25</v>
          </cell>
          <cell r="O67">
            <v>1</v>
          </cell>
          <cell r="P67">
            <v>530.33333333333337</v>
          </cell>
          <cell r="Q67">
            <v>0</v>
          </cell>
          <cell r="R67">
            <v>0</v>
          </cell>
          <cell r="S67" t="str">
            <v/>
          </cell>
          <cell r="T67">
            <v>0.40029224700000005</v>
          </cell>
          <cell r="U67">
            <v>9756.8437574016662</v>
          </cell>
          <cell r="V67">
            <v>11079.902154845333</v>
          </cell>
          <cell r="W67">
            <v>1572.683096235</v>
          </cell>
          <cell r="X67">
            <v>593.44660303800003</v>
          </cell>
          <cell r="Y67">
            <v>6456.0067772619996</v>
          </cell>
          <cell r="Z67">
            <v>-1372035</v>
          </cell>
          <cell r="AA67">
            <v>1566.846008799497</v>
          </cell>
          <cell r="AB67" t="str">
            <v>N</v>
          </cell>
          <cell r="AC67" t="str">
            <v>N</v>
          </cell>
          <cell r="AD67">
            <v>1</v>
          </cell>
          <cell r="AE67">
            <v>0.15</v>
          </cell>
          <cell r="AF67">
            <v>0</v>
          </cell>
          <cell r="AG67">
            <v>7.5056425183741005E-2</v>
          </cell>
          <cell r="AH67">
            <v>1.2045764972937524E-2</v>
          </cell>
          <cell r="AI67">
            <v>2.7089529604490604E-2</v>
          </cell>
          <cell r="AJ67">
            <v>0</v>
          </cell>
          <cell r="AK67">
            <v>0.2</v>
          </cell>
          <cell r="AL67">
            <v>1.8641917197611693</v>
          </cell>
          <cell r="AM67">
            <v>2.5</v>
          </cell>
          <cell r="AN67">
            <v>0.63580828023883074</v>
          </cell>
          <cell r="AO67">
            <v>4950476.666666667</v>
          </cell>
          <cell r="AP67">
            <v>62951.081115915862</v>
          </cell>
          <cell r="AQ67">
            <v>157377.70278978965</v>
          </cell>
        </row>
        <row r="68">
          <cell r="A68">
            <v>60044</v>
          </cell>
          <cell r="B68" t="str">
            <v>Colorado Plains Medical Center</v>
          </cell>
          <cell r="C68">
            <v>87.025569571079984</v>
          </cell>
          <cell r="D68">
            <v>8866.3983086848166</v>
          </cell>
          <cell r="E68">
            <v>81.256367479999994</v>
          </cell>
          <cell r="F68">
            <v>6248.5376609999994</v>
          </cell>
          <cell r="G68">
            <v>591.45000000000005</v>
          </cell>
          <cell r="H68">
            <v>22604</v>
          </cell>
          <cell r="I68"/>
          <cell r="J68"/>
          <cell r="K68" t="str">
            <v>MID</v>
          </cell>
          <cell r="L68">
            <v>1</v>
          </cell>
          <cell r="M68">
            <v>0</v>
          </cell>
          <cell r="N68">
            <v>50</v>
          </cell>
          <cell r="O68">
            <v>2</v>
          </cell>
          <cell r="P68">
            <v>4080.6666666666665</v>
          </cell>
          <cell r="Q68">
            <v>0</v>
          </cell>
          <cell r="R68">
            <v>1</v>
          </cell>
          <cell r="S68" t="str">
            <v>National Affiliation - Only one CO hospital</v>
          </cell>
          <cell r="T68">
            <v>0.7475688806666666</v>
          </cell>
          <cell r="U68">
            <v>14556.063438124334</v>
          </cell>
          <cell r="V68">
            <v>7212.8781219436669</v>
          </cell>
          <cell r="W68">
            <v>497.98945555</v>
          </cell>
          <cell r="X68">
            <v>767.69186733399999</v>
          </cell>
          <cell r="Y68">
            <v>5003.9394492390002</v>
          </cell>
          <cell r="Z68">
            <v>7698838</v>
          </cell>
          <cell r="AA68">
            <v>2424.0268746936777</v>
          </cell>
          <cell r="AB68" t="str">
            <v>N</v>
          </cell>
          <cell r="AC68" t="str">
            <v>N</v>
          </cell>
          <cell r="AD68">
            <v>0</v>
          </cell>
          <cell r="AE68">
            <v>0</v>
          </cell>
          <cell r="AF68">
            <v>4.4595436324786263E-2</v>
          </cell>
          <cell r="AG68">
            <v>1.3598880290378611E-2</v>
          </cell>
          <cell r="AH68">
            <v>7.7644137032338134E-2</v>
          </cell>
          <cell r="AI68">
            <v>0</v>
          </cell>
          <cell r="AJ68">
            <v>0</v>
          </cell>
          <cell r="AK68">
            <v>0</v>
          </cell>
          <cell r="AL68">
            <v>1.7358384536475031</v>
          </cell>
          <cell r="AM68">
            <v>5.73</v>
          </cell>
          <cell r="AN68">
            <v>3.9941615463524975</v>
          </cell>
          <cell r="AO68">
            <v>59272443.666666664</v>
          </cell>
          <cell r="AP68">
            <v>4734874.3050348926</v>
          </cell>
          <cell r="AQ68">
            <v>11837185.762587233</v>
          </cell>
        </row>
        <row r="69">
          <cell r="A69">
            <v>61336</v>
          </cell>
          <cell r="B69" t="str">
            <v>Arkansas Valley Regional Medical Center</v>
          </cell>
          <cell r="C69">
            <v>0</v>
          </cell>
          <cell r="D69">
            <v>0</v>
          </cell>
          <cell r="E69">
            <v>81.256367479999994</v>
          </cell>
          <cell r="F69">
            <v>6248.5376609999994</v>
          </cell>
          <cell r="G69">
            <v>311.58999999999997</v>
          </cell>
          <cell r="H69">
            <v>13057</v>
          </cell>
          <cell r="I69"/>
          <cell r="J69"/>
          <cell r="K69" t="str">
            <v>MID</v>
          </cell>
          <cell r="L69">
            <v>1</v>
          </cell>
          <cell r="M69">
            <v>1</v>
          </cell>
          <cell r="N69">
            <v>25</v>
          </cell>
          <cell r="O69">
            <v>1</v>
          </cell>
          <cell r="P69">
            <v>3774</v>
          </cell>
          <cell r="Q69">
            <v>0</v>
          </cell>
          <cell r="R69">
            <v>0</v>
          </cell>
          <cell r="S69" t="str">
            <v/>
          </cell>
          <cell r="T69">
            <v>0.81497073433333334</v>
          </cell>
          <cell r="U69">
            <v>10176.720524751001</v>
          </cell>
          <cell r="V69">
            <v>8342.5473197483334</v>
          </cell>
          <cell r="W69">
            <v>1071.437100005</v>
          </cell>
          <cell r="X69">
            <v>732.28662250499997</v>
          </cell>
          <cell r="Y69">
            <v>6460.5195806359998</v>
          </cell>
          <cell r="Z69">
            <v>135597</v>
          </cell>
          <cell r="AA69">
            <v>-184.06668433139021</v>
          </cell>
          <cell r="AB69" t="str">
            <v>N</v>
          </cell>
          <cell r="AC69" t="str">
            <v>N</v>
          </cell>
          <cell r="AD69">
            <v>1</v>
          </cell>
          <cell r="AE69">
            <v>0.15</v>
          </cell>
          <cell r="AF69">
            <v>8.780175277777777E-2</v>
          </cell>
          <cell r="AG69">
            <v>6.9679593741183238E-2</v>
          </cell>
          <cell r="AH69">
            <v>5.8480961497059662E-2</v>
          </cell>
          <cell r="AI69">
            <v>0.1</v>
          </cell>
          <cell r="AJ69">
            <v>0</v>
          </cell>
          <cell r="AK69">
            <v>0.2</v>
          </cell>
          <cell r="AL69">
            <v>2.0659623080160205</v>
          </cell>
          <cell r="AM69">
            <v>3.35</v>
          </cell>
          <cell r="AN69">
            <v>1.2840376919839795</v>
          </cell>
          <cell r="AO69">
            <v>38364251.666666664</v>
          </cell>
          <cell r="AP69">
            <v>985222.90329518414</v>
          </cell>
          <cell r="AQ69">
            <v>2463057.2582379603</v>
          </cell>
        </row>
        <row r="70">
          <cell r="A70">
            <v>60008</v>
          </cell>
          <cell r="B70" t="str">
            <v>San Luis Valley Health Regional Medical Center</v>
          </cell>
          <cell r="C70">
            <v>87.025569571079984</v>
          </cell>
          <cell r="D70">
            <v>8378.7554195361445</v>
          </cell>
          <cell r="E70">
            <v>81.256367479999994</v>
          </cell>
          <cell r="F70">
            <v>6248.5376609999994</v>
          </cell>
          <cell r="G70">
            <v>251.2</v>
          </cell>
          <cell r="H70">
            <v>13118</v>
          </cell>
          <cell r="I70"/>
          <cell r="J70"/>
          <cell r="K70" t="str">
            <v>MID</v>
          </cell>
          <cell r="L70">
            <v>1</v>
          </cell>
          <cell r="M70">
            <v>0</v>
          </cell>
          <cell r="N70">
            <v>49</v>
          </cell>
          <cell r="O70">
            <v>2</v>
          </cell>
          <cell r="P70">
            <v>6840.333333333333</v>
          </cell>
          <cell r="Q70">
            <v>0</v>
          </cell>
          <cell r="R70">
            <v>0</v>
          </cell>
          <cell r="S70" t="str">
            <v>San Luis Valley Health</v>
          </cell>
          <cell r="T70">
            <v>0.71488421099999988</v>
          </cell>
          <cell r="U70">
            <v>10009.248532135001</v>
          </cell>
          <cell r="V70">
            <v>7203.735087021334</v>
          </cell>
          <cell r="W70">
            <v>1294.3822745279999</v>
          </cell>
          <cell r="X70">
            <v>487.082065484</v>
          </cell>
          <cell r="Y70">
            <v>5592.3422301150003</v>
          </cell>
          <cell r="Z70">
            <v>-1969431</v>
          </cell>
          <cell r="AA70">
            <v>347.48925490960482</v>
          </cell>
          <cell r="AB70" t="str">
            <v>N</v>
          </cell>
          <cell r="AC70" t="str">
            <v>N</v>
          </cell>
          <cell r="AD70">
            <v>0</v>
          </cell>
          <cell r="AE70">
            <v>0</v>
          </cell>
          <cell r="AF70">
            <v>2.36437249999999E-2</v>
          </cell>
          <cell r="AG70">
            <v>7.1824196028492757E-2</v>
          </cell>
          <cell r="AH70">
            <v>7.779923516503251E-2</v>
          </cell>
          <cell r="AI70">
            <v>8.3830188231288752E-2</v>
          </cell>
          <cell r="AJ70">
            <v>0</v>
          </cell>
          <cell r="AK70">
            <v>0</v>
          </cell>
          <cell r="AL70">
            <v>1.857097344424814</v>
          </cell>
          <cell r="AM70">
            <v>2.76</v>
          </cell>
          <cell r="AN70">
            <v>0.90290265557518579</v>
          </cell>
          <cell r="AO70">
            <v>68418273.333333328</v>
          </cell>
          <cell r="AP70">
            <v>1235500.8136507117</v>
          </cell>
          <cell r="AQ70">
            <v>3088752.0341267791</v>
          </cell>
        </row>
        <row r="71">
          <cell r="A71">
            <v>60071</v>
          </cell>
          <cell r="B71" t="str">
            <v>Delta County Memorial Hospital</v>
          </cell>
          <cell r="C71">
            <v>81.256367479999994</v>
          </cell>
          <cell r="D71">
            <v>6472.4071686298503</v>
          </cell>
          <cell r="E71">
            <v>81.256367479999994</v>
          </cell>
          <cell r="F71">
            <v>6248.5376609999994</v>
          </cell>
          <cell r="G71">
            <v>337.66</v>
          </cell>
          <cell r="H71">
            <v>16491</v>
          </cell>
          <cell r="I71"/>
          <cell r="J71"/>
          <cell r="K71" t="str">
            <v>MID</v>
          </cell>
          <cell r="L71">
            <v>1</v>
          </cell>
          <cell r="M71">
            <v>0</v>
          </cell>
          <cell r="N71">
            <v>49</v>
          </cell>
          <cell r="O71">
            <v>2</v>
          </cell>
          <cell r="P71">
            <v>7736.666666666667</v>
          </cell>
          <cell r="Q71">
            <v>0</v>
          </cell>
          <cell r="R71">
            <v>0</v>
          </cell>
          <cell r="S71" t="str">
            <v/>
          </cell>
          <cell r="T71">
            <v>0.76090800699999994</v>
          </cell>
          <cell r="U71">
            <v>9145.0894270689987</v>
          </cell>
          <cell r="V71">
            <v>6275.7819509720002</v>
          </cell>
          <cell r="W71">
            <v>166.57346538100001</v>
          </cell>
          <cell r="X71">
            <v>443.272298707</v>
          </cell>
          <cell r="Y71">
            <v>5252.159806316</v>
          </cell>
          <cell r="Z71">
            <v>-3920485</v>
          </cell>
          <cell r="AA71">
            <v>-118.11917277035759</v>
          </cell>
          <cell r="AB71" t="str">
            <v>N</v>
          </cell>
          <cell r="AC71" t="str">
            <v>N</v>
          </cell>
          <cell r="AD71">
            <v>1</v>
          </cell>
          <cell r="AE71">
            <v>0.15</v>
          </cell>
          <cell r="AF71">
            <v>5.3146158333333277E-2</v>
          </cell>
          <cell r="AG71">
            <v>8.289039022833912E-2</v>
          </cell>
          <cell r="AH71">
            <v>9.3540594555182363E-2</v>
          </cell>
          <cell r="AI71">
            <v>0.1</v>
          </cell>
          <cell r="AJ71">
            <v>0</v>
          </cell>
          <cell r="AK71">
            <v>0</v>
          </cell>
          <cell r="AL71">
            <v>2.0795771431168548</v>
          </cell>
          <cell r="AM71">
            <v>3.81</v>
          </cell>
          <cell r="AN71">
            <v>1.7304228568831452</v>
          </cell>
          <cell r="AO71">
            <v>70715775.333333328</v>
          </cell>
          <cell r="AP71">
            <v>2447363.8795802663</v>
          </cell>
          <cell r="AQ71">
            <v>6118409.698950666</v>
          </cell>
        </row>
        <row r="72">
          <cell r="A72">
            <v>60076</v>
          </cell>
          <cell r="B72" t="str">
            <v>Sterling Regional MedCenter</v>
          </cell>
          <cell r="C72">
            <v>87.025569571079984</v>
          </cell>
          <cell r="D72">
            <v>10313.179098606466</v>
          </cell>
          <cell r="E72">
            <v>81.256367479999994</v>
          </cell>
          <cell r="F72">
            <v>6248.5376609999994</v>
          </cell>
          <cell r="G72">
            <v>435.49</v>
          </cell>
          <cell r="H72">
            <v>19339</v>
          </cell>
          <cell r="I72"/>
          <cell r="J72"/>
          <cell r="K72" t="str">
            <v>MID</v>
          </cell>
          <cell r="L72">
            <v>1</v>
          </cell>
          <cell r="M72">
            <v>0</v>
          </cell>
          <cell r="N72">
            <v>25</v>
          </cell>
          <cell r="O72">
            <v>1</v>
          </cell>
          <cell r="P72">
            <v>4721.666666666667</v>
          </cell>
          <cell r="Q72">
            <v>0</v>
          </cell>
          <cell r="R72">
            <v>1</v>
          </cell>
          <cell r="S72" t="str">
            <v>Banner</v>
          </cell>
          <cell r="T72">
            <v>0.7788367169999999</v>
          </cell>
          <cell r="U72">
            <v>11021.126087172001</v>
          </cell>
          <cell r="V72">
            <v>8228.7639024223336</v>
          </cell>
          <cell r="W72">
            <v>1485.8997041319999</v>
          </cell>
          <cell r="X72">
            <v>814.72182646900001</v>
          </cell>
          <cell r="Y72">
            <v>6029.7612307999998</v>
          </cell>
          <cell r="Z72">
            <v>9426404</v>
          </cell>
          <cell r="AA72">
            <v>1963.0067772679135</v>
          </cell>
          <cell r="AB72" t="str">
            <v>N</v>
          </cell>
          <cell r="AC72" t="str">
            <v>N</v>
          </cell>
          <cell r="AD72">
            <v>0</v>
          </cell>
          <cell r="AE72">
            <v>0</v>
          </cell>
          <cell r="AF72">
            <v>6.4638921153846077E-2</v>
          </cell>
          <cell r="AG72">
            <v>5.8866358212677675E-2</v>
          </cell>
          <cell r="AH72">
            <v>6.041112972990105E-2</v>
          </cell>
          <cell r="AI72">
            <v>8.6548730913023012E-3</v>
          </cell>
          <cell r="AJ72">
            <v>0</v>
          </cell>
          <cell r="AK72">
            <v>0</v>
          </cell>
          <cell r="AL72">
            <v>1.7925712821877271</v>
          </cell>
          <cell r="AM72">
            <v>4.1900000000000004</v>
          </cell>
          <cell r="AN72">
            <v>2.3974287178122733</v>
          </cell>
          <cell r="AO72">
            <v>52032382.666666664</v>
          </cell>
          <cell r="AP72">
            <v>2494878.5692252843</v>
          </cell>
          <cell r="AQ72">
            <v>6237196.4230632111</v>
          </cell>
        </row>
        <row r="73">
          <cell r="A73">
            <v>60117</v>
          </cell>
          <cell r="B73" t="str">
            <v>Animas Surgical Hospital</v>
          </cell>
          <cell r="C73">
            <v>81.256367479999994</v>
          </cell>
          <cell r="D73">
            <v>6247.6130009999997</v>
          </cell>
          <cell r="E73">
            <v>81.256367479999994</v>
          </cell>
          <cell r="F73">
            <v>6248.5376609999994</v>
          </cell>
          <cell r="G73">
            <v>237.65</v>
          </cell>
          <cell r="H73">
            <v>22531</v>
          </cell>
          <cell r="I73"/>
          <cell r="J73"/>
          <cell r="K73" t="str">
            <v>MID</v>
          </cell>
          <cell r="L73">
            <v>1</v>
          </cell>
          <cell r="M73">
            <v>0</v>
          </cell>
          <cell r="N73">
            <v>12</v>
          </cell>
          <cell r="O73">
            <v>1</v>
          </cell>
          <cell r="P73">
            <v>1502</v>
          </cell>
          <cell r="Q73">
            <v>0</v>
          </cell>
          <cell r="R73">
            <v>1</v>
          </cell>
          <cell r="S73" t="str">
            <v/>
          </cell>
          <cell r="T73">
            <v>0.6340747693333334</v>
          </cell>
          <cell r="U73">
            <v>21917.289328189665</v>
          </cell>
          <cell r="V73">
            <v>15956.882566962666</v>
          </cell>
          <cell r="W73">
            <v>3482.0610007780001</v>
          </cell>
          <cell r="X73">
            <v>1833.5179070839999</v>
          </cell>
          <cell r="Y73">
            <v>11860.889468912001</v>
          </cell>
          <cell r="Z73">
            <v>4992354</v>
          </cell>
          <cell r="AA73">
            <v>3905.2292498890365</v>
          </cell>
          <cell r="AB73" t="str">
            <v>N</v>
          </cell>
          <cell r="AC73" t="str">
            <v>N</v>
          </cell>
          <cell r="AD73">
            <v>1</v>
          </cell>
          <cell r="AE73">
            <v>0.15</v>
          </cell>
          <cell r="AF73">
            <v>0</v>
          </cell>
          <cell r="AG73">
            <v>0</v>
          </cell>
          <cell r="AH73">
            <v>0</v>
          </cell>
          <cell r="AI73">
            <v>0</v>
          </cell>
          <cell r="AJ73">
            <v>0</v>
          </cell>
          <cell r="AK73">
            <v>0</v>
          </cell>
          <cell r="AL73">
            <v>1.75</v>
          </cell>
          <cell r="AM73">
            <v>3.47</v>
          </cell>
          <cell r="AN73">
            <v>1.7200000000000002</v>
          </cell>
          <cell r="AO73">
            <v>32940809.333333332</v>
          </cell>
          <cell r="AP73">
            <v>1133163.8410666666</v>
          </cell>
          <cell r="AQ73">
            <v>2832909.6026666667</v>
          </cell>
        </row>
        <row r="74">
          <cell r="A74">
            <v>61302</v>
          </cell>
          <cell r="B74" t="str">
            <v>Colorado Canyons Hospital and Medical Center</v>
          </cell>
          <cell r="C74">
            <v>0</v>
          </cell>
          <cell r="D74">
            <v>0</v>
          </cell>
          <cell r="E74">
            <v>81.256367479999994</v>
          </cell>
          <cell r="F74">
            <v>6248.5376609999994</v>
          </cell>
          <cell r="G74">
            <v>313.04000000000002</v>
          </cell>
          <cell r="H74">
            <v>18321</v>
          </cell>
          <cell r="I74"/>
          <cell r="J74"/>
          <cell r="K74" t="str">
            <v>MID</v>
          </cell>
          <cell r="L74">
            <v>0</v>
          </cell>
          <cell r="M74">
            <v>1</v>
          </cell>
          <cell r="N74">
            <v>25</v>
          </cell>
          <cell r="O74">
            <v>1</v>
          </cell>
          <cell r="P74">
            <v>917.33333333333337</v>
          </cell>
          <cell r="Q74">
            <v>0</v>
          </cell>
          <cell r="R74">
            <v>0</v>
          </cell>
          <cell r="S74" t="str">
            <v/>
          </cell>
          <cell r="T74">
            <v>0.80205163033333327</v>
          </cell>
          <cell r="U74">
            <v>47449.404775880335</v>
          </cell>
          <cell r="V74">
            <v>39523.423838926996</v>
          </cell>
          <cell r="W74">
            <v>5631.0701924300001</v>
          </cell>
          <cell r="X74">
            <v>5714.6953362690001</v>
          </cell>
          <cell r="Y74">
            <v>36128.879295332998</v>
          </cell>
          <cell r="Z74">
            <v>3469962</v>
          </cell>
          <cell r="AA74">
            <v>5358.1220930232557</v>
          </cell>
          <cell r="AB74" t="str">
            <v>N</v>
          </cell>
          <cell r="AC74" t="str">
            <v>N</v>
          </cell>
          <cell r="AD74">
            <v>1</v>
          </cell>
          <cell r="AE74">
            <v>0.15</v>
          </cell>
          <cell r="AF74">
            <v>7.9520275854700798E-2</v>
          </cell>
          <cell r="AG74">
            <v>0</v>
          </cell>
          <cell r="AH74">
            <v>0</v>
          </cell>
          <cell r="AI74">
            <v>0</v>
          </cell>
          <cell r="AJ74">
            <v>0</v>
          </cell>
          <cell r="AK74">
            <v>0.2</v>
          </cell>
          <cell r="AL74">
            <v>1.8295202758547009</v>
          </cell>
          <cell r="AM74">
            <v>2.19</v>
          </cell>
          <cell r="AN74">
            <v>0.36047972414529905</v>
          </cell>
          <cell r="AO74">
            <v>42868926.333333336</v>
          </cell>
          <cell r="AP74">
            <v>309067.57478090294</v>
          </cell>
          <cell r="AQ74">
            <v>772668.93695225741</v>
          </cell>
        </row>
        <row r="75">
          <cell r="A75">
            <v>61303</v>
          </cell>
          <cell r="B75" t="str">
            <v>East Morgan County Hospital</v>
          </cell>
          <cell r="C75">
            <v>0</v>
          </cell>
          <cell r="D75">
            <v>0</v>
          </cell>
          <cell r="E75">
            <v>81.256367479999994</v>
          </cell>
          <cell r="F75">
            <v>6248.5376609999994</v>
          </cell>
          <cell r="G75">
            <v>0</v>
          </cell>
          <cell r="H75">
            <v>13236</v>
          </cell>
          <cell r="I75"/>
          <cell r="J75"/>
          <cell r="K75" t="str">
            <v>MID</v>
          </cell>
          <cell r="L75">
            <v>1</v>
          </cell>
          <cell r="M75">
            <v>1</v>
          </cell>
          <cell r="N75">
            <v>25</v>
          </cell>
          <cell r="O75">
            <v>1</v>
          </cell>
          <cell r="P75">
            <v>2806</v>
          </cell>
          <cell r="Q75">
            <v>0</v>
          </cell>
          <cell r="R75">
            <v>0</v>
          </cell>
          <cell r="S75" t="str">
            <v>Banner</v>
          </cell>
          <cell r="T75">
            <v>0.83795482333333327</v>
          </cell>
          <cell r="U75">
            <v>10363.285495458333</v>
          </cell>
          <cell r="V75">
            <v>8244.4968933813343</v>
          </cell>
          <cell r="W75">
            <v>1417.5957524370001</v>
          </cell>
          <cell r="X75">
            <v>1209.6463523</v>
          </cell>
          <cell r="Y75">
            <v>5437.3925899289998</v>
          </cell>
          <cell r="Z75">
            <v>1426097</v>
          </cell>
          <cell r="AA75">
            <v>844.54490377761942</v>
          </cell>
          <cell r="AB75" t="str">
            <v>N</v>
          </cell>
          <cell r="AC75" t="str">
            <v>N</v>
          </cell>
          <cell r="AD75">
            <v>0</v>
          </cell>
          <cell r="AE75">
            <v>0</v>
          </cell>
          <cell r="AF75">
            <v>0.10253514316239312</v>
          </cell>
          <cell r="AG75">
            <v>6.7290491798459057E-2</v>
          </cell>
          <cell r="AH75">
            <v>6.0144242690732243E-2</v>
          </cell>
          <cell r="AI75">
            <v>6.070056287679762E-2</v>
          </cell>
          <cell r="AJ75">
            <v>0</v>
          </cell>
          <cell r="AK75">
            <v>0.2</v>
          </cell>
          <cell r="AL75">
            <v>1.8906704405283821</v>
          </cell>
          <cell r="AM75">
            <v>0</v>
          </cell>
          <cell r="AN75">
            <v>0</v>
          </cell>
          <cell r="AO75">
            <v>29082809</v>
          </cell>
          <cell r="AP75">
            <v>0</v>
          </cell>
          <cell r="AQ75">
            <v>0</v>
          </cell>
        </row>
        <row r="76">
          <cell r="A76">
            <v>61312</v>
          </cell>
          <cell r="B76" t="str">
            <v>Estes Park Health</v>
          </cell>
          <cell r="C76">
            <v>0</v>
          </cell>
          <cell r="D76">
            <v>0</v>
          </cell>
          <cell r="E76">
            <v>81.256367479999994</v>
          </cell>
          <cell r="F76">
            <v>6248.5376609999994</v>
          </cell>
          <cell r="G76">
            <v>473.28</v>
          </cell>
          <cell r="H76">
            <v>20419</v>
          </cell>
          <cell r="I76"/>
          <cell r="J76"/>
          <cell r="K76" t="str">
            <v>MID</v>
          </cell>
          <cell r="L76">
            <v>0</v>
          </cell>
          <cell r="M76">
            <v>1</v>
          </cell>
          <cell r="N76">
            <v>23</v>
          </cell>
          <cell r="O76">
            <v>1</v>
          </cell>
          <cell r="P76">
            <v>1634</v>
          </cell>
          <cell r="Q76">
            <v>0</v>
          </cell>
          <cell r="R76">
            <v>0</v>
          </cell>
          <cell r="S76" t="str">
            <v/>
          </cell>
          <cell r="T76">
            <v>0.76216460399999997</v>
          </cell>
          <cell r="U76">
            <v>28901.407386651001</v>
          </cell>
          <cell r="V76">
            <v>21172.142432880999</v>
          </cell>
          <cell r="W76">
            <v>430.21788529299999</v>
          </cell>
          <cell r="X76">
            <v>1398.346300511</v>
          </cell>
          <cell r="Y76">
            <v>18741.702424546998</v>
          </cell>
          <cell r="Z76">
            <v>-1377355</v>
          </cell>
          <cell r="AA76">
            <v>2343.2319461444308</v>
          </cell>
          <cell r="AB76" t="str">
            <v>N</v>
          </cell>
          <cell r="AC76" t="str">
            <v>N</v>
          </cell>
          <cell r="AD76">
            <v>1</v>
          </cell>
          <cell r="AE76">
            <v>0.15</v>
          </cell>
          <cell r="AF76">
            <v>5.3951669230769196E-2</v>
          </cell>
          <cell r="AG76">
            <v>0</v>
          </cell>
          <cell r="AH76">
            <v>0</v>
          </cell>
          <cell r="AI76">
            <v>0</v>
          </cell>
          <cell r="AJ76">
            <v>0</v>
          </cell>
          <cell r="AK76">
            <v>0.2</v>
          </cell>
          <cell r="AL76">
            <v>1.8039516692307693</v>
          </cell>
          <cell r="AM76">
            <v>2.0499999999999998</v>
          </cell>
          <cell r="AN76">
            <v>0.24604833076923049</v>
          </cell>
          <cell r="AO76">
            <v>47246850.666666664</v>
          </cell>
          <cell r="AP76">
            <v>232500.17481272877</v>
          </cell>
          <cell r="AQ76">
            <v>581250.43703182193</v>
          </cell>
        </row>
        <row r="77">
          <cell r="A77">
            <v>61314</v>
          </cell>
          <cell r="B77" t="str">
            <v>Memorial Regional Health</v>
          </cell>
          <cell r="C77">
            <v>0</v>
          </cell>
          <cell r="D77">
            <v>0</v>
          </cell>
          <cell r="E77">
            <v>81.256367479999994</v>
          </cell>
          <cell r="F77">
            <v>6248.5376609999994</v>
          </cell>
          <cell r="G77">
            <v>364.87</v>
          </cell>
          <cell r="H77">
            <v>18759</v>
          </cell>
          <cell r="I77"/>
          <cell r="J77"/>
          <cell r="K77" t="str">
            <v>MID</v>
          </cell>
          <cell r="L77">
            <v>1</v>
          </cell>
          <cell r="M77">
            <v>1</v>
          </cell>
          <cell r="N77">
            <v>25</v>
          </cell>
          <cell r="O77">
            <v>1</v>
          </cell>
          <cell r="P77">
            <v>2904.3333333333335</v>
          </cell>
          <cell r="Q77">
            <v>0</v>
          </cell>
          <cell r="R77">
            <v>0</v>
          </cell>
          <cell r="S77" t="str">
            <v/>
          </cell>
          <cell r="T77">
            <v>0.74321055133333347</v>
          </cell>
          <cell r="U77">
            <v>14624.224939029666</v>
          </cell>
          <cell r="V77">
            <v>12184.401646363332</v>
          </cell>
          <cell r="W77">
            <v>3316.7946161129998</v>
          </cell>
          <cell r="X77">
            <v>1897.099301466</v>
          </cell>
          <cell r="Y77">
            <v>10093.450780388999</v>
          </cell>
          <cell r="Z77">
            <v>-3147992</v>
          </cell>
          <cell r="AA77">
            <v>76.74142086537357</v>
          </cell>
          <cell r="AB77" t="str">
            <v>N</v>
          </cell>
          <cell r="AC77" t="str">
            <v>N</v>
          </cell>
          <cell r="AD77">
            <v>1</v>
          </cell>
          <cell r="AE77">
            <v>0.15</v>
          </cell>
          <cell r="AF77">
            <v>4.1801635470085537E-2</v>
          </cell>
          <cell r="AG77">
            <v>1.2726022038293436E-2</v>
          </cell>
          <cell r="AH77">
            <v>0</v>
          </cell>
          <cell r="AI77">
            <v>9.6428970643770429E-2</v>
          </cell>
          <cell r="AJ77">
            <v>0</v>
          </cell>
          <cell r="AK77">
            <v>0.2</v>
          </cell>
          <cell r="AL77">
            <v>1.9009566281521495</v>
          </cell>
          <cell r="AM77">
            <v>1.56</v>
          </cell>
          <cell r="AN77">
            <v>-0.34095662815214944</v>
          </cell>
          <cell r="AO77">
            <v>42263864.333333336</v>
          </cell>
          <cell r="AP77">
            <v>-288202.8935154645</v>
          </cell>
          <cell r="AQ77">
            <v>-720507.23378866131</v>
          </cell>
        </row>
        <row r="78">
          <cell r="A78">
            <v>61317</v>
          </cell>
          <cell r="B78" t="str">
            <v>Grand River Hospital District</v>
          </cell>
          <cell r="C78">
            <v>0</v>
          </cell>
          <cell r="D78">
            <v>0</v>
          </cell>
          <cell r="E78">
            <v>81.256367479999994</v>
          </cell>
          <cell r="F78">
            <v>6248.5376609999994</v>
          </cell>
          <cell r="G78">
            <v>384.44</v>
          </cell>
          <cell r="H78">
            <v>23370</v>
          </cell>
          <cell r="I78"/>
          <cell r="J78"/>
          <cell r="K78" t="str">
            <v>MID</v>
          </cell>
          <cell r="L78">
            <v>1</v>
          </cell>
          <cell r="M78">
            <v>1</v>
          </cell>
          <cell r="N78">
            <v>25</v>
          </cell>
          <cell r="O78">
            <v>1</v>
          </cell>
          <cell r="P78">
            <v>2833</v>
          </cell>
          <cell r="Q78">
            <v>0</v>
          </cell>
          <cell r="R78">
            <v>0</v>
          </cell>
          <cell r="S78" t="str">
            <v/>
          </cell>
          <cell r="T78">
            <v>0.76152998000000005</v>
          </cell>
          <cell r="U78">
            <v>22244.025920318334</v>
          </cell>
          <cell r="V78">
            <v>22514.881540821672</v>
          </cell>
          <cell r="W78">
            <v>4116.9508729839999</v>
          </cell>
          <cell r="X78">
            <v>1855.5252266089999</v>
          </cell>
          <cell r="Y78">
            <v>17448.901019280998</v>
          </cell>
          <cell r="Z78">
            <v>-7994826</v>
          </cell>
          <cell r="AA78">
            <v>2192.374044005177</v>
          </cell>
          <cell r="AB78" t="str">
            <v>N</v>
          </cell>
          <cell r="AC78" t="str">
            <v>N</v>
          </cell>
          <cell r="AD78">
            <v>1</v>
          </cell>
          <cell r="AE78">
            <v>0.15</v>
          </cell>
          <cell r="AF78">
            <v>5.354485897435899E-2</v>
          </cell>
          <cell r="AG78">
            <v>0</v>
          </cell>
          <cell r="AH78">
            <v>0</v>
          </cell>
          <cell r="AI78">
            <v>0</v>
          </cell>
          <cell r="AJ78">
            <v>0</v>
          </cell>
          <cell r="AK78">
            <v>0.2</v>
          </cell>
          <cell r="AL78">
            <v>1.803544858974359</v>
          </cell>
          <cell r="AM78">
            <v>2.39</v>
          </cell>
          <cell r="AN78">
            <v>0.58645514102564111</v>
          </cell>
          <cell r="AO78">
            <v>63058971.666666664</v>
          </cell>
          <cell r="AP78">
            <v>739625.16243413812</v>
          </cell>
          <cell r="AQ78">
            <v>1849062.9060853452</v>
          </cell>
        </row>
        <row r="79">
          <cell r="A79">
            <v>61318</v>
          </cell>
          <cell r="B79" t="str">
            <v>Middle Park Medical Center - Kremmling</v>
          </cell>
          <cell r="C79">
            <v>0</v>
          </cell>
          <cell r="D79">
            <v>0</v>
          </cell>
          <cell r="E79">
            <v>81.256367479999994</v>
          </cell>
          <cell r="F79">
            <v>6248.5376609999994</v>
          </cell>
          <cell r="G79">
            <v>386.39</v>
          </cell>
          <cell r="H79">
            <v>0</v>
          </cell>
          <cell r="I79"/>
          <cell r="J79"/>
          <cell r="K79" t="str">
            <v>MID</v>
          </cell>
          <cell r="L79">
            <v>1</v>
          </cell>
          <cell r="M79">
            <v>1</v>
          </cell>
          <cell r="N79">
            <v>23</v>
          </cell>
          <cell r="O79">
            <v>1</v>
          </cell>
          <cell r="P79">
            <v>1349</v>
          </cell>
          <cell r="Q79">
            <v>0</v>
          </cell>
          <cell r="R79">
            <v>0</v>
          </cell>
          <cell r="S79" t="str">
            <v/>
          </cell>
          <cell r="T79">
            <v>0.73174023533333321</v>
          </cell>
          <cell r="U79">
            <v>19077.482509191334</v>
          </cell>
          <cell r="V79">
            <v>17876.196850393</v>
          </cell>
          <cell r="W79">
            <v>3271.4214547619999</v>
          </cell>
          <cell r="X79">
            <v>1513.172901353</v>
          </cell>
          <cell r="Y79">
            <v>11061.445220179001</v>
          </cell>
          <cell r="Z79">
            <v>-1087231</v>
          </cell>
          <cell r="AA79">
            <v>1185.2171979243885</v>
          </cell>
          <cell r="AB79" t="str">
            <v>N</v>
          </cell>
          <cell r="AC79" t="str">
            <v>N</v>
          </cell>
          <cell r="AD79">
            <v>1</v>
          </cell>
          <cell r="AE79">
            <v>0.15</v>
          </cell>
          <cell r="AF79">
            <v>3.4448868803418707E-2</v>
          </cell>
          <cell r="AG79">
            <v>0</v>
          </cell>
          <cell r="AH79">
            <v>0</v>
          </cell>
          <cell r="AI79">
            <v>4.4847966592629664E-2</v>
          </cell>
          <cell r="AJ79">
            <v>0</v>
          </cell>
          <cell r="AK79">
            <v>0.2</v>
          </cell>
          <cell r="AL79">
            <v>1.8292968353960484</v>
          </cell>
          <cell r="AM79">
            <v>0</v>
          </cell>
          <cell r="AN79">
            <v>0</v>
          </cell>
          <cell r="AO79">
            <v>25547481.666666668</v>
          </cell>
          <cell r="AP79">
            <v>0</v>
          </cell>
          <cell r="AQ79">
            <v>0</v>
          </cell>
        </row>
        <row r="80">
          <cell r="A80">
            <v>61320</v>
          </cell>
          <cell r="B80" t="str">
            <v>Gunnison Valley Health</v>
          </cell>
          <cell r="C80">
            <v>0</v>
          </cell>
          <cell r="D80">
            <v>0</v>
          </cell>
          <cell r="E80">
            <v>81.256367479999994</v>
          </cell>
          <cell r="F80">
            <v>6248.5376609999994</v>
          </cell>
          <cell r="G80">
            <v>285.7</v>
          </cell>
          <cell r="H80">
            <v>15613</v>
          </cell>
          <cell r="I80"/>
          <cell r="J80"/>
          <cell r="K80" t="str">
            <v>MID</v>
          </cell>
          <cell r="L80">
            <v>1</v>
          </cell>
          <cell r="M80">
            <v>1</v>
          </cell>
          <cell r="N80">
            <v>24</v>
          </cell>
          <cell r="O80">
            <v>1</v>
          </cell>
          <cell r="P80">
            <v>2709.3333333333335</v>
          </cell>
          <cell r="Q80">
            <v>0</v>
          </cell>
          <cell r="R80">
            <v>0</v>
          </cell>
          <cell r="S80" t="str">
            <v/>
          </cell>
          <cell r="T80">
            <v>0.5858975196666667</v>
          </cell>
          <cell r="U80">
            <v>14292.621783072667</v>
          </cell>
          <cell r="V80">
            <v>9388.5648380236671</v>
          </cell>
          <cell r="W80">
            <v>1968.9882218560001</v>
          </cell>
          <cell r="X80">
            <v>709.47840798200002</v>
          </cell>
          <cell r="Y80">
            <v>7815.5494974519997</v>
          </cell>
          <cell r="Z80">
            <v>7463800</v>
          </cell>
          <cell r="AA80">
            <v>2631.97281003937</v>
          </cell>
          <cell r="AB80" t="str">
            <v>N</v>
          </cell>
          <cell r="AC80" t="str">
            <v>N</v>
          </cell>
          <cell r="AD80">
            <v>1</v>
          </cell>
          <cell r="AE80">
            <v>0.15</v>
          </cell>
          <cell r="AF80">
            <v>0</v>
          </cell>
          <cell r="AG80">
            <v>1.6972444831954574E-2</v>
          </cell>
          <cell r="AH80">
            <v>4.0736813604348311E-2</v>
          </cell>
          <cell r="AI80">
            <v>0</v>
          </cell>
          <cell r="AJ80">
            <v>0</v>
          </cell>
          <cell r="AK80">
            <v>0.2</v>
          </cell>
          <cell r="AL80">
            <v>1.807709258436303</v>
          </cell>
          <cell r="AM80">
            <v>1.99</v>
          </cell>
          <cell r="AN80">
            <v>0.18229074156369696</v>
          </cell>
          <cell r="AO80">
            <v>38763612</v>
          </cell>
          <cell r="AP80">
            <v>141324.95154334846</v>
          </cell>
          <cell r="AQ80">
            <v>353312.37885837117</v>
          </cell>
        </row>
        <row r="81">
          <cell r="A81">
            <v>61321</v>
          </cell>
          <cell r="B81" t="str">
            <v>Mt. San Rafael Hospital</v>
          </cell>
          <cell r="C81">
            <v>0</v>
          </cell>
          <cell r="D81">
            <v>0</v>
          </cell>
          <cell r="E81">
            <v>81.256367479999994</v>
          </cell>
          <cell r="F81">
            <v>6248.5376609999994</v>
          </cell>
          <cell r="G81">
            <v>512.97</v>
          </cell>
          <cell r="H81">
            <v>20155</v>
          </cell>
          <cell r="I81"/>
          <cell r="J81"/>
          <cell r="K81" t="str">
            <v>MID</v>
          </cell>
          <cell r="L81">
            <v>1</v>
          </cell>
          <cell r="M81">
            <v>1</v>
          </cell>
          <cell r="N81">
            <v>25</v>
          </cell>
          <cell r="O81">
            <v>1</v>
          </cell>
          <cell r="P81">
            <v>2971.3333333333335</v>
          </cell>
          <cell r="Q81">
            <v>0</v>
          </cell>
          <cell r="R81">
            <v>0</v>
          </cell>
          <cell r="S81" t="str">
            <v/>
          </cell>
          <cell r="T81">
            <v>0.83528156766666672</v>
          </cell>
          <cell r="U81">
            <v>10077.508793273</v>
          </cell>
          <cell r="V81">
            <v>8462.5162844626666</v>
          </cell>
          <cell r="W81">
            <v>1484.869378271</v>
          </cell>
          <cell r="X81">
            <v>375.882522671</v>
          </cell>
          <cell r="Y81">
            <v>5866.4568185669996</v>
          </cell>
          <cell r="Z81">
            <v>735456</v>
          </cell>
          <cell r="AA81">
            <v>1218.7511779223692</v>
          </cell>
          <cell r="AB81" t="str">
            <v>N</v>
          </cell>
          <cell r="AC81" t="str">
            <v>N</v>
          </cell>
          <cell r="AD81">
            <v>1</v>
          </cell>
          <cell r="AE81">
            <v>0.15</v>
          </cell>
          <cell r="AF81">
            <v>0.10082151773504276</v>
          </cell>
          <cell r="AG81">
            <v>7.0950073078844919E-2</v>
          </cell>
          <cell r="AH81">
            <v>5.6445864555340688E-2</v>
          </cell>
          <cell r="AI81">
            <v>4.3287520803984687E-2</v>
          </cell>
          <cell r="AJ81">
            <v>0</v>
          </cell>
          <cell r="AK81">
            <v>0.2</v>
          </cell>
          <cell r="AL81">
            <v>2.0215049761732131</v>
          </cell>
          <cell r="AM81">
            <v>3.16</v>
          </cell>
          <cell r="AN81">
            <v>1.138495023826787</v>
          </cell>
          <cell r="AO81">
            <v>29718386.333333332</v>
          </cell>
          <cell r="AP81">
            <v>676684.6991332398</v>
          </cell>
          <cell r="AQ81">
            <v>1691711.7478330997</v>
          </cell>
        </row>
        <row r="82">
          <cell r="A82">
            <v>61322</v>
          </cell>
          <cell r="B82" t="str">
            <v>Heart of the Rockies Regional Medical Center</v>
          </cell>
          <cell r="C82">
            <v>0</v>
          </cell>
          <cell r="D82">
            <v>0</v>
          </cell>
          <cell r="E82">
            <v>81.256367479999994</v>
          </cell>
          <cell r="F82">
            <v>6248.5376609999994</v>
          </cell>
          <cell r="G82">
            <v>299.32</v>
          </cell>
          <cell r="H82">
            <v>18360</v>
          </cell>
          <cell r="I82"/>
          <cell r="J82"/>
          <cell r="K82" t="str">
            <v>MID</v>
          </cell>
          <cell r="L82">
            <v>1</v>
          </cell>
          <cell r="M82">
            <v>1</v>
          </cell>
          <cell r="N82">
            <v>25</v>
          </cell>
          <cell r="O82">
            <v>1</v>
          </cell>
          <cell r="P82">
            <v>4948.333333333333</v>
          </cell>
          <cell r="Q82">
            <v>0</v>
          </cell>
          <cell r="R82">
            <v>0</v>
          </cell>
          <cell r="S82" t="str">
            <v/>
          </cell>
          <cell r="T82">
            <v>0.7305705773333333</v>
          </cell>
          <cell r="U82">
            <v>11841.725818499333</v>
          </cell>
          <cell r="V82">
            <v>9479.4776574930002</v>
          </cell>
          <cell r="W82">
            <v>987.60517662400002</v>
          </cell>
          <cell r="X82">
            <v>725.96690864899995</v>
          </cell>
          <cell r="Y82">
            <v>6662.0578473409996</v>
          </cell>
          <cell r="Z82">
            <v>4847685</v>
          </cell>
          <cell r="AA82">
            <v>1168.4699898955878</v>
          </cell>
          <cell r="AB82" t="str">
            <v>N</v>
          </cell>
          <cell r="AC82" t="str">
            <v>N</v>
          </cell>
          <cell r="AD82">
            <v>1</v>
          </cell>
          <cell r="AE82">
            <v>0.15</v>
          </cell>
          <cell r="AF82">
            <v>3.3699088034187995E-2</v>
          </cell>
          <cell r="AG82">
            <v>4.8357973895513724E-2</v>
          </cell>
          <cell r="AH82">
            <v>3.9194611408091606E-2</v>
          </cell>
          <cell r="AI82">
            <v>4.5627268967166693E-2</v>
          </cell>
          <cell r="AJ82">
            <v>0</v>
          </cell>
          <cell r="AK82">
            <v>0.2</v>
          </cell>
          <cell r="AL82">
            <v>1.9168789423049601</v>
          </cell>
          <cell r="AM82">
            <v>2.15</v>
          </cell>
          <cell r="AN82">
            <v>0.23312105769503977</v>
          </cell>
          <cell r="AO82">
            <v>58366268</v>
          </cell>
          <cell r="AP82">
            <v>272128.12259744306</v>
          </cell>
          <cell r="AQ82">
            <v>680320.3064936077</v>
          </cell>
        </row>
        <row r="83">
          <cell r="A83">
            <v>61323</v>
          </cell>
          <cell r="B83" t="str">
            <v>Prowers Medical Center</v>
          </cell>
          <cell r="C83">
            <v>0</v>
          </cell>
          <cell r="D83">
            <v>0</v>
          </cell>
          <cell r="E83">
            <v>81.256367479999994</v>
          </cell>
          <cell r="F83">
            <v>6248.5376609999994</v>
          </cell>
          <cell r="G83">
            <v>272.18</v>
          </cell>
          <cell r="H83">
            <v>9763</v>
          </cell>
          <cell r="I83"/>
          <cell r="J83"/>
          <cell r="K83" t="str">
            <v>MID</v>
          </cell>
          <cell r="L83">
            <v>1</v>
          </cell>
          <cell r="M83">
            <v>1</v>
          </cell>
          <cell r="N83">
            <v>25</v>
          </cell>
          <cell r="O83">
            <v>1</v>
          </cell>
          <cell r="P83">
            <v>4536</v>
          </cell>
          <cell r="Q83">
            <v>0</v>
          </cell>
          <cell r="R83">
            <v>0</v>
          </cell>
          <cell r="S83" t="str">
            <v/>
          </cell>
          <cell r="T83">
            <v>0.89239579366666666</v>
          </cell>
          <cell r="U83">
            <v>6904.3928006899996</v>
          </cell>
          <cell r="V83">
            <v>5146.9127204083334</v>
          </cell>
          <cell r="W83">
            <v>618.584488878</v>
          </cell>
          <cell r="X83">
            <v>410.80669748000003</v>
          </cell>
          <cell r="Y83">
            <v>3522.8986798999999</v>
          </cell>
          <cell r="Z83">
            <v>4348296</v>
          </cell>
          <cell r="AA83">
            <v>1142.9277630805409</v>
          </cell>
          <cell r="AB83" t="str">
            <v>N</v>
          </cell>
          <cell r="AC83" t="str">
            <v>N</v>
          </cell>
          <cell r="AD83">
            <v>1</v>
          </cell>
          <cell r="AE83">
            <v>0.15</v>
          </cell>
          <cell r="AF83">
            <v>0.13743320106837606</v>
          </cell>
          <cell r="AG83">
            <v>0.11158416185567938</v>
          </cell>
          <cell r="AH83">
            <v>0.11269019982343793</v>
          </cell>
          <cell r="AI83">
            <v>4.6815832336875716E-2</v>
          </cell>
          <cell r="AJ83">
            <v>0</v>
          </cell>
          <cell r="AK83">
            <v>0.2</v>
          </cell>
          <cell r="AL83">
            <v>2.1585233950843694</v>
          </cell>
          <cell r="AM83">
            <v>1.9</v>
          </cell>
          <cell r="AN83">
            <v>-0.2585233950843695</v>
          </cell>
          <cell r="AO83">
            <v>30643072.333333332</v>
          </cell>
          <cell r="AP83">
            <v>-158439.02190858492</v>
          </cell>
          <cell r="AQ83">
            <v>-396097.55477146228</v>
          </cell>
        </row>
        <row r="84">
          <cell r="A84">
            <v>61327</v>
          </cell>
          <cell r="B84" t="str">
            <v>Southwest Health System, Inc.</v>
          </cell>
          <cell r="C84">
            <v>0</v>
          </cell>
          <cell r="D84">
            <v>0</v>
          </cell>
          <cell r="E84">
            <v>81.256367479999994</v>
          </cell>
          <cell r="F84">
            <v>6248.5376609999994</v>
          </cell>
          <cell r="G84">
            <v>336.98</v>
          </cell>
          <cell r="H84">
            <v>13026</v>
          </cell>
          <cell r="I84"/>
          <cell r="J84"/>
          <cell r="K84" t="str">
            <v>MID</v>
          </cell>
          <cell r="L84">
            <v>1</v>
          </cell>
          <cell r="M84">
            <v>1</v>
          </cell>
          <cell r="N84">
            <v>25</v>
          </cell>
          <cell r="O84">
            <v>1</v>
          </cell>
          <cell r="P84">
            <v>4466.666666666667</v>
          </cell>
          <cell r="Q84">
            <v>0</v>
          </cell>
          <cell r="R84">
            <v>0</v>
          </cell>
          <cell r="S84" t="str">
            <v/>
          </cell>
          <cell r="T84">
            <v>0.70726365966666671</v>
          </cell>
          <cell r="U84">
            <v>11765.366691169334</v>
          </cell>
          <cell r="V84">
            <v>9152.0758245220004</v>
          </cell>
          <cell r="W84">
            <v>1311.6145692309999</v>
          </cell>
          <cell r="X84">
            <v>444.89686301299997</v>
          </cell>
          <cell r="Y84">
            <v>7017.7262004699996</v>
          </cell>
          <cell r="Z84">
            <v>-10655422</v>
          </cell>
          <cell r="AA84">
            <v>-76.344999999999999</v>
          </cell>
          <cell r="AB84" t="str">
            <v>N</v>
          </cell>
          <cell r="AC84" t="str">
            <v>N</v>
          </cell>
          <cell r="AD84">
            <v>1</v>
          </cell>
          <cell r="AE84">
            <v>0.15</v>
          </cell>
          <cell r="AF84">
            <v>1.8758756196581197E-2</v>
          </cell>
          <cell r="AG84">
            <v>4.9335808795372853E-2</v>
          </cell>
          <cell r="AH84">
            <v>4.4748501704461402E-2</v>
          </cell>
          <cell r="AI84">
            <v>0.1</v>
          </cell>
          <cell r="AJ84">
            <v>0</v>
          </cell>
          <cell r="AK84">
            <v>0.2</v>
          </cell>
          <cell r="AL84">
            <v>1.9628430666964154</v>
          </cell>
          <cell r="AM84">
            <v>2.37</v>
          </cell>
          <cell r="AN84">
            <v>0.40715693330358471</v>
          </cell>
          <cell r="AO84">
            <v>52108283</v>
          </cell>
          <cell r="AP84">
            <v>424324.97411990637</v>
          </cell>
          <cell r="AQ84">
            <v>1060812.435299766</v>
          </cell>
        </row>
        <row r="85">
          <cell r="A85">
            <v>61328</v>
          </cell>
          <cell r="B85" t="str">
            <v>Pagosa Springs Medical Center</v>
          </cell>
          <cell r="C85">
            <v>0</v>
          </cell>
          <cell r="D85">
            <v>0</v>
          </cell>
          <cell r="E85">
            <v>81.256367479999994</v>
          </cell>
          <cell r="F85">
            <v>6248.5376609999994</v>
          </cell>
          <cell r="G85">
            <v>284.95999999999998</v>
          </cell>
          <cell r="H85">
            <v>10974</v>
          </cell>
          <cell r="I85"/>
          <cell r="J85"/>
          <cell r="K85" t="str">
            <v>MID</v>
          </cell>
          <cell r="L85">
            <v>1</v>
          </cell>
          <cell r="M85">
            <v>1</v>
          </cell>
          <cell r="N85">
            <v>11</v>
          </cell>
          <cell r="O85">
            <v>1</v>
          </cell>
          <cell r="P85">
            <v>3582</v>
          </cell>
          <cell r="Q85">
            <v>0</v>
          </cell>
          <cell r="R85">
            <v>0</v>
          </cell>
          <cell r="S85" t="str">
            <v/>
          </cell>
          <cell r="T85">
            <v>0.73345668233333328</v>
          </cell>
          <cell r="U85">
            <v>6958.4335176810009</v>
          </cell>
          <cell r="V85">
            <v>6997.227082012666</v>
          </cell>
          <cell r="W85">
            <v>1986.4488113550001</v>
          </cell>
          <cell r="X85">
            <v>951.78576243500004</v>
          </cell>
          <cell r="Y85">
            <v>5493.6392988500002</v>
          </cell>
          <cell r="Z85">
            <v>-6199541</v>
          </cell>
          <cell r="AA85">
            <v>504.24409082449279</v>
          </cell>
          <cell r="AB85" t="str">
            <v>N</v>
          </cell>
          <cell r="AC85" t="str">
            <v>N</v>
          </cell>
          <cell r="AD85">
            <v>1</v>
          </cell>
          <cell r="AE85">
            <v>0.15</v>
          </cell>
          <cell r="AF85">
            <v>3.5549155341880287E-2</v>
          </cell>
          <cell r="AG85">
            <v>0.11089213064821357</v>
          </cell>
          <cell r="AH85">
            <v>8.1302339575696936E-2</v>
          </cell>
          <cell r="AI85">
            <v>7.653587292580305E-2</v>
          </cell>
          <cell r="AJ85">
            <v>0</v>
          </cell>
          <cell r="AK85">
            <v>0.2</v>
          </cell>
          <cell r="AL85">
            <v>2.054279498491594</v>
          </cell>
          <cell r="AM85">
            <v>1.65</v>
          </cell>
          <cell r="AN85">
            <v>-0.40427949849159406</v>
          </cell>
          <cell r="AO85">
            <v>24541562.666666668</v>
          </cell>
          <cell r="AP85">
            <v>-198433.01294160058</v>
          </cell>
          <cell r="AQ85">
            <v>-496082.53235400142</v>
          </cell>
        </row>
        <row r="86">
          <cell r="A86">
            <v>61344</v>
          </cell>
          <cell r="B86" t="str">
            <v>St. Thomas More Hospital</v>
          </cell>
          <cell r="C86">
            <v>0</v>
          </cell>
          <cell r="D86">
            <v>0</v>
          </cell>
          <cell r="E86">
            <v>81.256367479999994</v>
          </cell>
          <cell r="F86">
            <v>6248.5376609999994</v>
          </cell>
          <cell r="G86">
            <v>0</v>
          </cell>
          <cell r="H86">
            <v>0</v>
          </cell>
          <cell r="I86"/>
          <cell r="J86"/>
          <cell r="K86" t="str">
            <v>MID</v>
          </cell>
          <cell r="L86">
            <v>1</v>
          </cell>
          <cell r="M86">
            <v>1</v>
          </cell>
          <cell r="N86">
            <v>25</v>
          </cell>
          <cell r="O86">
            <v>1</v>
          </cell>
          <cell r="P86">
            <v>5141</v>
          </cell>
          <cell r="Q86">
            <v>1</v>
          </cell>
          <cell r="R86">
            <v>0</v>
          </cell>
          <cell r="S86" t="str">
            <v>Centura-CHI</v>
          </cell>
          <cell r="T86">
            <v>0.77297878899999994</v>
          </cell>
          <cell r="U86">
            <v>11468.433469681</v>
          </cell>
          <cell r="V86">
            <v>9409.5427163849999</v>
          </cell>
          <cell r="W86">
            <v>0</v>
          </cell>
          <cell r="X86">
            <v>0</v>
          </cell>
          <cell r="Y86">
            <v>0</v>
          </cell>
          <cell r="Z86">
            <v>0</v>
          </cell>
          <cell r="AA86">
            <v>-297.07060883096676</v>
          </cell>
          <cell r="AB86" t="str">
            <v>N</v>
          </cell>
          <cell r="AC86" t="str">
            <v>N</v>
          </cell>
          <cell r="AD86">
            <v>0</v>
          </cell>
          <cell r="AE86">
            <v>0</v>
          </cell>
          <cell r="AF86">
            <v>6.0883839102564057E-2</v>
          </cell>
          <cell r="AG86">
            <v>5.3138257527455504E-2</v>
          </cell>
          <cell r="AH86">
            <v>4.0380954768702293E-2</v>
          </cell>
          <cell r="AI86">
            <v>0.1</v>
          </cell>
          <cell r="AJ86">
            <v>0</v>
          </cell>
          <cell r="AK86">
            <v>0.2</v>
          </cell>
          <cell r="AL86">
            <v>1.854403051398722</v>
          </cell>
          <cell r="AM86">
            <v>0</v>
          </cell>
          <cell r="AN86">
            <v>0</v>
          </cell>
          <cell r="AO86">
            <v>58963186</v>
          </cell>
          <cell r="AP86">
            <v>0</v>
          </cell>
          <cell r="AQ86">
            <v>0</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lorado.gov/pacific/sites/default/files/FY%202020-21%2C%20S-01A%20BA-1A%2C%20Medical%20Services%20Premiums%20Exhibit%20B.pdff" TargetMode="External"/><Relationship Id="rId7" Type="http://schemas.openxmlformats.org/officeDocument/2006/relationships/comments" Target="../comments1.xml"/><Relationship Id="rId2" Type="http://schemas.openxmlformats.org/officeDocument/2006/relationships/hyperlink" Target="https://www.cms.gov/Medicare/Quality-Initiatives-Patient-Assessment-Instruments/Value-Based-Programs/HAC/Hospital-Acquired-Conditions" TargetMode="External"/><Relationship Id="rId1" Type="http://schemas.openxmlformats.org/officeDocument/2006/relationships/hyperlink" Target="https://www.cms.gov/Medicare/Quality-Initiatives-Patient-Assessment-Instruments/Value-Based-Programs/HRRP/Hospital-Readmission-Reduction-Program"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cms.gov/Medicare/Medicare-Fee-for-Service-Payment/AcuteInpatientPPS/Indirect-Medical-Education-IM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2A222-5036-4912-9E60-4BF4538AFD00}">
  <sheetPr>
    <tabColor rgb="FFFFFF00"/>
  </sheetPr>
  <dimension ref="A1:DO31"/>
  <sheetViews>
    <sheetView tabSelected="1" zoomScale="122" zoomScaleNormal="122" workbookViewId="0">
      <pane xSplit="7" ySplit="15" topLeftCell="AT19" activePane="bottomRight" state="frozen"/>
      <selection activeCell="F1" sqref="F1"/>
      <selection pane="topRight" activeCell="G1" sqref="G1"/>
      <selection pane="bottomLeft" activeCell="F15" sqref="F15"/>
      <selection pane="bottomRight" activeCell="AU14" sqref="AU14"/>
    </sheetView>
  </sheetViews>
  <sheetFormatPr defaultColWidth="8.109375" defaultRowHeight="14.4" x14ac:dyDescent="0.3"/>
  <cols>
    <col min="1" max="1" width="15.5546875" style="266" hidden="1" customWidth="1"/>
    <col min="2" max="2" width="14.33203125" style="70" hidden="1" customWidth="1"/>
    <col min="3" max="3" width="10.21875" style="272" hidden="1" customWidth="1"/>
    <col min="4" max="4" width="13.33203125" style="70" hidden="1" customWidth="1"/>
    <col min="5" max="5" width="14.77734375" style="70" hidden="1" customWidth="1"/>
    <col min="6" max="6" width="22.33203125" style="94" hidden="1" customWidth="1"/>
    <col min="7" max="7" width="42.21875" style="94" customWidth="1"/>
    <col min="8" max="15" width="19.77734375" style="94" customWidth="1"/>
    <col min="16" max="16" width="4.109375" style="175" customWidth="1"/>
    <col min="17" max="17" width="13.21875" style="70" customWidth="1"/>
    <col min="18" max="18" width="24.77734375" style="57" customWidth="1"/>
    <col min="19" max="19" width="14.109375" style="379" hidden="1" customWidth="1"/>
    <col min="20" max="20" width="19.5546875" style="57" customWidth="1"/>
    <col min="21" max="21" width="19" style="8" customWidth="1"/>
    <col min="22" max="22" width="16" style="8" hidden="1" customWidth="1"/>
    <col min="23" max="23" width="19.21875" style="58" customWidth="1"/>
    <col min="24" max="24" width="14.33203125" style="8" hidden="1" customWidth="1"/>
    <col min="25" max="25" width="15.33203125" style="55" customWidth="1"/>
    <col min="26" max="26" width="17.5546875" style="8" hidden="1" customWidth="1"/>
    <col min="27" max="27" width="13.6640625" style="58" customWidth="1"/>
    <col min="28" max="28" width="18.5546875" style="8" hidden="1" customWidth="1"/>
    <col min="29" max="29" width="13.6640625" style="58" customWidth="1"/>
    <col min="30" max="30" width="17.88671875" style="8" hidden="1" customWidth="1"/>
    <col min="31" max="31" width="15.21875" style="383" customWidth="1"/>
    <col min="32" max="32" width="16.109375" style="8" hidden="1" customWidth="1"/>
    <col min="33" max="33" width="17.5546875" style="8" customWidth="1"/>
    <col min="34" max="34" width="19" style="77" hidden="1" customWidth="1"/>
    <col min="35" max="35" width="19.88671875" style="8" hidden="1" customWidth="1"/>
    <col min="36" max="36" width="3.109375" style="209" hidden="1" customWidth="1"/>
    <col min="37" max="37" width="17.5546875" style="18" customWidth="1"/>
    <col min="38" max="39" width="19.77734375" style="94" hidden="1" customWidth="1"/>
    <col min="40" max="41" width="19.77734375" style="94" customWidth="1"/>
    <col min="42" max="42" width="23.88671875" style="70" customWidth="1"/>
    <col min="43" max="43" width="13.88671875" style="70" customWidth="1"/>
    <col min="44" max="44" width="23.6640625" style="94" customWidth="1"/>
    <col min="45" max="45" width="3.109375" style="217" customWidth="1"/>
    <col min="46" max="46" width="14.6640625" style="235" customWidth="1"/>
    <col min="47" max="47" width="28.109375" style="235" customWidth="1"/>
    <col min="48" max="48" width="17" style="235" customWidth="1"/>
    <col min="49" max="49" width="33.5546875" style="18" customWidth="1"/>
    <col min="50" max="50" width="15.33203125" style="18" customWidth="1"/>
    <col min="51" max="51" width="30" style="18" customWidth="1"/>
    <col min="52" max="52" width="1" style="18" bestFit="1" customWidth="1"/>
    <col min="53" max="53" width="10.21875" style="235" bestFit="1" customWidth="1"/>
    <col min="54" max="54" width="9.44140625" style="235" bestFit="1" customWidth="1"/>
    <col min="55" max="55" width="10.21875" style="235" bestFit="1" customWidth="1"/>
    <col min="56" max="56" width="8.109375" style="18"/>
    <col min="57" max="57" width="12.21875" style="18" bestFit="1" customWidth="1"/>
    <col min="58" max="58" width="16.44140625" style="18" bestFit="1" customWidth="1"/>
    <col min="59" max="59" width="7.44140625" style="18" bestFit="1" customWidth="1"/>
    <col min="60" max="60" width="7.77734375" style="18" bestFit="1" customWidth="1"/>
    <col min="61" max="61" width="9.21875" style="18" bestFit="1" customWidth="1"/>
    <col min="62" max="63" width="16.33203125" style="18" bestFit="1" customWidth="1"/>
    <col min="64" max="64" width="16" style="18" bestFit="1" customWidth="1"/>
    <col min="65" max="65" width="9.21875" style="18" customWidth="1"/>
    <col min="66" max="66" width="8.109375" style="18"/>
    <col min="67" max="67" width="11.21875" style="18" bestFit="1" customWidth="1"/>
    <col min="68" max="68" width="16.44140625" style="18" bestFit="1" customWidth="1"/>
    <col min="69" max="69" width="7.44140625" style="18" bestFit="1" customWidth="1"/>
    <col min="70" max="70" width="7.77734375" style="18" bestFit="1" customWidth="1"/>
    <col min="71" max="71" width="9.21875" style="18" bestFit="1" customWidth="1"/>
    <col min="72" max="72" width="16.33203125" style="18" bestFit="1" customWidth="1"/>
    <col min="73" max="73" width="16" style="18" customWidth="1"/>
    <col min="74" max="74" width="16.88671875" style="18" customWidth="1"/>
    <col min="75" max="77" width="8.109375" style="18"/>
    <col min="78" max="78" width="12.21875" style="18" bestFit="1" customWidth="1"/>
    <col min="79" max="79" width="16.44140625" style="18" bestFit="1" customWidth="1"/>
    <col min="80" max="80" width="7.44140625" style="18" bestFit="1" customWidth="1"/>
    <col min="81" max="81" width="7.77734375" style="18" bestFit="1" customWidth="1"/>
    <col min="82" max="82" width="9.21875" style="18" bestFit="1" customWidth="1"/>
    <col min="83" max="84" width="16.33203125" style="18" bestFit="1" customWidth="1"/>
    <col min="85" max="85" width="16" style="18" bestFit="1" customWidth="1"/>
    <col min="86" max="86" width="8.33203125" style="18" customWidth="1"/>
    <col min="87" max="87" width="5.77734375" style="18" bestFit="1" customWidth="1"/>
    <col min="88" max="88" width="5.77734375" style="18" customWidth="1"/>
    <col min="89" max="89" width="12.21875" style="18" bestFit="1" customWidth="1"/>
    <col min="90" max="90" width="16.44140625" style="18" bestFit="1" customWidth="1"/>
    <col min="91" max="91" width="7.44140625" style="18" bestFit="1" customWidth="1"/>
    <col min="92" max="92" width="7.77734375" style="18" bestFit="1" customWidth="1"/>
    <col min="93" max="93" width="9.21875" style="18" bestFit="1" customWidth="1"/>
    <col min="94" max="95" width="16.33203125" style="18" bestFit="1" customWidth="1"/>
    <col min="96" max="96" width="16" style="18" bestFit="1" customWidth="1"/>
    <col min="97" max="97" width="7.6640625" style="18" customWidth="1"/>
    <col min="98" max="98" width="7.5546875" style="18" customWidth="1"/>
    <col min="99" max="99" width="8.109375" style="18"/>
    <col min="100" max="100" width="12.21875" style="18" bestFit="1" customWidth="1"/>
    <col min="101" max="101" width="16.44140625" style="18" bestFit="1" customWidth="1"/>
    <col min="102" max="103" width="5.77734375" style="18" customWidth="1"/>
    <col min="104" max="104" width="9.21875" style="18" bestFit="1" customWidth="1"/>
    <col min="105" max="106" width="16.33203125" style="18" bestFit="1" customWidth="1"/>
    <col min="107" max="107" width="16" style="18" bestFit="1" customWidth="1"/>
    <col min="108" max="108" width="8.33203125" style="18" customWidth="1"/>
    <col min="109" max="109" width="5.77734375" style="18" bestFit="1" customWidth="1"/>
    <col min="110" max="110" width="8.109375" style="18"/>
    <col min="111" max="111" width="12.21875" style="304" bestFit="1" customWidth="1"/>
    <col min="112" max="112" width="16.33203125" style="304" customWidth="1"/>
    <col min="113" max="114" width="4.44140625" style="304" customWidth="1"/>
    <col min="115" max="115" width="9.21875" style="304" bestFit="1" customWidth="1"/>
    <col min="116" max="116" width="16.33203125" style="304" bestFit="1" customWidth="1"/>
    <col min="117" max="117" width="12.6640625" style="304" customWidth="1"/>
    <col min="118" max="16384" width="8.109375" style="18"/>
  </cols>
  <sheetData>
    <row r="1" spans="1:119" s="70" customFormat="1" ht="112.8" customHeight="1" x14ac:dyDescent="0.3">
      <c r="A1" s="260" t="s">
        <v>165</v>
      </c>
      <c r="B1" s="22" t="s">
        <v>8</v>
      </c>
      <c r="C1" s="22" t="s">
        <v>9</v>
      </c>
      <c r="D1" s="22" t="s">
        <v>6</v>
      </c>
      <c r="E1" s="22" t="s">
        <v>7</v>
      </c>
      <c r="F1" s="48" t="s">
        <v>125</v>
      </c>
      <c r="G1" s="31" t="s">
        <v>136</v>
      </c>
      <c r="H1" s="158" t="s">
        <v>126</v>
      </c>
      <c r="I1" s="99" t="s">
        <v>134</v>
      </c>
      <c r="J1" s="159" t="s">
        <v>127</v>
      </c>
      <c r="K1" s="99" t="s">
        <v>131</v>
      </c>
      <c r="L1" s="158" t="s">
        <v>133</v>
      </c>
      <c r="M1" s="158" t="s">
        <v>135</v>
      </c>
      <c r="N1" s="158" t="s">
        <v>130</v>
      </c>
      <c r="O1" s="158" t="s">
        <v>132</v>
      </c>
      <c r="P1" s="21"/>
      <c r="Q1" s="21" t="s">
        <v>30</v>
      </c>
      <c r="R1" s="56" t="s">
        <v>187</v>
      </c>
      <c r="S1" s="75" t="s">
        <v>87</v>
      </c>
      <c r="T1" s="176" t="s">
        <v>137</v>
      </c>
      <c r="U1" s="99" t="s">
        <v>138</v>
      </c>
      <c r="V1" s="286" t="s">
        <v>27</v>
      </c>
      <c r="W1" s="234" t="s">
        <v>83</v>
      </c>
      <c r="X1" s="287" t="s">
        <v>35</v>
      </c>
      <c r="Y1" s="231" t="s">
        <v>84</v>
      </c>
      <c r="Z1" s="232" t="s">
        <v>176</v>
      </c>
      <c r="AA1" s="288" t="s">
        <v>21</v>
      </c>
      <c r="AB1" s="178" t="s">
        <v>177</v>
      </c>
      <c r="AC1" s="177" t="s">
        <v>139</v>
      </c>
      <c r="AD1" s="233" t="s">
        <v>178</v>
      </c>
      <c r="AE1" s="177" t="s">
        <v>140</v>
      </c>
      <c r="AF1" s="233" t="s">
        <v>179</v>
      </c>
      <c r="AG1" s="179" t="s">
        <v>141</v>
      </c>
      <c r="AH1" s="101" t="s">
        <v>80</v>
      </c>
      <c r="AI1" s="32" t="s">
        <v>145</v>
      </c>
      <c r="AJ1" s="21"/>
      <c r="AK1" s="200" t="s">
        <v>96</v>
      </c>
      <c r="AL1" s="158" t="s">
        <v>128</v>
      </c>
      <c r="AM1" s="158" t="s">
        <v>129</v>
      </c>
      <c r="AN1" s="158" t="s">
        <v>185</v>
      </c>
      <c r="AO1" s="158" t="s">
        <v>186</v>
      </c>
      <c r="AP1" s="21" t="s">
        <v>143</v>
      </c>
      <c r="AQ1" s="21" t="s">
        <v>142</v>
      </c>
      <c r="AR1" s="32" t="s">
        <v>144</v>
      </c>
      <c r="AS1" s="21"/>
      <c r="AT1" s="273" t="s">
        <v>168</v>
      </c>
      <c r="AU1" s="280" t="s">
        <v>170</v>
      </c>
      <c r="AV1" s="232" t="s">
        <v>171</v>
      </c>
      <c r="AW1" s="274" t="s">
        <v>190</v>
      </c>
      <c r="AX1" s="275" t="s">
        <v>166</v>
      </c>
      <c r="AY1" s="276" t="s">
        <v>167</v>
      </c>
      <c r="AZ1" s="114"/>
      <c r="BA1" s="118" t="s">
        <v>164</v>
      </c>
      <c r="BB1" s="293" t="s">
        <v>173</v>
      </c>
      <c r="BC1" s="293" t="s">
        <v>174</v>
      </c>
      <c r="BE1" s="317" t="s">
        <v>180</v>
      </c>
      <c r="BF1" s="318" t="s">
        <v>193</v>
      </c>
      <c r="BG1" s="318" t="s">
        <v>194</v>
      </c>
      <c r="BH1" s="318" t="s">
        <v>195</v>
      </c>
      <c r="BI1" s="318" t="s">
        <v>196</v>
      </c>
      <c r="BJ1" s="318" t="s">
        <v>197</v>
      </c>
      <c r="BK1" s="318" t="s">
        <v>198</v>
      </c>
      <c r="BL1" s="318" t="s">
        <v>199</v>
      </c>
      <c r="BM1" s="318" t="s">
        <v>200</v>
      </c>
      <c r="BO1" s="317" t="s">
        <v>181</v>
      </c>
      <c r="BP1" s="318" t="s">
        <v>193</v>
      </c>
      <c r="BQ1" s="318" t="s">
        <v>194</v>
      </c>
      <c r="BR1" s="318" t="s">
        <v>195</v>
      </c>
      <c r="BS1" s="318" t="s">
        <v>196</v>
      </c>
      <c r="BT1" s="318" t="s">
        <v>197</v>
      </c>
      <c r="BU1" s="318" t="s">
        <v>198</v>
      </c>
      <c r="BV1" s="318" t="s">
        <v>199</v>
      </c>
      <c r="BW1" s="318" t="s">
        <v>200</v>
      </c>
      <c r="BX1" s="318" t="s">
        <v>201</v>
      </c>
      <c r="BZ1" s="317" t="s">
        <v>182</v>
      </c>
      <c r="CA1" s="318" t="s">
        <v>193</v>
      </c>
      <c r="CB1" s="318" t="s">
        <v>194</v>
      </c>
      <c r="CC1" s="318" t="s">
        <v>195</v>
      </c>
      <c r="CD1" s="318" t="s">
        <v>196</v>
      </c>
      <c r="CE1" s="318" t="s">
        <v>197</v>
      </c>
      <c r="CF1" s="318" t="s">
        <v>198</v>
      </c>
      <c r="CG1" s="318" t="s">
        <v>199</v>
      </c>
      <c r="CH1" s="318" t="s">
        <v>200</v>
      </c>
      <c r="CI1" s="318" t="s">
        <v>201</v>
      </c>
      <c r="CK1" s="317" t="s">
        <v>183</v>
      </c>
      <c r="CL1" s="318" t="s">
        <v>193</v>
      </c>
      <c r="CM1" s="318" t="s">
        <v>194</v>
      </c>
      <c r="CN1" s="318" t="s">
        <v>195</v>
      </c>
      <c r="CO1" s="318" t="s">
        <v>196</v>
      </c>
      <c r="CP1" s="318" t="s">
        <v>197</v>
      </c>
      <c r="CQ1" s="318" t="s">
        <v>198</v>
      </c>
      <c r="CR1" s="318" t="s">
        <v>199</v>
      </c>
      <c r="CS1" s="318" t="s">
        <v>200</v>
      </c>
      <c r="CT1" s="318" t="s">
        <v>201</v>
      </c>
      <c r="CV1" s="317" t="s">
        <v>184</v>
      </c>
      <c r="CW1" s="318" t="s">
        <v>193</v>
      </c>
      <c r="CX1" s="318" t="s">
        <v>194</v>
      </c>
      <c r="CY1" s="318" t="s">
        <v>195</v>
      </c>
      <c r="CZ1" s="318" t="s">
        <v>196</v>
      </c>
      <c r="DA1" s="318" t="s">
        <v>197</v>
      </c>
      <c r="DB1" s="318" t="s">
        <v>198</v>
      </c>
      <c r="DC1" s="318" t="s">
        <v>199</v>
      </c>
      <c r="DD1" s="318" t="s">
        <v>200</v>
      </c>
      <c r="DE1" s="318" t="s">
        <v>201</v>
      </c>
      <c r="DG1" s="317" t="s">
        <v>203</v>
      </c>
      <c r="DH1" s="318" t="s">
        <v>193</v>
      </c>
      <c r="DI1" s="318" t="s">
        <v>194</v>
      </c>
      <c r="DJ1" s="318" t="s">
        <v>195</v>
      </c>
      <c r="DK1" s="318" t="s">
        <v>196</v>
      </c>
      <c r="DL1" s="318" t="s">
        <v>197</v>
      </c>
      <c r="DM1" s="318" t="s">
        <v>202</v>
      </c>
      <c r="DN1" s="305"/>
      <c r="DO1" s="305"/>
    </row>
    <row r="2" spans="1:119" s="70" customFormat="1" ht="29.4" customHeight="1" thickBot="1" x14ac:dyDescent="0.25">
      <c r="A2" s="261"/>
      <c r="B2" s="155"/>
      <c r="C2" s="155"/>
      <c r="D2" s="155"/>
      <c r="E2" s="155"/>
      <c r="F2" s="150" t="s">
        <v>121</v>
      </c>
      <c r="G2" s="162"/>
      <c r="H2" s="190"/>
      <c r="I2" s="190"/>
      <c r="J2" s="190"/>
      <c r="K2" s="190"/>
      <c r="L2" s="190"/>
      <c r="M2" s="190"/>
      <c r="N2" s="190"/>
      <c r="O2" s="87"/>
      <c r="P2" s="20"/>
      <c r="Q2" s="168"/>
      <c r="R2" s="163"/>
      <c r="S2" s="374"/>
      <c r="T2" s="163"/>
      <c r="U2" s="164"/>
      <c r="V2" s="165"/>
      <c r="W2" s="166"/>
      <c r="X2" s="165"/>
      <c r="Y2" s="167"/>
      <c r="Z2" s="164"/>
      <c r="AA2" s="166"/>
      <c r="AB2" s="164"/>
      <c r="AC2" s="166"/>
      <c r="AD2" s="164"/>
      <c r="AE2" s="166"/>
      <c r="AF2" s="164"/>
      <c r="AG2" s="168"/>
      <c r="AH2" s="364"/>
      <c r="AI2" s="197"/>
      <c r="AJ2" s="191"/>
      <c r="AK2" s="201"/>
      <c r="AL2" s="301" t="s">
        <v>175</v>
      </c>
      <c r="AM2" s="299"/>
      <c r="AN2" s="299"/>
      <c r="AO2" s="300"/>
      <c r="AP2" s="169"/>
      <c r="AQ2" s="169"/>
      <c r="AR2" s="210"/>
      <c r="AS2" s="32"/>
      <c r="AT2" s="229"/>
      <c r="AU2" s="285" t="s">
        <v>169</v>
      </c>
      <c r="AV2" s="283"/>
      <c r="AW2" s="120" t="s">
        <v>97</v>
      </c>
      <c r="AX2" s="86"/>
      <c r="AY2" s="290" t="s">
        <v>192</v>
      </c>
      <c r="AZ2" s="114"/>
      <c r="BA2" s="229"/>
      <c r="BB2" s="440" t="s">
        <v>172</v>
      </c>
      <c r="BC2" s="441"/>
    </row>
    <row r="3" spans="1:119" ht="14.55" customHeight="1" thickBot="1" x14ac:dyDescent="0.35">
      <c r="A3" s="262"/>
      <c r="B3" s="114"/>
      <c r="C3" s="270"/>
      <c r="D3" s="114"/>
      <c r="E3" s="114"/>
      <c r="F3" s="64">
        <v>3959.1</v>
      </c>
      <c r="G3" s="344" t="s">
        <v>34</v>
      </c>
      <c r="H3" s="66"/>
      <c r="I3" s="66"/>
      <c r="J3" s="66"/>
      <c r="K3" s="66"/>
      <c r="L3" s="66"/>
      <c r="M3" s="66"/>
      <c r="N3" s="66"/>
      <c r="O3" s="66"/>
      <c r="P3" s="192"/>
      <c r="Q3" s="114"/>
      <c r="R3" s="62">
        <v>0.1</v>
      </c>
      <c r="S3" s="375"/>
      <c r="T3" s="60">
        <v>0.1</v>
      </c>
      <c r="U3" s="62">
        <v>0.1</v>
      </c>
      <c r="V3" s="444" t="s">
        <v>28</v>
      </c>
      <c r="W3" s="445"/>
      <c r="X3" s="444" t="s">
        <v>29</v>
      </c>
      <c r="Y3" s="445"/>
      <c r="Z3" s="62">
        <v>0.1</v>
      </c>
      <c r="AA3" s="115"/>
      <c r="AB3" s="59">
        <v>0.05</v>
      </c>
      <c r="AC3" s="115"/>
      <c r="AD3" s="62">
        <v>0.05</v>
      </c>
      <c r="AE3" s="115"/>
      <c r="AF3" s="62">
        <v>0.05</v>
      </c>
      <c r="AG3" s="389"/>
      <c r="AH3" s="80">
        <v>0.05</v>
      </c>
      <c r="AI3" s="198" t="s">
        <v>4</v>
      </c>
      <c r="AJ3" s="193"/>
      <c r="AK3" s="202"/>
      <c r="AL3" s="66"/>
      <c r="AM3" s="66"/>
      <c r="AN3" s="66"/>
      <c r="AO3" s="66"/>
      <c r="AP3" s="30"/>
      <c r="AQ3" s="30"/>
      <c r="AR3" s="15"/>
      <c r="AS3" s="298"/>
      <c r="AT3" s="211"/>
      <c r="AU3" s="320">
        <v>0.99</v>
      </c>
      <c r="AV3" s="367"/>
      <c r="AW3" s="303">
        <v>6.7749521351868847E-2</v>
      </c>
      <c r="AY3" s="295">
        <f>AY4/AY5</f>
        <v>0.81438178461541844</v>
      </c>
      <c r="AZ3" s="202"/>
      <c r="BA3" s="211"/>
      <c r="BB3" s="442">
        <v>0.1</v>
      </c>
      <c r="BC3" s="443"/>
      <c r="BE3" s="431">
        <f>$AV$27/$AY$27</f>
        <v>0.81438178461541844</v>
      </c>
      <c r="BO3" s="431">
        <f>BL27/BK27</f>
        <v>0.81121402505492479</v>
      </c>
      <c r="BZ3" s="431">
        <f>BV27/BU27</f>
        <v>0.8140387198100153</v>
      </c>
      <c r="CK3" s="431">
        <f>CG27/CF27</f>
        <v>0.8140387198100153</v>
      </c>
      <c r="CV3" s="431">
        <f>CR27/CQ27</f>
        <v>0.8140387198100153</v>
      </c>
      <c r="DG3" s="319">
        <f>CK3</f>
        <v>0.8140387198100153</v>
      </c>
    </row>
    <row r="4" spans="1:119" s="70" customFormat="1" ht="25.8" customHeight="1" x14ac:dyDescent="0.3">
      <c r="A4" s="263"/>
      <c r="B4" s="114"/>
      <c r="C4" s="270"/>
      <c r="D4" s="114"/>
      <c r="E4" s="114"/>
      <c r="F4" s="151" t="s">
        <v>122</v>
      </c>
      <c r="G4" s="345" t="s">
        <v>38</v>
      </c>
      <c r="H4" s="95"/>
      <c r="I4" s="95"/>
      <c r="J4" s="95"/>
      <c r="K4" s="95"/>
      <c r="L4" s="95"/>
      <c r="M4" s="95"/>
      <c r="N4" s="95"/>
      <c r="O4" s="95"/>
      <c r="P4" s="194"/>
      <c r="Q4" s="114"/>
      <c r="R4" s="370">
        <v>500</v>
      </c>
      <c r="S4" s="376"/>
      <c r="T4" s="61" t="s">
        <v>0</v>
      </c>
      <c r="U4" s="229" t="s">
        <v>82</v>
      </c>
      <c r="V4" s="302"/>
      <c r="W4" s="302"/>
      <c r="X4" s="302"/>
      <c r="Y4" s="302"/>
      <c r="Z4" s="65">
        <f>Z11</f>
        <v>0.77261969669380259</v>
      </c>
      <c r="AA4" s="195"/>
      <c r="AB4" s="324">
        <f>AB11</f>
        <v>27469.443885867287</v>
      </c>
      <c r="AC4" s="195"/>
      <c r="AD4" s="324">
        <f>AD11</f>
        <v>19415.137320820158</v>
      </c>
      <c r="AE4" s="195"/>
      <c r="AF4" s="324">
        <f>AF11</f>
        <v>3375.1737147036565</v>
      </c>
      <c r="AG4" s="390"/>
      <c r="AH4" s="81" t="s">
        <v>0</v>
      </c>
      <c r="AI4" s="198" t="s">
        <v>4</v>
      </c>
      <c r="AJ4" s="193"/>
      <c r="AK4" s="203"/>
      <c r="AL4" s="95"/>
      <c r="AM4" s="95"/>
      <c r="AN4" s="95"/>
      <c r="AO4" s="95"/>
      <c r="AP4" s="61"/>
      <c r="AQ4" s="187"/>
      <c r="AR4" s="212"/>
      <c r="AS4" s="219"/>
      <c r="AT4" s="229"/>
      <c r="AU4" s="430" t="s">
        <v>189</v>
      </c>
      <c r="AV4" s="106"/>
      <c r="AW4" s="121" t="s">
        <v>98</v>
      </c>
      <c r="AY4" s="435">
        <f>AV27</f>
        <v>361097212.5097506</v>
      </c>
      <c r="AZ4" s="203"/>
      <c r="BA4" s="229"/>
      <c r="BB4" s="292"/>
      <c r="BC4" s="292"/>
    </row>
    <row r="5" spans="1:119" ht="15" thickBot="1" x14ac:dyDescent="0.35">
      <c r="A5" s="262"/>
      <c r="B5" s="114"/>
      <c r="C5" s="270"/>
      <c r="D5" s="114"/>
      <c r="E5" s="114"/>
      <c r="F5" s="64">
        <v>1837.53</v>
      </c>
      <c r="G5" s="346" t="s">
        <v>81</v>
      </c>
      <c r="H5" s="97"/>
      <c r="I5" s="97"/>
      <c r="J5" s="97"/>
      <c r="K5" s="97"/>
      <c r="L5" s="97"/>
      <c r="M5" s="97"/>
      <c r="N5" s="97"/>
      <c r="O5" s="97"/>
      <c r="P5" s="173"/>
      <c r="Q5" s="114"/>
      <c r="R5" s="371">
        <v>100</v>
      </c>
      <c r="S5" s="376"/>
      <c r="T5" s="60" t="s">
        <v>0</v>
      </c>
      <c r="U5" s="15" t="s">
        <v>82</v>
      </c>
      <c r="V5" s="302"/>
      <c r="W5" s="302"/>
      <c r="X5" s="302"/>
      <c r="Y5" s="302"/>
      <c r="Z5" s="84">
        <f>Z12</f>
        <v>0.58116208542908976</v>
      </c>
      <c r="AA5" s="115"/>
      <c r="AB5" s="325">
        <f>AB12</f>
        <v>15859.581494102273</v>
      </c>
      <c r="AC5" s="115"/>
      <c r="AD5" s="325">
        <f>AD12</f>
        <v>11382.017276641218</v>
      </c>
      <c r="AE5" s="115"/>
      <c r="AF5" s="325">
        <f>AF12</f>
        <v>870.74869183215128</v>
      </c>
      <c r="AG5" s="391"/>
      <c r="AH5" s="82" t="s">
        <v>0</v>
      </c>
      <c r="AI5" s="198" t="s">
        <v>4</v>
      </c>
      <c r="AJ5" s="193"/>
      <c r="AK5" s="202"/>
      <c r="AL5" s="97"/>
      <c r="AM5" s="97"/>
      <c r="AN5" s="97"/>
      <c r="AO5" s="97"/>
      <c r="AP5" s="60"/>
      <c r="AQ5" s="188"/>
      <c r="AR5" s="213"/>
      <c r="AS5" s="220"/>
      <c r="AT5" s="211"/>
      <c r="AU5" s="321">
        <v>1.01</v>
      </c>
      <c r="AV5" s="284"/>
      <c r="AW5" s="281">
        <v>6.9599999999999995E-2</v>
      </c>
      <c r="AY5" s="296">
        <f>AY27</f>
        <v>443400404.24685359</v>
      </c>
      <c r="AZ5" s="202"/>
      <c r="BA5" s="15"/>
      <c r="BB5" s="15"/>
      <c r="BC5" s="15"/>
    </row>
    <row r="6" spans="1:119" hidden="1" x14ac:dyDescent="0.3">
      <c r="A6" s="262"/>
      <c r="B6" s="114"/>
      <c r="C6" s="270"/>
      <c r="D6" s="114"/>
      <c r="E6" s="114"/>
      <c r="F6" s="229"/>
      <c r="G6" s="346" t="s">
        <v>90</v>
      </c>
      <c r="H6" s="97"/>
      <c r="I6" s="97"/>
      <c r="J6" s="97"/>
      <c r="K6" s="97"/>
      <c r="L6" s="97"/>
      <c r="M6" s="97"/>
      <c r="N6" s="97"/>
      <c r="O6" s="97"/>
      <c r="P6" s="173"/>
      <c r="Q6" s="114"/>
      <c r="R6" s="79"/>
      <c r="S6" s="376"/>
      <c r="T6" s="60"/>
      <c r="U6" s="15"/>
      <c r="V6" s="368"/>
      <c r="W6" s="368"/>
      <c r="X6" s="368"/>
      <c r="Y6" s="368"/>
      <c r="Z6" s="356">
        <f>MEDIAN(Z15:Z26)</f>
        <v>0.64302419617003537</v>
      </c>
      <c r="AA6" s="115"/>
      <c r="AB6" s="354">
        <f>MEDIAN(AB15:AB26)</f>
        <v>20268.437732436672</v>
      </c>
      <c r="AC6" s="115"/>
      <c r="AD6" s="384">
        <f>MEDIAN(AD15:AD26)</f>
        <v>14968.036780117438</v>
      </c>
      <c r="AE6" s="115"/>
      <c r="AF6" s="384">
        <f>MEDIAN(AF15:AF26)</f>
        <v>1931.6182596007625</v>
      </c>
      <c r="AG6" s="391"/>
      <c r="AH6" s="82"/>
      <c r="AI6" s="356">
        <f>MEDIAN(AI15:AI26)</f>
        <v>0.23037205343262654</v>
      </c>
      <c r="AJ6" s="180"/>
      <c r="AK6" s="354">
        <f>MEDIAN(AK15:AK26)</f>
        <v>1.3638822925046368</v>
      </c>
      <c r="AL6" s="97"/>
      <c r="AM6" s="97"/>
      <c r="AN6" s="97"/>
      <c r="AO6" s="97"/>
      <c r="AP6" s="63"/>
      <c r="AQ6" s="189"/>
      <c r="AR6" s="88">
        <f>MEDIAN(AR15:AR26)</f>
        <v>7913.4343589264918</v>
      </c>
      <c r="AS6" s="182"/>
      <c r="AT6" s="15"/>
      <c r="AU6" s="277"/>
      <c r="AV6" s="277"/>
      <c r="AW6" s="349">
        <f>MEDIAN(AW15:AW26)</f>
        <v>451.68666321901264</v>
      </c>
      <c r="AX6" s="349">
        <f>MEDIAN(AX15:AX26)</f>
        <v>1.131333699601792</v>
      </c>
      <c r="AY6" s="294">
        <f>MEDIAN(AY15:AY26)</f>
        <v>3226738.9610916646</v>
      </c>
      <c r="AZ6" s="156"/>
      <c r="BA6" s="15"/>
      <c r="BB6" s="15"/>
      <c r="BC6" s="15"/>
    </row>
    <row r="7" spans="1:119" hidden="1" x14ac:dyDescent="0.3">
      <c r="A7" s="262"/>
      <c r="B7" s="114"/>
      <c r="C7" s="270"/>
      <c r="D7" s="114"/>
      <c r="E7" s="114"/>
      <c r="F7" s="152" t="s">
        <v>123</v>
      </c>
      <c r="G7" s="346" t="s">
        <v>88</v>
      </c>
      <c r="H7" s="97"/>
      <c r="I7" s="97"/>
      <c r="J7" s="97"/>
      <c r="K7" s="97"/>
      <c r="L7" s="97"/>
      <c r="M7" s="97"/>
      <c r="N7" s="97"/>
      <c r="O7" s="97"/>
      <c r="P7" s="173"/>
      <c r="Q7" s="114"/>
      <c r="R7" s="79"/>
      <c r="S7" s="376"/>
      <c r="T7" s="60"/>
      <c r="U7" s="15"/>
      <c r="V7" s="368"/>
      <c r="W7" s="368"/>
      <c r="X7" s="368"/>
      <c r="Y7" s="368"/>
      <c r="Z7" s="357">
        <f>AVERAGE(Z$15:Z$26)</f>
        <v>0.65368521415051373</v>
      </c>
      <c r="AA7" s="115"/>
      <c r="AB7" s="204">
        <f>AVERAGE(AB$15:AB$26)</f>
        <v>21597.569833735161</v>
      </c>
      <c r="AC7" s="115"/>
      <c r="AD7" s="385">
        <f>AVERAGE(AD$15:AD$26)</f>
        <v>15135.774407116585</v>
      </c>
      <c r="AE7" s="115"/>
      <c r="AF7" s="385">
        <f>AVERAGE(AF$15:AF$26)</f>
        <v>3718.9908915828896</v>
      </c>
      <c r="AG7" s="391"/>
      <c r="AH7" s="82"/>
      <c r="AI7" s="357">
        <f>AVERAGE(AI$15:AI$26)</f>
        <v>0.22308468131810291</v>
      </c>
      <c r="AJ7" s="180"/>
      <c r="AK7" s="204">
        <f>AVERAGE(AK$15:AK$26)</f>
        <v>62.013396602996551</v>
      </c>
      <c r="AL7" s="97"/>
      <c r="AM7" s="97"/>
      <c r="AN7" s="97"/>
      <c r="AO7" s="97"/>
      <c r="AP7" s="60"/>
      <c r="AQ7" s="60"/>
      <c r="AR7" s="204">
        <f>AVERAGE(AR$15:AR$26)</f>
        <v>8039.5641282784354</v>
      </c>
      <c r="AS7" s="182"/>
      <c r="AT7" s="15"/>
      <c r="AU7" s="278"/>
      <c r="AV7" s="278"/>
      <c r="AW7" s="350">
        <f>AVERAGE(AW$15:AW$26)</f>
        <v>2593.6804128860399</v>
      </c>
      <c r="AX7" s="350">
        <f>AVERAGE(AX$15:AX$26)</f>
        <v>1.2613946084218388</v>
      </c>
      <c r="AY7" s="214">
        <f>AVERAGE(AY15:AY26)</f>
        <v>36950033.687237799</v>
      </c>
      <c r="AZ7" s="156"/>
      <c r="BA7" s="15"/>
      <c r="BB7" s="15"/>
      <c r="BC7" s="15"/>
    </row>
    <row r="8" spans="1:119" hidden="1" x14ac:dyDescent="0.3">
      <c r="A8" s="262"/>
      <c r="B8" s="114"/>
      <c r="C8" s="270"/>
      <c r="D8" s="114"/>
      <c r="E8" s="114"/>
      <c r="F8" s="153">
        <v>3593.91</v>
      </c>
      <c r="G8" s="346" t="s">
        <v>93</v>
      </c>
      <c r="H8" s="97"/>
      <c r="I8" s="97"/>
      <c r="J8" s="97"/>
      <c r="K8" s="97"/>
      <c r="L8" s="97"/>
      <c r="M8" s="97"/>
      <c r="N8" s="97"/>
      <c r="O8" s="97"/>
      <c r="P8" s="173"/>
      <c r="Q8" s="114"/>
      <c r="R8" s="79"/>
      <c r="S8" s="376"/>
      <c r="T8" s="60"/>
      <c r="U8" s="15"/>
      <c r="V8" s="368"/>
      <c r="W8" s="368"/>
      <c r="X8" s="368"/>
      <c r="Y8" s="368"/>
      <c r="Z8" s="357">
        <f>MIN(Z$15:Z$26)</f>
        <v>0.40912107398700365</v>
      </c>
      <c r="AA8" s="53"/>
      <c r="AB8" s="204">
        <f>MIN(AB$15:AB$26)</f>
        <v>9098.2671808814612</v>
      </c>
      <c r="AC8" s="115"/>
      <c r="AD8" s="385">
        <f>MIN(AD$15:AD$26)</f>
        <v>6689.6575690973332</v>
      </c>
      <c r="AE8" s="115"/>
      <c r="AF8" s="385">
        <f>MIN(AF$15:AF$26)</f>
        <v>-272.74809294939035</v>
      </c>
      <c r="AG8" s="391"/>
      <c r="AH8" s="82"/>
      <c r="AI8" s="357">
        <f>MIN(AI$15:AI$26)</f>
        <v>1.3584819808466196E-2</v>
      </c>
      <c r="AJ8" s="180"/>
      <c r="AK8" s="204">
        <f>MIN(AK$15:AK$26)</f>
        <v>0</v>
      </c>
      <c r="AL8" s="97"/>
      <c r="AM8" s="97"/>
      <c r="AN8" s="97"/>
      <c r="AO8" s="97"/>
      <c r="AP8" s="63"/>
      <c r="AQ8" s="63"/>
      <c r="AR8" s="204">
        <f>MIN(AR$15:AR$26)</f>
        <v>6720.6413406784341</v>
      </c>
      <c r="AS8" s="182"/>
      <c r="AT8" s="15"/>
      <c r="AU8" s="278"/>
      <c r="AV8" s="278"/>
      <c r="AW8" s="351"/>
      <c r="AX8" s="351"/>
      <c r="AY8" s="214">
        <f>MIN(AY$15:AY$26)</f>
        <v>218609.73587370236</v>
      </c>
      <c r="AZ8" s="156"/>
      <c r="BA8" s="15"/>
      <c r="BB8" s="15"/>
      <c r="BC8" s="15"/>
    </row>
    <row r="9" spans="1:119" hidden="1" x14ac:dyDescent="0.3">
      <c r="A9" s="262"/>
      <c r="B9" s="114"/>
      <c r="C9" s="270"/>
      <c r="D9" s="114"/>
      <c r="E9" s="114"/>
      <c r="F9" s="152" t="s">
        <v>124</v>
      </c>
      <c r="G9" s="346" t="s">
        <v>94</v>
      </c>
      <c r="H9" s="97"/>
      <c r="I9" s="97"/>
      <c r="J9" s="97"/>
      <c r="K9" s="97"/>
      <c r="L9" s="97"/>
      <c r="M9" s="97"/>
      <c r="N9" s="97"/>
      <c r="O9" s="97"/>
      <c r="P9" s="173"/>
      <c r="Q9" s="114"/>
      <c r="R9" s="371">
        <v>500</v>
      </c>
      <c r="S9" s="376"/>
      <c r="T9" s="60"/>
      <c r="U9" s="15"/>
      <c r="V9" s="368"/>
      <c r="W9" s="368"/>
      <c r="X9" s="368"/>
      <c r="Y9" s="368"/>
      <c r="Z9" s="357">
        <f>MAX(Z$15:Z$26)</f>
        <v>0.81609748220353218</v>
      </c>
      <c r="AA9" s="115"/>
      <c r="AB9" s="204">
        <f>MAX(AB$15:AB$26)</f>
        <v>36700.115578350291</v>
      </c>
      <c r="AC9" s="115"/>
      <c r="AD9" s="385">
        <f>MAX(AD$15:AD$26)</f>
        <v>23585.764988203682</v>
      </c>
      <c r="AE9" s="115"/>
      <c r="AF9" s="385">
        <f>MAX(AF$15:AF$26)</f>
        <v>16564.204596588857</v>
      </c>
      <c r="AG9" s="391"/>
      <c r="AH9" s="82"/>
      <c r="AI9" s="357">
        <f>MAX(AI$15:AI$26)</f>
        <v>0.45</v>
      </c>
      <c r="AJ9" s="180"/>
      <c r="AK9" s="204">
        <f>MAX(AK$15:AK$26)</f>
        <v>452.39860642820634</v>
      </c>
      <c r="AL9" s="97"/>
      <c r="AM9" s="97"/>
      <c r="AN9" s="97"/>
      <c r="AO9" s="97"/>
      <c r="AP9" s="63"/>
      <c r="AQ9" s="63"/>
      <c r="AR9" s="204">
        <f>MAX(AR$15:AR$26)</f>
        <v>9397.6468817898058</v>
      </c>
      <c r="AS9" s="182"/>
      <c r="AT9" s="15"/>
      <c r="AU9" s="278"/>
      <c r="AV9" s="278"/>
      <c r="AW9" s="350">
        <f>MAX(AW$15:AW$26)</f>
        <v>10789.086997294597</v>
      </c>
      <c r="AX9" s="350">
        <f>MAX(AX$15:AX$26)</f>
        <v>2.0871013236684526</v>
      </c>
      <c r="AY9" s="214">
        <f>MAX(AY$15:AY$26)</f>
        <v>169860769.01751307</v>
      </c>
      <c r="AZ9" s="156"/>
      <c r="BA9" s="15"/>
      <c r="BB9" s="15"/>
      <c r="BC9" s="15"/>
    </row>
    <row r="10" spans="1:119" hidden="1" x14ac:dyDescent="0.3">
      <c r="A10" s="262"/>
      <c r="B10" s="114"/>
      <c r="C10" s="270"/>
      <c r="D10" s="114"/>
      <c r="E10" s="114"/>
      <c r="F10" s="154"/>
      <c r="G10" s="346" t="s">
        <v>89</v>
      </c>
      <c r="H10" s="97"/>
      <c r="I10" s="97"/>
      <c r="J10" s="97"/>
      <c r="K10" s="97"/>
      <c r="L10" s="97"/>
      <c r="M10" s="97"/>
      <c r="N10" s="97"/>
      <c r="O10" s="97"/>
      <c r="P10" s="173"/>
      <c r="Q10" s="114"/>
      <c r="R10" s="79"/>
      <c r="S10" s="376"/>
      <c r="T10" s="60"/>
      <c r="U10" s="15"/>
      <c r="V10" s="368"/>
      <c r="W10" s="368"/>
      <c r="X10" s="368"/>
      <c r="Y10" s="368"/>
      <c r="Z10" s="358">
        <f>_xlfn.STDEV.P(Z$15:Z$26)*2.94</f>
        <v>0.3387689397026834</v>
      </c>
      <c r="AA10" s="115"/>
      <c r="AB10" s="205">
        <f>_xlfn.STDEV.P(AB$15:AB$26)*2.94</f>
        <v>23212.51403209785</v>
      </c>
      <c r="AC10" s="115"/>
      <c r="AD10" s="205">
        <f>_xlfn.STDEV.P(AD$15:AD$26)*2.94</f>
        <v>16882.555493847009</v>
      </c>
      <c r="AE10" s="115"/>
      <c r="AF10" s="205">
        <f>_xlfn.STDEV.P(AF$15:AF$26)*2.94</f>
        <v>14276.725476863443</v>
      </c>
      <c r="AG10" s="391"/>
      <c r="AH10" s="82"/>
      <c r="AI10" s="358">
        <f>_xlfn.STDEV.P(AI$15:AI$26)*2.94</f>
        <v>0.38057830261244224</v>
      </c>
      <c r="AJ10" s="196"/>
      <c r="AK10" s="205">
        <f>_xlfn.STDEV.P(AK$15:AK$26)*2.94</f>
        <v>359.81095436236387</v>
      </c>
      <c r="AL10" s="97"/>
      <c r="AM10" s="97"/>
      <c r="AN10" s="97"/>
      <c r="AO10" s="97"/>
      <c r="AP10" s="63"/>
      <c r="AQ10" s="63"/>
      <c r="AR10" s="205">
        <f>_xlfn.STDEV.P(AR$15:AR$26)*2.94</f>
        <v>2393.9673220557092</v>
      </c>
      <c r="AS10" s="183"/>
      <c r="AT10" s="15"/>
      <c r="AU10" s="278"/>
      <c r="AV10" s="278"/>
      <c r="AW10" s="352">
        <f>_xlfn.STDEV.P(AW$15:AW$26)*2.94</f>
        <v>10641.707951591237</v>
      </c>
      <c r="AX10" s="352">
        <f>_xlfn.STDEV.P(AX$15:AX$26)*2.94</f>
        <v>1.3778117223558684</v>
      </c>
      <c r="AY10" s="215">
        <f>_xlfn.STDEV.P(AY$15:AY$26)*2.94</f>
        <v>168571822.48354292</v>
      </c>
      <c r="AZ10" s="156"/>
      <c r="BA10" s="15"/>
      <c r="BB10" s="15"/>
      <c r="BC10" s="15"/>
    </row>
    <row r="11" spans="1:119" hidden="1" x14ac:dyDescent="0.3">
      <c r="A11" s="262"/>
      <c r="B11" s="114"/>
      <c r="C11" s="270"/>
      <c r="D11" s="114"/>
      <c r="E11" s="114"/>
      <c r="F11" s="153">
        <v>2202.7199999999998</v>
      </c>
      <c r="G11" s="347" t="s">
        <v>92</v>
      </c>
      <c r="H11" s="97"/>
      <c r="I11" s="97"/>
      <c r="J11" s="97"/>
      <c r="K11" s="97"/>
      <c r="L11" s="97"/>
      <c r="M11" s="97"/>
      <c r="N11" s="97"/>
      <c r="O11" s="97"/>
      <c r="P11" s="173"/>
      <c r="Q11" s="114"/>
      <c r="R11" s="79"/>
      <c r="S11" s="376"/>
      <c r="T11" s="60"/>
      <c r="U11" s="15"/>
      <c r="V11" s="368"/>
      <c r="W11" s="368"/>
      <c r="X11" s="368"/>
      <c r="Y11" s="368"/>
      <c r="Z11" s="360">
        <f>QUARTILE((Z$15:Z$26),3)</f>
        <v>0.77261969669380259</v>
      </c>
      <c r="AA11" s="323"/>
      <c r="AB11" s="362">
        <f>QUARTILE((AB$15:AB$26),3)</f>
        <v>27469.443885867287</v>
      </c>
      <c r="AC11" s="323"/>
      <c r="AD11" s="386">
        <f>QUARTILE((AD$15:AD$26),3)</f>
        <v>19415.137320820158</v>
      </c>
      <c r="AE11" s="323"/>
      <c r="AF11" s="386">
        <f>QUARTILE((AF$15:AF$26),3)</f>
        <v>3375.1737147036565</v>
      </c>
      <c r="AG11" s="391"/>
      <c r="AH11" s="82"/>
      <c r="AI11" s="359">
        <f>QUARTILE((AI$15:AI$26),3)</f>
        <v>0.32678055035955156</v>
      </c>
      <c r="AJ11" s="180"/>
      <c r="AK11" s="355">
        <f>QUARTILE((AK$15:AK$26),3)</f>
        <v>67.551575085933464</v>
      </c>
      <c r="AL11" s="97"/>
      <c r="AM11" s="97"/>
      <c r="AN11" s="97"/>
      <c r="AO11" s="97"/>
      <c r="AP11" s="63"/>
      <c r="AQ11" s="63"/>
      <c r="AR11" s="365">
        <f>QUARTILE((AR$15:AR$26),3)</f>
        <v>8606.5353529927852</v>
      </c>
      <c r="AS11" s="184"/>
      <c r="AT11" s="15"/>
      <c r="AU11" s="279"/>
      <c r="AV11" s="279"/>
      <c r="AW11" s="353">
        <f>QUARTILE((AW$15:AW$26),3)</f>
        <v>3861.606902678348</v>
      </c>
      <c r="AX11" s="353">
        <f>QUARTILE((AX$15:AX$26),3)</f>
        <v>1.6070405581539222</v>
      </c>
      <c r="AY11" s="216">
        <f>QUARTILE((AY$15:AY$26),3)</f>
        <v>50946502.458093479</v>
      </c>
      <c r="AZ11" s="156"/>
      <c r="BA11" s="15"/>
      <c r="BB11" s="15"/>
      <c r="BC11" s="15"/>
    </row>
    <row r="12" spans="1:119" hidden="1" x14ac:dyDescent="0.3">
      <c r="A12" s="262"/>
      <c r="B12" s="114"/>
      <c r="C12" s="270"/>
      <c r="D12" s="114"/>
      <c r="E12" s="114"/>
      <c r="F12" s="229">
        <v>462.33</v>
      </c>
      <c r="G12" s="346" t="s">
        <v>91</v>
      </c>
      <c r="H12" s="97"/>
      <c r="I12" s="97"/>
      <c r="J12" s="97"/>
      <c r="K12" s="97"/>
      <c r="L12" s="97"/>
      <c r="M12" s="97"/>
      <c r="N12" s="97"/>
      <c r="O12" s="97"/>
      <c r="P12" s="173"/>
      <c r="Q12" s="114"/>
      <c r="R12" s="79"/>
      <c r="S12" s="376"/>
      <c r="T12" s="60"/>
      <c r="U12" s="15"/>
      <c r="V12" s="368"/>
      <c r="W12" s="368"/>
      <c r="X12" s="368"/>
      <c r="Y12" s="368"/>
      <c r="Z12" s="361">
        <f>QUARTILE((Z$15:Z$26),1)</f>
        <v>0.58116208542908976</v>
      </c>
      <c r="AA12" s="323"/>
      <c r="AB12" s="363">
        <f>QUARTILE((AB$15:AB$26),1)</f>
        <v>15859.581494102273</v>
      </c>
      <c r="AC12" s="323"/>
      <c r="AD12" s="387">
        <f>QUARTILE((AD$15:AD$26),1)</f>
        <v>11382.017276641218</v>
      </c>
      <c r="AE12" s="323"/>
      <c r="AF12" s="387">
        <f>QUARTILE((AF$15:AF$26),1)</f>
        <v>870.74869183215128</v>
      </c>
      <c r="AG12" s="391"/>
      <c r="AH12" s="82"/>
      <c r="AI12" s="357">
        <f>QUARTILE((AI$15:AI$26),1)</f>
        <v>0.13311937663848086</v>
      </c>
      <c r="AJ12" s="180"/>
      <c r="AK12" s="204">
        <f>QUARTILE((AK$15:AK$26),1)</f>
        <v>0</v>
      </c>
      <c r="AL12" s="97"/>
      <c r="AM12" s="97"/>
      <c r="AN12" s="97"/>
      <c r="AO12" s="97"/>
      <c r="AP12" s="60"/>
      <c r="AQ12" s="60"/>
      <c r="AR12" s="366">
        <f>QUARTILE((AR$15:AR$26),1)</f>
        <v>7556.599293423692</v>
      </c>
      <c r="AS12" s="182"/>
      <c r="AT12" s="15"/>
      <c r="AU12" s="278"/>
      <c r="AV12" s="278"/>
      <c r="AW12" s="350">
        <f>QUARTILE((AW$15:AW$26),1)</f>
        <v>216.99232872721214</v>
      </c>
      <c r="AX12" s="350">
        <f>QUARTILE((AX$15:AX$26),1)</f>
        <v>0.86792198166877377</v>
      </c>
      <c r="AY12" s="214">
        <f>QUARTILE((AY$15:AY$26),1)</f>
        <v>1363463.8349392919</v>
      </c>
      <c r="AZ12" s="156"/>
      <c r="BA12" s="15"/>
      <c r="BB12" s="15"/>
      <c r="BC12" s="15"/>
    </row>
    <row r="13" spans="1:119" ht="15" hidden="1" thickBot="1" x14ac:dyDescent="0.35">
      <c r="A13" s="264"/>
      <c r="B13" s="96"/>
      <c r="C13" s="271"/>
      <c r="D13" s="96"/>
      <c r="E13" s="102"/>
      <c r="F13" s="103"/>
      <c r="G13" s="348"/>
      <c r="H13" s="103"/>
      <c r="I13" s="103"/>
      <c r="J13" s="103"/>
      <c r="K13" s="103"/>
      <c r="L13" s="103"/>
      <c r="M13" s="103"/>
      <c r="N13" s="103"/>
      <c r="O13" s="103"/>
      <c r="P13" s="174"/>
      <c r="Q13" s="105"/>
      <c r="R13" s="372"/>
      <c r="S13" s="377"/>
      <c r="T13" s="104"/>
      <c r="U13" s="91"/>
      <c r="V13" s="92"/>
      <c r="W13" s="92"/>
      <c r="X13" s="92"/>
      <c r="Y13" s="92"/>
      <c r="Z13" s="100"/>
      <c r="AA13" s="107"/>
      <c r="AB13" s="108"/>
      <c r="AC13" s="107"/>
      <c r="AD13" s="108"/>
      <c r="AE13" s="107"/>
      <c r="AF13" s="388"/>
      <c r="AG13" s="392"/>
      <c r="AH13" s="93"/>
      <c r="AI13" s="109"/>
      <c r="AJ13" s="208"/>
      <c r="AK13" s="98"/>
      <c r="AL13" s="103"/>
      <c r="AM13" s="103"/>
      <c r="AN13" s="103"/>
      <c r="AO13" s="103"/>
      <c r="AP13" s="104"/>
      <c r="AQ13" s="104"/>
      <c r="AR13" s="98"/>
      <c r="AS13" s="218"/>
      <c r="AT13" s="15"/>
      <c r="AU13" s="91"/>
      <c r="AV13" s="91"/>
      <c r="AW13" s="110"/>
      <c r="AX13" s="111"/>
      <c r="AY13" s="98"/>
      <c r="AZ13" s="156"/>
      <c r="BA13" s="15"/>
      <c r="BB13" s="15"/>
      <c r="BC13" s="15"/>
    </row>
    <row r="14" spans="1:119" ht="15" thickBot="1" x14ac:dyDescent="0.35">
      <c r="A14" s="265"/>
      <c r="B14" s="1"/>
      <c r="C14" s="7"/>
      <c r="D14" s="1"/>
      <c r="E14" s="1"/>
      <c r="F14" s="2"/>
      <c r="G14" s="429" t="s">
        <v>204</v>
      </c>
      <c r="H14" s="118"/>
      <c r="I14" s="172"/>
      <c r="J14" s="2"/>
      <c r="K14" s="2"/>
      <c r="L14" s="2"/>
      <c r="M14" s="172"/>
      <c r="N14" s="2"/>
      <c r="O14" s="2"/>
      <c r="P14" s="2"/>
      <c r="Q14" s="1"/>
      <c r="R14" s="259">
        <f>R9</f>
        <v>500</v>
      </c>
      <c r="S14" s="378"/>
      <c r="T14" s="52"/>
      <c r="U14" s="90"/>
      <c r="V14" s="112" t="s">
        <v>95</v>
      </c>
      <c r="W14" s="54"/>
      <c r="X14" s="1"/>
      <c r="Y14" s="50"/>
      <c r="Z14" s="1"/>
      <c r="AA14" s="54"/>
      <c r="AB14" s="1"/>
      <c r="AC14" s="54"/>
      <c r="AD14" s="1"/>
      <c r="AE14" s="54"/>
      <c r="AF14" s="1"/>
      <c r="AG14" s="113"/>
      <c r="AH14" s="85"/>
      <c r="AI14" s="119"/>
      <c r="AJ14" s="1"/>
      <c r="AK14" s="206"/>
      <c r="AL14" s="2"/>
      <c r="AM14" s="2"/>
      <c r="AN14" s="160"/>
      <c r="AO14" s="160"/>
      <c r="AP14" s="186"/>
      <c r="AQ14" s="186"/>
      <c r="AR14" s="117"/>
      <c r="AS14" s="3"/>
      <c r="AT14" s="117"/>
      <c r="AU14" s="322">
        <f>AU3*AU5</f>
        <v>0.99990000000000001</v>
      </c>
      <c r="AV14" s="312"/>
      <c r="AW14" s="282">
        <f>(1+$AW$3)*(1+$AW$5)</f>
        <v>1.1420648880379587</v>
      </c>
      <c r="AX14" s="206"/>
      <c r="AY14" s="291">
        <f>AY27</f>
        <v>443400404.24685359</v>
      </c>
      <c r="AZ14" s="117"/>
      <c r="BA14" s="117"/>
      <c r="BB14" s="313"/>
      <c r="BC14" s="313"/>
    </row>
    <row r="15" spans="1:119" s="339" customFormat="1" ht="13.8" customHeight="1" x14ac:dyDescent="0.3">
      <c r="A15" s="268">
        <v>1</v>
      </c>
      <c r="B15" s="238"/>
      <c r="C15" s="239"/>
      <c r="D15" s="240"/>
      <c r="E15" s="240"/>
      <c r="F15" s="241">
        <v>0.99429999999999996</v>
      </c>
      <c r="G15" s="170" t="s">
        <v>146</v>
      </c>
      <c r="H15" s="242">
        <f>IF(F15&lt;1,$F$8,$F$3)</f>
        <v>3593.91</v>
      </c>
      <c r="I15" s="243">
        <v>0.99429999999999996</v>
      </c>
      <c r="J15" s="242">
        <f>IF(F15&lt;1,$F$11,$F$5)</f>
        <v>2202.7199999999998</v>
      </c>
      <c r="K15" s="242">
        <f>IFERROR((H15*I15)+J15," ")</f>
        <v>5776.1447129999997</v>
      </c>
      <c r="L15" s="244">
        <v>462.33</v>
      </c>
      <c r="M15" s="243">
        <v>0.99609999999999999</v>
      </c>
      <c r="N15" s="242">
        <f>IFERROR(L15*M15," ")</f>
        <v>460.52691299999998</v>
      </c>
      <c r="O15" s="242">
        <f t="shared" ref="O15:O23" si="0">K15+N15</f>
        <v>6236.6716259999994</v>
      </c>
      <c r="P15" s="245"/>
      <c r="Q15" s="394">
        <v>1</v>
      </c>
      <c r="R15" s="393">
        <f>IF(OR(A15=13,AW15&lt;R$5),R$3,IF((AW15&lt;R$4),(((AW15-R$4)/(R$5-R$4))*R$3),0))</f>
        <v>0.1</v>
      </c>
      <c r="S15" s="247" t="s">
        <v>5</v>
      </c>
      <c r="T15" s="246">
        <f>IF((S15&lt;&gt;""),0,T$3)</f>
        <v>0.1</v>
      </c>
      <c r="U15" s="248">
        <f t="shared" ref="U15:U23" si="1">IF(A15=33,$U$3,0)</f>
        <v>0</v>
      </c>
      <c r="V15" s="249">
        <v>1</v>
      </c>
      <c r="W15" s="250">
        <f>IF($A15&gt;=13,0,V15-1)</f>
        <v>0</v>
      </c>
      <c r="X15" s="237" t="s">
        <v>1</v>
      </c>
      <c r="Y15" s="248">
        <f t="shared" ref="Y15:Y23" si="2">IF(X15="Y",-0.01,0)</f>
        <v>0</v>
      </c>
      <c r="Z15" s="251">
        <v>0.64625573008163617</v>
      </c>
      <c r="AA15" s="250">
        <f>IF(Z15&gt;=Z$4,Z$3,IF(Z15&lt;=Z$5,0,((Z15-Z$5)/(Z$4-Z$5))*Z$3))</f>
        <v>3.3998985061265981E-2</v>
      </c>
      <c r="AB15" s="252">
        <v>19381.564006215674</v>
      </c>
      <c r="AC15" s="250">
        <f>IF(AB15&gt;=AB$4,0,IF(AB15&lt;=AB$5,AB$3,((AB$4-AB15)/(AB$4-AB$5))*AB$3))</f>
        <v>3.4831936877169289E-2</v>
      </c>
      <c r="AD15" s="252">
        <v>16224.963248754675</v>
      </c>
      <c r="AE15" s="250">
        <f>IF(AD15&gt;=AD$4,0,IF(AD15&lt;=AD$5,AD$3,((AD$4-AD15)/(AD$4-AD$5))*AD$3))</f>
        <v>1.9856382417546389E-2</v>
      </c>
      <c r="AF15" s="252">
        <v>1854.8159494744752</v>
      </c>
      <c r="AG15" s="250">
        <f>IF(AF15&gt;=AF$4,0,IF(AF15&lt;=AF$5,AF$3,((AF$4-AF15)/(AF$4-AF$5))*AF$3))</f>
        <v>3.0353429456753723E-2</v>
      </c>
      <c r="AH15" s="252">
        <f>IFERROR(VLOOKUP($B15,'[1]Public Option Sheet'!$A$9:$AQ$86,28,FALSE),0)</f>
        <v>0</v>
      </c>
      <c r="AI15" s="253">
        <f>SUM(R15,T15,U15,W15,Y15,AA15,AC15,AE15,AG15)</f>
        <v>0.3190407338127354</v>
      </c>
      <c r="AJ15" s="269"/>
      <c r="AK15" s="255">
        <v>0</v>
      </c>
      <c r="AL15" s="243">
        <v>0</v>
      </c>
      <c r="AM15" s="243">
        <v>0</v>
      </c>
      <c r="AN15" s="242">
        <f>IFERROR((K15*AL15),0)</f>
        <v>0</v>
      </c>
      <c r="AO15" s="242">
        <f t="shared" ref="AO15:AO23" si="3">IFERROR(N15*AM15,0)</f>
        <v>0</v>
      </c>
      <c r="AP15" s="314">
        <f>($O15*(1+$AI15))</f>
        <v>8226.4239181081048</v>
      </c>
      <c r="AQ15" s="314">
        <f>$AK15+$AN15+$AO15</f>
        <v>0</v>
      </c>
      <c r="AR15" s="256">
        <f>AP15+AQ15</f>
        <v>8226.4239181081048</v>
      </c>
      <c r="AS15" s="257"/>
      <c r="AT15" s="252">
        <v>7060</v>
      </c>
      <c r="AU15" s="315">
        <f t="shared" ref="AU15:AU23" si="4">AT15*$AU$14</f>
        <v>7059.2939999999999</v>
      </c>
      <c r="AV15" s="252">
        <f t="shared" ref="AV15:AV23" si="5">AU15*AW15*AX15</f>
        <v>334289.47890888003</v>
      </c>
      <c r="AW15" s="395">
        <v>30</v>
      </c>
      <c r="AX15" s="316">
        <v>1.578484</v>
      </c>
      <c r="AY15" s="256">
        <f t="shared" ref="AY15:AY23" si="6">AR15*$AW15*$AX15</f>
        <v>389558.35595852858</v>
      </c>
      <c r="AZ15" s="237"/>
      <c r="BA15" s="252">
        <v>5620</v>
      </c>
      <c r="BB15" s="252">
        <f>BA15*(1-$BB$3)</f>
        <v>5058</v>
      </c>
      <c r="BC15" s="252">
        <f>BA15*(1+$BB$3)</f>
        <v>6182.0000000000009</v>
      </c>
      <c r="BD15" s="340"/>
      <c r="BE15" s="252">
        <f>$AR15*BE$3</f>
        <v>6699.4497914318408</v>
      </c>
      <c r="BF15" s="252">
        <f>BE15*$AW15*$AX15</f>
        <v>317249.22913735494</v>
      </c>
      <c r="BG15" s="237">
        <f>IF(BE15&lt;=$BB15,1,0)</f>
        <v>0</v>
      </c>
      <c r="BH15" s="237">
        <f>IF(BE15&gt;=$BC15,1,0)</f>
        <v>1</v>
      </c>
      <c r="BI15" s="252">
        <f>MAX(MIN(BE15,$BC15),$BB15)</f>
        <v>6182.0000000000009</v>
      </c>
      <c r="BJ15" s="252">
        <f>BI15*$AW15*$AX15</f>
        <v>292745.64264000003</v>
      </c>
      <c r="BK15" s="396">
        <f t="shared" ref="BK15:BK26" si="7">IF(OR(AND(BG15=1,BJ$27&gt;$AV$27),AND(BH15=1,BJ$27&lt;$AV$27)),0,$AY15)</f>
        <v>389558.35595852858</v>
      </c>
      <c r="BL15" s="396">
        <f t="shared" ref="BL15:BL26" si="8">IF(OR(AND(BG15=1,BJ$27&gt;$AV$27),AND(BH15=1,BJ$27&lt;$AV$27)),$AV15-BJ15,$AV15)</f>
        <v>334289.47890888003</v>
      </c>
      <c r="BM15" s="397">
        <f t="shared" ref="BM15:BM26" si="9">IF(OR(AND(BG15=1,BJ$27&gt;$AV$27),AND(BH15=1,BJ$27&lt;$AV$27)),1,0)</f>
        <v>0</v>
      </c>
      <c r="BO15" s="252">
        <f t="shared" ref="BO15:BO23" si="10">IF(BM15=1,BI15,$AR15*BO$3)</f>
        <v>6673.3904584165803</v>
      </c>
      <c r="BP15" s="252">
        <f>BO15*$AW15*$AX15</f>
        <v>316015.20193089708</v>
      </c>
      <c r="BQ15" s="237">
        <f>IF(BO15&lt;=$BB15,1,0)</f>
        <v>0</v>
      </c>
      <c r="BR15" s="237">
        <f>IF(BO15&gt;=$BC15,1,0)</f>
        <v>1</v>
      </c>
      <c r="BS15" s="252">
        <f>MAX(MIN(BO15,$BC15),$BB15)</f>
        <v>6182.0000000000009</v>
      </c>
      <c r="BT15" s="252">
        <f>BS15*$AW15*$AX15</f>
        <v>292745.64264000003</v>
      </c>
      <c r="BU15" s="396">
        <f t="shared" ref="BU15:BU26" si="11">IF(OR(AND(BQ15=1,BT$27&gt;$AV$27),AND(BR15=1,BT$27&lt;$AV$27),BM15=1),0,$AY15)</f>
        <v>0</v>
      </c>
      <c r="BV15" s="396">
        <f t="shared" ref="BV15:BV26" si="12">IF(OR(AND(BQ15=1,BT$27&gt;$AV$27),AND(BR15=1,BT$27&lt;$AV$27),BM15=1),$AV15-BT15,$AV15)</f>
        <v>41543.836268879997</v>
      </c>
      <c r="BW15" s="397">
        <f t="shared" ref="BW15:BW26" si="13">IF(OR(AND(BQ15=1,BT$27&gt;$AV$27),AND(BR15=1,BT$27&lt;$AV$27),BM15=1),1,0)</f>
        <v>1</v>
      </c>
      <c r="BX15" s="237">
        <f t="shared" ref="BX15:BX23" si="14">IF(BW15=BM15,0,1)</f>
        <v>1</v>
      </c>
      <c r="BZ15" s="252">
        <f t="shared" ref="BZ15:BZ23" si="15">IF(BW15=1,BS15,$AR15*BZ$3)</f>
        <v>6182.0000000000009</v>
      </c>
      <c r="CA15" s="252">
        <f>BZ15*$AW15*$AX15</f>
        <v>292745.64264000003</v>
      </c>
      <c r="CB15" s="237">
        <f>IF(BZ15&lt;=$BB15,1,0)</f>
        <v>0</v>
      </c>
      <c r="CC15" s="237">
        <f>IF(BZ15&gt;=$BC15,1,0)</f>
        <v>1</v>
      </c>
      <c r="CD15" s="252">
        <f>MAX(MIN(BZ15,$BC15),$BB15)</f>
        <v>6182.0000000000009</v>
      </c>
      <c r="CE15" s="252">
        <f>CD15*$AW15*$AX15</f>
        <v>292745.64264000003</v>
      </c>
      <c r="CF15" s="396">
        <f t="shared" ref="CF15:CF26" si="16">IF(OR(AND(CB15=1,CE$27&gt;$AV$27),AND(CC15=1,CE$27&lt;$AV$27),BW15=1),0,$AY15)</f>
        <v>0</v>
      </c>
      <c r="CG15" s="396">
        <f t="shared" ref="CG15:CG26" si="17">IF(OR(AND(CB15=1,CE$27&gt;$AV$27),AND(CC15=1,CE$27&lt;$AV$27),BW15=1),$AV15-CE15,$AV15)</f>
        <v>41543.836268879997</v>
      </c>
      <c r="CH15" s="397">
        <f t="shared" ref="CH15:CH26" si="18">IF(OR(AND(CB15=1,CE$27&gt;$AV$27),AND(CC15=1,CE$27&lt;$AV$27),BW15=1),1,0)</f>
        <v>1</v>
      </c>
      <c r="CI15" s="237">
        <f t="shared" ref="CI15:CI23" si="19">IF(CH15=BW15,0,1)</f>
        <v>0</v>
      </c>
      <c r="CK15" s="252">
        <f t="shared" ref="CK15:CK23" si="20">IF(CH15=1,CD15,$AR15*CK$3)</f>
        <v>6182.0000000000009</v>
      </c>
      <c r="CL15" s="252">
        <f>CK15*$AW15*$AX15</f>
        <v>292745.64264000003</v>
      </c>
      <c r="CM15" s="237">
        <f>IF(CK15&lt;=$BB15,1,0)</f>
        <v>0</v>
      </c>
      <c r="CN15" s="237">
        <f>IF(CK15&gt;=$BC15,1,0)</f>
        <v>1</v>
      </c>
      <c r="CO15" s="252">
        <f>MAX(MIN(CK15,$BC15),$BB15)</f>
        <v>6182.0000000000009</v>
      </c>
      <c r="CP15" s="252">
        <f>CO15*$AW15*$AX15</f>
        <v>292745.64264000003</v>
      </c>
      <c r="CQ15" s="396">
        <f t="shared" ref="CQ15:CQ26" si="21">IF(OR(AND(CM15=1,CP$27&gt;$AV$27),AND(CN15=1,CP$27&lt;$AV$27),CH15=1),0,$AY15)</f>
        <v>0</v>
      </c>
      <c r="CR15" s="396">
        <f t="shared" ref="CR15:CR26" si="22">IF(OR(AND(CM15=1,CP$27&gt;$AV$27),AND(CN15=1,CP$27&lt;$AV$27),CH15=1),$AV15-CP15,$AV15)</f>
        <v>41543.836268879997</v>
      </c>
      <c r="CS15" s="397">
        <f t="shared" ref="CS15:CS26" si="23">IF(OR(AND(CM15=1,CP$27&gt;$AV$27),AND(CN15=1,CP$27&lt;$AV$27),CH15=1),1,0)</f>
        <v>1</v>
      </c>
      <c r="CT15" s="237">
        <f t="shared" ref="CT15:CT23" si="24">IF(CS15=CH15,0,1)</f>
        <v>0</v>
      </c>
      <c r="CV15" s="252">
        <f t="shared" ref="CV15:CV23" si="25">IF(CS15=1,CO15,$AR15*CV$3)</f>
        <v>6182.0000000000009</v>
      </c>
      <c r="CW15" s="252">
        <f t="shared" ref="CW15:CW23" si="26">CV15*$AW15*$AX15</f>
        <v>292745.64264000003</v>
      </c>
      <c r="CX15" s="237">
        <f>IF(CV15&lt;=$BB15,1,0)</f>
        <v>0</v>
      </c>
      <c r="CY15" s="237">
        <f>IF(CV15&gt;=$BC15,1,0)</f>
        <v>1</v>
      </c>
      <c r="CZ15" s="252">
        <f>MAX(MIN(CV15,$BC15),$BB15)</f>
        <v>6182.0000000000009</v>
      </c>
      <c r="DA15" s="252">
        <f>CZ15*$AW15*$AX15</f>
        <v>292745.64264000003</v>
      </c>
      <c r="DB15" s="396">
        <f t="shared" ref="DB15:DB26" si="27">IF(OR(AND(CX15=1,DA$27&gt;$AV$27),AND(CY15=1,DA$27&lt;$AV$27),CS15=1),0,$AY15)</f>
        <v>0</v>
      </c>
      <c r="DC15" s="396">
        <f t="shared" ref="DC15:DC26" si="28">IF(OR(AND(CX15=1,DA$27&gt;$AV$27),AND(CY15=1,DA$27&lt;$AV$27),CS15=1),$AV15-DA15,$AV15)</f>
        <v>41543.836268879997</v>
      </c>
      <c r="DD15" s="397">
        <f t="shared" ref="DD15:DD26" si="29">IF(OR(AND(CX15=1,DA$27&gt;$AV$27),AND(CY15=1,DA$27&lt;$AV$27),CS15=1),1,0)</f>
        <v>1</v>
      </c>
      <c r="DE15" s="237">
        <f t="shared" ref="DE15:DE23" si="30">IF(DD15=CS15,0,1)</f>
        <v>0</v>
      </c>
      <c r="DG15" s="252">
        <f>$AR15*DG$3</f>
        <v>6696.6275949112114</v>
      </c>
      <c r="DH15" s="252">
        <f>DG15*$AW15*$AX15</f>
        <v>317115.58537577483</v>
      </c>
      <c r="DI15" s="237">
        <f>IF(DG15&lt;=$BB15,1,0)</f>
        <v>0</v>
      </c>
      <c r="DJ15" s="237">
        <f>IF(DG15&gt;=$BC15,1,0)</f>
        <v>1</v>
      </c>
      <c r="DK15" s="252">
        <f>MAX(MIN(DG15,$BC15),$BB15)</f>
        <v>6182.0000000000009</v>
      </c>
      <c r="DL15" s="252">
        <f>DK15*$AW15*$AX15</f>
        <v>292745.64264000003</v>
      </c>
      <c r="DM15" s="250">
        <f t="shared" ref="DM15:DM23" si="31">DK15/BA15</f>
        <v>1.1000000000000001</v>
      </c>
    </row>
    <row r="16" spans="1:119" s="424" customFormat="1" ht="13.8" customHeight="1" x14ac:dyDescent="0.3">
      <c r="A16" s="398">
        <v>13</v>
      </c>
      <c r="B16" s="399"/>
      <c r="C16" s="400"/>
      <c r="D16" s="401"/>
      <c r="E16" s="401"/>
      <c r="F16" s="402">
        <v>0</v>
      </c>
      <c r="G16" s="403" t="s">
        <v>147</v>
      </c>
      <c r="H16" s="404">
        <f t="shared" ref="H16:H23" si="32">IF(F16&lt;1,$F$8,$F$3)</f>
        <v>3593.91</v>
      </c>
      <c r="I16" s="405">
        <v>1</v>
      </c>
      <c r="J16" s="404">
        <f t="shared" ref="J16:J23" si="33">IF(F16&lt;1,$F$11,$F$5)</f>
        <v>2202.7199999999998</v>
      </c>
      <c r="K16" s="404">
        <f t="shared" ref="K16:K23" si="34">IFERROR((H16*I16)+J16," ")</f>
        <v>5796.6299999999992</v>
      </c>
      <c r="L16" s="406">
        <v>462.33</v>
      </c>
      <c r="M16" s="405">
        <v>1</v>
      </c>
      <c r="N16" s="404">
        <f t="shared" ref="N16:N23" si="35">IFERROR(L16*M16," ")</f>
        <v>462.33</v>
      </c>
      <c r="O16" s="404">
        <f t="shared" si="0"/>
        <v>6258.9599999999991</v>
      </c>
      <c r="P16" s="432"/>
      <c r="Q16" s="407">
        <v>1</v>
      </c>
      <c r="R16" s="373">
        <f t="shared" ref="R16:R23" si="36">IF(OR(A16=13,AW16&lt;R$5),R$3,IF((AW16&lt;R$4),(((AW16-R$4)/(R$5-R$4))*R$3),0))</f>
        <v>0.1</v>
      </c>
      <c r="S16" s="408" t="s">
        <v>5</v>
      </c>
      <c r="T16" s="409">
        <f t="shared" ref="T16:T23" si="37">IF((S16&lt;&gt;""),0,T$3)</f>
        <v>0.1</v>
      </c>
      <c r="U16" s="410">
        <f t="shared" si="1"/>
        <v>0</v>
      </c>
      <c r="V16" s="411">
        <v>0</v>
      </c>
      <c r="W16" s="412">
        <f t="shared" ref="W16:W23" si="38">IF($A16&gt;=13,0,V16-1)</f>
        <v>0</v>
      </c>
      <c r="X16" s="413">
        <v>0</v>
      </c>
      <c r="Y16" s="410">
        <f t="shared" si="2"/>
        <v>0</v>
      </c>
      <c r="Z16" s="78">
        <v>0.81609748220353218</v>
      </c>
      <c r="AA16" s="53">
        <f t="shared" ref="AA16:AA23" si="39">IF(Z16&gt;=Z$4,Z$3,IF(Z16&lt;=Z$5,0,((Z16-Z$5)/(Z$4-Z$5))*Z$3))</f>
        <v>0.1</v>
      </c>
      <c r="AB16" s="6">
        <v>9098.2671808814612</v>
      </c>
      <c r="AC16" s="53">
        <f t="shared" ref="AC16:AC23" si="40">IF(AB16&gt;=AB$4,0,IF(AB16&lt;=AB$5,AB$3,((AB$4-AB16)/(AB$4-AB$5))*AB$3))</f>
        <v>0.05</v>
      </c>
      <c r="AD16" s="6">
        <v>7140.1537710240154</v>
      </c>
      <c r="AE16" s="53">
        <f t="shared" ref="AE16:AE23" si="41">IF(AD16&gt;=AD$4,0,IF(AD16&lt;=AD$5,AD$3,((AD$4-AD16)/(AD$4-AD$5))*AD$3))</f>
        <v>0.05</v>
      </c>
      <c r="AF16" s="6">
        <v>-272.74809294939035</v>
      </c>
      <c r="AG16" s="53">
        <f t="shared" ref="AG16:AG23" si="42">IF(AF16&gt;=AF$4,0,IF(AF16&lt;=AF$5,AF$3,((AF$4-AF16)/(AF$4-AF$5))*AF$3))</f>
        <v>0.05</v>
      </c>
      <c r="AH16" s="83">
        <f>IFERROR(VLOOKUP($B16,'[1]Public Option Sheet'!$A$9:$AQ$86,28,FALSE),0)</f>
        <v>0</v>
      </c>
      <c r="AI16" s="414">
        <f t="shared" ref="AI16:AI23" si="43">SUM(R16,T16,U16,W16,Y16,AA16,AC16,AE16,AG16)</f>
        <v>0.45</v>
      </c>
      <c r="AJ16" s="433"/>
      <c r="AK16" s="415">
        <v>0</v>
      </c>
      <c r="AL16" s="405" t="s">
        <v>4</v>
      </c>
      <c r="AM16" s="405" t="s">
        <v>4</v>
      </c>
      <c r="AN16" s="404">
        <f t="shared" ref="AN16:AN23" si="44">IFERROR((K16*AL16),0)</f>
        <v>0</v>
      </c>
      <c r="AO16" s="404">
        <f t="shared" si="3"/>
        <v>0</v>
      </c>
      <c r="AP16" s="416">
        <f t="shared" ref="AP16:AP23" si="45">($O16*(1+$AI16))</f>
        <v>9075.4919999999984</v>
      </c>
      <c r="AQ16" s="416">
        <f t="shared" ref="AQ16:AQ23" si="46">$AK16+$AN16+$AO16</f>
        <v>0</v>
      </c>
      <c r="AR16" s="417">
        <f t="shared" ref="AR16:AR23" si="47">AP16+AQ16</f>
        <v>9075.4919999999984</v>
      </c>
      <c r="AS16" s="434"/>
      <c r="AT16" s="381">
        <v>7050</v>
      </c>
      <c r="AU16" s="418">
        <f t="shared" si="4"/>
        <v>7049.2950000000001</v>
      </c>
      <c r="AV16" s="381">
        <f t="shared" si="5"/>
        <v>2959983.0664899009</v>
      </c>
      <c r="AW16" s="419">
        <v>465.96247431948717</v>
      </c>
      <c r="AX16" s="420">
        <v>0.90114068627450972</v>
      </c>
      <c r="AY16" s="417">
        <f t="shared" si="6"/>
        <v>3810778.6154593555</v>
      </c>
      <c r="AZ16" s="413"/>
      <c r="BA16" s="6">
        <v>6770</v>
      </c>
      <c r="BB16" s="381">
        <f t="shared" ref="BB16:BB23" si="48">BA16*(1-$BB$3)</f>
        <v>6093</v>
      </c>
      <c r="BC16" s="381">
        <f t="shared" ref="BC16:BC23" si="49">BA16*(1+$BB$3)</f>
        <v>7447.0000000000009</v>
      </c>
      <c r="BD16" s="421"/>
      <c r="BE16" s="381">
        <f t="shared" ref="BE16:BE23" si="50">$AR16*BE$3</f>
        <v>7390.9153712229518</v>
      </c>
      <c r="BF16" s="381">
        <f t="shared" ref="BF16:BF23" si="51">BE16*$AW16*$AX16</f>
        <v>3103428.6896320628</v>
      </c>
      <c r="BG16" s="413">
        <f t="shared" ref="BG16:BG23" si="52">IF(BE16&lt;=$BB16,1,0)</f>
        <v>0</v>
      </c>
      <c r="BH16" s="413">
        <f t="shared" ref="BH16:BH23" si="53">IF(BE16&gt;=$BC16,1,0)</f>
        <v>0</v>
      </c>
      <c r="BI16" s="381">
        <f t="shared" ref="BI16:BI23" si="54">MAX(MIN(BE16,$BC16),$BB16)</f>
        <v>7390.9153712229518</v>
      </c>
      <c r="BJ16" s="381">
        <f t="shared" ref="BJ16:BJ23" si="55">BI16*$AW16*$AX16</f>
        <v>3103428.6896320628</v>
      </c>
      <c r="BK16" s="422">
        <f t="shared" si="7"/>
        <v>3810778.6154593555</v>
      </c>
      <c r="BL16" s="422">
        <f t="shared" si="8"/>
        <v>2959983.0664899009</v>
      </c>
      <c r="BM16" s="423">
        <f t="shared" si="9"/>
        <v>0</v>
      </c>
      <c r="BO16" s="381">
        <f t="shared" si="10"/>
        <v>7362.1663946737681</v>
      </c>
      <c r="BP16" s="381">
        <f t="shared" ref="BP16:BP23" si="56">BO16*$AW16*$AX16</f>
        <v>3091357.0592400171</v>
      </c>
      <c r="BQ16" s="413">
        <f t="shared" ref="BQ16:BQ23" si="57">IF(BO16&lt;=$BB16,1,0)</f>
        <v>0</v>
      </c>
      <c r="BR16" s="413">
        <f t="shared" ref="BR16:BR23" si="58">IF(BO16&gt;=$BC16,1,0)</f>
        <v>0</v>
      </c>
      <c r="BS16" s="381">
        <f t="shared" ref="BS16:BS23" si="59">MAX(MIN(BO16,$BC16),$BB16)</f>
        <v>7362.1663946737681</v>
      </c>
      <c r="BT16" s="381">
        <f t="shared" ref="BT16:BT23" si="60">BS16*$AW16*$AX16</f>
        <v>3091357.0592400171</v>
      </c>
      <c r="BU16" s="422">
        <f t="shared" si="11"/>
        <v>3810778.6154593555</v>
      </c>
      <c r="BV16" s="422">
        <f t="shared" si="12"/>
        <v>2959983.0664899009</v>
      </c>
      <c r="BW16" s="423">
        <f t="shared" si="13"/>
        <v>0</v>
      </c>
      <c r="BX16" s="413">
        <f t="shared" si="14"/>
        <v>0</v>
      </c>
      <c r="BZ16" s="381">
        <f t="shared" si="15"/>
        <v>7387.8018893260341</v>
      </c>
      <c r="CA16" s="381">
        <f t="shared" ref="CA16:CA23" si="61">BZ16*$AW16*$AX16</f>
        <v>3102121.3456079164</v>
      </c>
      <c r="CB16" s="413">
        <f t="shared" ref="CB16:CB23" si="62">IF(BZ16&lt;=$BB16,1,0)</f>
        <v>0</v>
      </c>
      <c r="CC16" s="413">
        <f t="shared" ref="CC16:CC23" si="63">IF(BZ16&gt;=$BC16,1,0)</f>
        <v>0</v>
      </c>
      <c r="CD16" s="381">
        <f t="shared" ref="CD16:CD23" si="64">MAX(MIN(BZ16,$BC16),$BB16)</f>
        <v>7387.8018893260341</v>
      </c>
      <c r="CE16" s="381">
        <f t="shared" ref="CE16:CE23" si="65">CD16*$AW16*$AX16</f>
        <v>3102121.3456079164</v>
      </c>
      <c r="CF16" s="422">
        <f t="shared" si="16"/>
        <v>3810778.6154593555</v>
      </c>
      <c r="CG16" s="422">
        <f t="shared" si="17"/>
        <v>2959983.0664899009</v>
      </c>
      <c r="CH16" s="423">
        <f t="shared" si="18"/>
        <v>0</v>
      </c>
      <c r="CI16" s="413">
        <f t="shared" si="19"/>
        <v>0</v>
      </c>
      <c r="CK16" s="381">
        <f t="shared" si="20"/>
        <v>7387.8018893260341</v>
      </c>
      <c r="CL16" s="381">
        <f t="shared" ref="CL16:CL23" si="66">CK16*$AW16*$AX16</f>
        <v>3102121.3456079164</v>
      </c>
      <c r="CM16" s="413">
        <f t="shared" ref="CM16:CM23" si="67">IF(CK16&lt;=$BB16,1,0)</f>
        <v>0</v>
      </c>
      <c r="CN16" s="413">
        <f t="shared" ref="CN16:CN23" si="68">IF(CK16&gt;=$BC16,1,0)</f>
        <v>0</v>
      </c>
      <c r="CO16" s="381">
        <f t="shared" ref="CO16:CO23" si="69">MAX(MIN(CK16,$BC16),$BB16)</f>
        <v>7387.8018893260341</v>
      </c>
      <c r="CP16" s="381">
        <f t="shared" ref="CP16:CP23" si="70">CO16*$AW16*$AX16</f>
        <v>3102121.3456079164</v>
      </c>
      <c r="CQ16" s="422">
        <f t="shared" si="21"/>
        <v>3810778.6154593555</v>
      </c>
      <c r="CR16" s="422">
        <f t="shared" si="22"/>
        <v>2959983.0664899009</v>
      </c>
      <c r="CS16" s="423">
        <f t="shared" si="23"/>
        <v>0</v>
      </c>
      <c r="CT16" s="413">
        <f t="shared" si="24"/>
        <v>0</v>
      </c>
      <c r="CV16" s="6">
        <f t="shared" si="25"/>
        <v>7387.8018893260341</v>
      </c>
      <c r="CW16" s="6">
        <f t="shared" si="26"/>
        <v>3102121.3456079164</v>
      </c>
      <c r="CX16" s="229">
        <f t="shared" ref="CX16:CX23" si="71">IF(CV16&lt;=$BB16,1,0)</f>
        <v>0</v>
      </c>
      <c r="CY16" s="229">
        <f t="shared" ref="CY16:CY23" si="72">IF(CV16&gt;=$BC16,1,0)</f>
        <v>0</v>
      </c>
      <c r="CZ16" s="6">
        <f t="shared" ref="CZ16:CZ23" si="73">MAX(MIN(CV16,$BC16),$BB16)</f>
        <v>7387.8018893260341</v>
      </c>
      <c r="DA16" s="6">
        <f t="shared" ref="DA16:DA23" si="74">CZ16*$AW16*$AX16</f>
        <v>3102121.3456079164</v>
      </c>
      <c r="DB16" s="425">
        <f t="shared" si="27"/>
        <v>3810778.6154593555</v>
      </c>
      <c r="DC16" s="425">
        <f t="shared" si="28"/>
        <v>2959983.0664899009</v>
      </c>
      <c r="DD16" s="426">
        <f t="shared" si="29"/>
        <v>0</v>
      </c>
      <c r="DE16" s="229">
        <f t="shared" si="30"/>
        <v>0</v>
      </c>
      <c r="DG16" s="6">
        <f t="shared" ref="DG16:DG23" si="75">$AR16*DG$3</f>
        <v>7387.8018893260341</v>
      </c>
      <c r="DH16" s="6">
        <f t="shared" ref="DH16:DH23" si="76">DG16*$AW16*$AX16</f>
        <v>3102121.3456079164</v>
      </c>
      <c r="DI16" s="229">
        <f t="shared" ref="DI16:DI23" si="77">IF(DG16&lt;=$BB16,1,0)</f>
        <v>0</v>
      </c>
      <c r="DJ16" s="229">
        <f t="shared" ref="DJ16:DJ23" si="78">IF(DG16&gt;=$BC16,1,0)</f>
        <v>0</v>
      </c>
      <c r="DK16" s="6">
        <f t="shared" ref="DK16:DK23" si="79">MAX(MIN(DG16,$BC16),$BB16)</f>
        <v>7387.8018893260341</v>
      </c>
      <c r="DL16" s="6">
        <f t="shared" ref="DL16:DL23" si="80">DK16*$AW16*$AX16</f>
        <v>3102121.3456079164</v>
      </c>
      <c r="DM16" s="53">
        <f t="shared" si="31"/>
        <v>1.0912558182165486</v>
      </c>
    </row>
    <row r="17" spans="1:117" s="424" customFormat="1" ht="13.8" customHeight="1" x14ac:dyDescent="0.3">
      <c r="A17" s="398">
        <v>0</v>
      </c>
      <c r="B17" s="399"/>
      <c r="C17" s="400"/>
      <c r="D17" s="401"/>
      <c r="E17" s="401"/>
      <c r="F17" s="402">
        <v>0.99429999999999996</v>
      </c>
      <c r="G17" s="403" t="s">
        <v>148</v>
      </c>
      <c r="H17" s="404">
        <f t="shared" si="32"/>
        <v>3593.91</v>
      </c>
      <c r="I17" s="405">
        <v>0.99429999999999996</v>
      </c>
      <c r="J17" s="404">
        <f t="shared" si="33"/>
        <v>2202.7199999999998</v>
      </c>
      <c r="K17" s="404">
        <f t="shared" si="34"/>
        <v>5776.1447129999997</v>
      </c>
      <c r="L17" s="406">
        <v>462.33</v>
      </c>
      <c r="M17" s="405">
        <v>0.99609999999999999</v>
      </c>
      <c r="N17" s="404">
        <f t="shared" si="35"/>
        <v>460.52691299999998</v>
      </c>
      <c r="O17" s="404">
        <f t="shared" si="0"/>
        <v>6236.6716259999994</v>
      </c>
      <c r="P17" s="432"/>
      <c r="Q17" s="407">
        <v>1</v>
      </c>
      <c r="R17" s="373">
        <f t="shared" si="36"/>
        <v>1.5647286970365458E-2</v>
      </c>
      <c r="S17" s="408" t="s">
        <v>188</v>
      </c>
      <c r="T17" s="409">
        <f t="shared" si="37"/>
        <v>0</v>
      </c>
      <c r="U17" s="410">
        <f t="shared" si="1"/>
        <v>0</v>
      </c>
      <c r="V17" s="411">
        <v>0.99850000000000005</v>
      </c>
      <c r="W17" s="412">
        <f t="shared" si="38"/>
        <v>-1.4999999999999458E-3</v>
      </c>
      <c r="X17" s="413" t="s">
        <v>1</v>
      </c>
      <c r="Y17" s="410">
        <f t="shared" si="2"/>
        <v>0</v>
      </c>
      <c r="Z17" s="78">
        <v>0.77912636829453952</v>
      </c>
      <c r="AA17" s="53">
        <f t="shared" si="39"/>
        <v>0.1</v>
      </c>
      <c r="AB17" s="6">
        <v>15881.140993632585</v>
      </c>
      <c r="AC17" s="53">
        <f t="shared" si="40"/>
        <v>4.9907150064303935E-2</v>
      </c>
      <c r="AD17" s="6">
        <v>8114.2502969042662</v>
      </c>
      <c r="AE17" s="53">
        <f t="shared" si="41"/>
        <v>0.05</v>
      </c>
      <c r="AF17" s="6">
        <v>2130.9017040975291</v>
      </c>
      <c r="AG17" s="53">
        <f t="shared" si="42"/>
        <v>2.4841470581927805E-2</v>
      </c>
      <c r="AH17" s="83">
        <f>IFERROR(VLOOKUP($B17,'[1]Public Option Sheet'!$A$9:$AQ$86,28,FALSE),0)</f>
        <v>0</v>
      </c>
      <c r="AI17" s="414">
        <f t="shared" si="43"/>
        <v>0.23889590761659729</v>
      </c>
      <c r="AJ17" s="433"/>
      <c r="AK17" s="415">
        <v>0</v>
      </c>
      <c r="AL17" s="405">
        <v>0</v>
      </c>
      <c r="AM17" s="405">
        <v>0</v>
      </c>
      <c r="AN17" s="404">
        <f t="shared" si="44"/>
        <v>0</v>
      </c>
      <c r="AO17" s="404">
        <f t="shared" si="3"/>
        <v>0</v>
      </c>
      <c r="AP17" s="416">
        <f t="shared" si="45"/>
        <v>7726.5869545999485</v>
      </c>
      <c r="AQ17" s="416">
        <f t="shared" si="46"/>
        <v>0</v>
      </c>
      <c r="AR17" s="417">
        <f t="shared" si="47"/>
        <v>7726.5869545999485</v>
      </c>
      <c r="AS17" s="434"/>
      <c r="AT17" s="381">
        <v>6500</v>
      </c>
      <c r="AU17" s="418">
        <f t="shared" si="4"/>
        <v>6499.35</v>
      </c>
      <c r="AV17" s="381">
        <f t="shared" si="5"/>
        <v>2222951.4583966462</v>
      </c>
      <c r="AW17" s="419">
        <v>437.41085211853817</v>
      </c>
      <c r="AX17" s="420">
        <v>0.78193472584856394</v>
      </c>
      <c r="AY17" s="417">
        <f t="shared" si="6"/>
        <v>2642699.3067239732</v>
      </c>
      <c r="AZ17" s="413"/>
      <c r="BA17" s="6">
        <v>6350</v>
      </c>
      <c r="BB17" s="381">
        <f t="shared" si="48"/>
        <v>5715</v>
      </c>
      <c r="BC17" s="381">
        <f t="shared" si="49"/>
        <v>6985.0000000000009</v>
      </c>
      <c r="BD17" s="421"/>
      <c r="BE17" s="381">
        <f t="shared" si="50"/>
        <v>6292.3916730733172</v>
      </c>
      <c r="BF17" s="381">
        <f t="shared" si="51"/>
        <v>2152166.1776117985</v>
      </c>
      <c r="BG17" s="413">
        <f t="shared" si="52"/>
        <v>0</v>
      </c>
      <c r="BH17" s="413">
        <f t="shared" si="53"/>
        <v>0</v>
      </c>
      <c r="BI17" s="381">
        <f t="shared" si="54"/>
        <v>6292.3916730733172</v>
      </c>
      <c r="BJ17" s="381">
        <f t="shared" si="55"/>
        <v>2152166.1776117985</v>
      </c>
      <c r="BK17" s="422">
        <f t="shared" si="7"/>
        <v>2642699.3067239732</v>
      </c>
      <c r="BL17" s="422">
        <f t="shared" si="8"/>
        <v>2222951.4583966462</v>
      </c>
      <c r="BM17" s="423">
        <f t="shared" si="9"/>
        <v>0</v>
      </c>
      <c r="BO17" s="381">
        <f t="shared" si="10"/>
        <v>6267.9157033778974</v>
      </c>
      <c r="BP17" s="381">
        <f t="shared" si="56"/>
        <v>2143794.7416174132</v>
      </c>
      <c r="BQ17" s="413">
        <f t="shared" si="57"/>
        <v>0</v>
      </c>
      <c r="BR17" s="413">
        <f t="shared" si="58"/>
        <v>0</v>
      </c>
      <c r="BS17" s="381">
        <f t="shared" si="59"/>
        <v>6267.9157033778974</v>
      </c>
      <c r="BT17" s="381">
        <f t="shared" si="60"/>
        <v>2143794.7416174132</v>
      </c>
      <c r="BU17" s="422">
        <f t="shared" si="11"/>
        <v>2642699.3067239732</v>
      </c>
      <c r="BV17" s="422">
        <f t="shared" si="12"/>
        <v>2222951.4583966462</v>
      </c>
      <c r="BW17" s="423">
        <f t="shared" si="13"/>
        <v>0</v>
      </c>
      <c r="BX17" s="413">
        <f t="shared" si="14"/>
        <v>0</v>
      </c>
      <c r="BZ17" s="381">
        <f t="shared" si="15"/>
        <v>6289.7409530233072</v>
      </c>
      <c r="CA17" s="381">
        <f t="shared" si="61"/>
        <v>2151259.5604883982</v>
      </c>
      <c r="CB17" s="413">
        <f t="shared" si="62"/>
        <v>0</v>
      </c>
      <c r="CC17" s="413">
        <f t="shared" si="63"/>
        <v>0</v>
      </c>
      <c r="CD17" s="381">
        <f t="shared" si="64"/>
        <v>6289.7409530233072</v>
      </c>
      <c r="CE17" s="381">
        <f t="shared" si="65"/>
        <v>2151259.5604883982</v>
      </c>
      <c r="CF17" s="422">
        <f t="shared" si="16"/>
        <v>2642699.3067239732</v>
      </c>
      <c r="CG17" s="422">
        <f t="shared" si="17"/>
        <v>2222951.4583966462</v>
      </c>
      <c r="CH17" s="423">
        <f t="shared" si="18"/>
        <v>0</v>
      </c>
      <c r="CI17" s="413">
        <f t="shared" si="19"/>
        <v>0</v>
      </c>
      <c r="CK17" s="381">
        <f t="shared" si="20"/>
        <v>6289.7409530233072</v>
      </c>
      <c r="CL17" s="381">
        <f t="shared" si="66"/>
        <v>2151259.5604883982</v>
      </c>
      <c r="CM17" s="413">
        <f t="shared" si="67"/>
        <v>0</v>
      </c>
      <c r="CN17" s="413">
        <f t="shared" si="68"/>
        <v>0</v>
      </c>
      <c r="CO17" s="381">
        <f t="shared" si="69"/>
        <v>6289.7409530233072</v>
      </c>
      <c r="CP17" s="381">
        <f t="shared" si="70"/>
        <v>2151259.5604883982</v>
      </c>
      <c r="CQ17" s="422">
        <f t="shared" si="21"/>
        <v>2642699.3067239732</v>
      </c>
      <c r="CR17" s="422">
        <f t="shared" si="22"/>
        <v>2222951.4583966462</v>
      </c>
      <c r="CS17" s="423">
        <f t="shared" si="23"/>
        <v>0</v>
      </c>
      <c r="CT17" s="413">
        <f t="shared" si="24"/>
        <v>0</v>
      </c>
      <c r="CV17" s="6">
        <f t="shared" si="25"/>
        <v>6289.7409530233072</v>
      </c>
      <c r="CW17" s="6">
        <f t="shared" si="26"/>
        <v>2151259.5604883982</v>
      </c>
      <c r="CX17" s="229">
        <f t="shared" si="71"/>
        <v>0</v>
      </c>
      <c r="CY17" s="229">
        <f t="shared" si="72"/>
        <v>0</v>
      </c>
      <c r="CZ17" s="6">
        <f t="shared" si="73"/>
        <v>6289.7409530233072</v>
      </c>
      <c r="DA17" s="6">
        <f t="shared" si="74"/>
        <v>2151259.5604883982</v>
      </c>
      <c r="DB17" s="425">
        <f t="shared" si="27"/>
        <v>2642699.3067239732</v>
      </c>
      <c r="DC17" s="425">
        <f t="shared" si="28"/>
        <v>2222951.4583966462</v>
      </c>
      <c r="DD17" s="426">
        <f t="shared" si="29"/>
        <v>0</v>
      </c>
      <c r="DE17" s="229">
        <f t="shared" si="30"/>
        <v>0</v>
      </c>
      <c r="DG17" s="6">
        <f t="shared" si="75"/>
        <v>6289.7409530233072</v>
      </c>
      <c r="DH17" s="6">
        <f t="shared" si="76"/>
        <v>2151259.5604883982</v>
      </c>
      <c r="DI17" s="229">
        <f t="shared" si="77"/>
        <v>0</v>
      </c>
      <c r="DJ17" s="229">
        <f t="shared" si="78"/>
        <v>0</v>
      </c>
      <c r="DK17" s="6">
        <f t="shared" si="79"/>
        <v>6289.7409530233072</v>
      </c>
      <c r="DL17" s="6">
        <f t="shared" si="80"/>
        <v>2151259.5604883982</v>
      </c>
      <c r="DM17" s="53">
        <f t="shared" si="31"/>
        <v>0.99051038630288302</v>
      </c>
    </row>
    <row r="18" spans="1:117" s="424" customFormat="1" ht="13.8" customHeight="1" x14ac:dyDescent="0.3">
      <c r="A18" s="398">
        <v>0</v>
      </c>
      <c r="B18" s="399"/>
      <c r="C18" s="400"/>
      <c r="D18" s="401"/>
      <c r="E18" s="401"/>
      <c r="F18" s="402">
        <v>0.99429999999999996</v>
      </c>
      <c r="G18" s="403" t="s">
        <v>149</v>
      </c>
      <c r="H18" s="404">
        <f t="shared" si="32"/>
        <v>3593.91</v>
      </c>
      <c r="I18" s="405">
        <v>0.99429999999999996</v>
      </c>
      <c r="J18" s="404">
        <f t="shared" si="33"/>
        <v>2202.7199999999998</v>
      </c>
      <c r="K18" s="404">
        <f t="shared" si="34"/>
        <v>5776.1447129999997</v>
      </c>
      <c r="L18" s="406">
        <v>462.33</v>
      </c>
      <c r="M18" s="405">
        <v>0.99609999999999999</v>
      </c>
      <c r="N18" s="404">
        <f t="shared" si="35"/>
        <v>460.52691299999998</v>
      </c>
      <c r="O18" s="404">
        <f t="shared" si="0"/>
        <v>6236.6716259999994</v>
      </c>
      <c r="P18" s="432"/>
      <c r="Q18" s="407">
        <v>1</v>
      </c>
      <c r="R18" s="373">
        <f t="shared" si="36"/>
        <v>5.5048525607675036E-2</v>
      </c>
      <c r="S18" s="408" t="s">
        <v>5</v>
      </c>
      <c r="T18" s="409">
        <f t="shared" si="37"/>
        <v>0.1</v>
      </c>
      <c r="U18" s="410">
        <f t="shared" si="1"/>
        <v>0</v>
      </c>
      <c r="V18" s="411">
        <v>1</v>
      </c>
      <c r="W18" s="412">
        <f t="shared" si="38"/>
        <v>0</v>
      </c>
      <c r="X18" s="413" t="s">
        <v>2</v>
      </c>
      <c r="Y18" s="410">
        <f t="shared" si="2"/>
        <v>-0.01</v>
      </c>
      <c r="Z18" s="78">
        <v>0.40912107398700365</v>
      </c>
      <c r="AA18" s="53">
        <f t="shared" si="39"/>
        <v>0</v>
      </c>
      <c r="AB18" s="6">
        <v>29836.377096882479</v>
      </c>
      <c r="AC18" s="53">
        <f t="shared" si="40"/>
        <v>0</v>
      </c>
      <c r="AD18" s="6">
        <v>23585.764988203682</v>
      </c>
      <c r="AE18" s="53">
        <f t="shared" si="41"/>
        <v>0</v>
      </c>
      <c r="AF18" s="6">
        <v>10496.72438221604</v>
      </c>
      <c r="AG18" s="53">
        <f t="shared" si="42"/>
        <v>0</v>
      </c>
      <c r="AH18" s="83">
        <f>IFERROR(VLOOKUP($B18,'[1]Public Option Sheet'!$A$9:$AQ$86,28,FALSE),0)</f>
        <v>0</v>
      </c>
      <c r="AI18" s="414">
        <f t="shared" si="43"/>
        <v>0.14504852560767503</v>
      </c>
      <c r="AJ18" s="433"/>
      <c r="AK18" s="415">
        <v>0</v>
      </c>
      <c r="AL18" s="405">
        <v>0</v>
      </c>
      <c r="AM18" s="405">
        <v>0</v>
      </c>
      <c r="AN18" s="404">
        <f t="shared" si="44"/>
        <v>0</v>
      </c>
      <c r="AO18" s="404">
        <f t="shared" si="3"/>
        <v>0</v>
      </c>
      <c r="AP18" s="416">
        <f t="shared" si="45"/>
        <v>7141.2916500505207</v>
      </c>
      <c r="AQ18" s="416">
        <f t="shared" si="46"/>
        <v>0</v>
      </c>
      <c r="AR18" s="417">
        <f t="shared" si="47"/>
        <v>7141.2916500505207</v>
      </c>
      <c r="AS18" s="434"/>
      <c r="AT18" s="381">
        <v>10000</v>
      </c>
      <c r="AU18" s="418">
        <f t="shared" si="4"/>
        <v>9999</v>
      </c>
      <c r="AV18" s="381">
        <f t="shared" si="5"/>
        <v>2701779.9438003181</v>
      </c>
      <c r="AW18" s="419">
        <v>279.80589756929987</v>
      </c>
      <c r="AX18" s="420">
        <v>0.96568734693877556</v>
      </c>
      <c r="AY18" s="417">
        <f t="shared" si="6"/>
        <v>1929612.8165751754</v>
      </c>
      <c r="AZ18" s="427" t="s">
        <v>4</v>
      </c>
      <c r="BA18" s="6">
        <v>10000</v>
      </c>
      <c r="BB18" s="381">
        <f t="shared" si="48"/>
        <v>9000</v>
      </c>
      <c r="BC18" s="381">
        <f t="shared" si="49"/>
        <v>11000</v>
      </c>
      <c r="BD18" s="421"/>
      <c r="BE18" s="381">
        <f t="shared" si="50"/>
        <v>5815.7378384273297</v>
      </c>
      <c r="BF18" s="381">
        <f t="shared" si="51"/>
        <v>1571441.5291792753</v>
      </c>
      <c r="BG18" s="413">
        <f t="shared" si="52"/>
        <v>1</v>
      </c>
      <c r="BH18" s="413">
        <f t="shared" si="53"/>
        <v>0</v>
      </c>
      <c r="BI18" s="381">
        <f t="shared" si="54"/>
        <v>9000</v>
      </c>
      <c r="BJ18" s="381">
        <f t="shared" si="55"/>
        <v>2431845.1339336801</v>
      </c>
      <c r="BK18" s="422">
        <f t="shared" si="7"/>
        <v>0</v>
      </c>
      <c r="BL18" s="422">
        <f t="shared" si="8"/>
        <v>269934.80986663792</v>
      </c>
      <c r="BM18" s="423">
        <f t="shared" si="9"/>
        <v>1</v>
      </c>
      <c r="BO18" s="381">
        <f t="shared" si="10"/>
        <v>9000</v>
      </c>
      <c r="BP18" s="381">
        <f t="shared" si="56"/>
        <v>2431845.1339336801</v>
      </c>
      <c r="BQ18" s="413">
        <f t="shared" si="57"/>
        <v>1</v>
      </c>
      <c r="BR18" s="413">
        <f t="shared" si="58"/>
        <v>0</v>
      </c>
      <c r="BS18" s="381">
        <f t="shared" si="59"/>
        <v>9000</v>
      </c>
      <c r="BT18" s="381">
        <f t="shared" si="60"/>
        <v>2431845.1339336801</v>
      </c>
      <c r="BU18" s="422">
        <f t="shared" si="11"/>
        <v>0</v>
      </c>
      <c r="BV18" s="422">
        <f t="shared" si="12"/>
        <v>269934.80986663792</v>
      </c>
      <c r="BW18" s="423">
        <f t="shared" si="13"/>
        <v>1</v>
      </c>
      <c r="BX18" s="413">
        <f t="shared" si="14"/>
        <v>0</v>
      </c>
      <c r="BZ18" s="381">
        <f t="shared" si="15"/>
        <v>9000</v>
      </c>
      <c r="CA18" s="381">
        <f t="shared" si="61"/>
        <v>2431845.1339336801</v>
      </c>
      <c r="CB18" s="413">
        <f t="shared" si="62"/>
        <v>1</v>
      </c>
      <c r="CC18" s="413">
        <f t="shared" si="63"/>
        <v>0</v>
      </c>
      <c r="CD18" s="381">
        <f t="shared" si="64"/>
        <v>9000</v>
      </c>
      <c r="CE18" s="381">
        <f t="shared" si="65"/>
        <v>2431845.1339336801</v>
      </c>
      <c r="CF18" s="422">
        <f t="shared" si="16"/>
        <v>0</v>
      </c>
      <c r="CG18" s="422">
        <f t="shared" si="17"/>
        <v>269934.80986663792</v>
      </c>
      <c r="CH18" s="423">
        <f t="shared" si="18"/>
        <v>1</v>
      </c>
      <c r="CI18" s="413">
        <f t="shared" si="19"/>
        <v>0</v>
      </c>
      <c r="CK18" s="381">
        <f t="shared" si="20"/>
        <v>9000</v>
      </c>
      <c r="CL18" s="381">
        <f t="shared" si="66"/>
        <v>2431845.1339336801</v>
      </c>
      <c r="CM18" s="413">
        <f t="shared" si="67"/>
        <v>1</v>
      </c>
      <c r="CN18" s="413">
        <f t="shared" si="68"/>
        <v>0</v>
      </c>
      <c r="CO18" s="381">
        <f t="shared" si="69"/>
        <v>9000</v>
      </c>
      <c r="CP18" s="381">
        <f t="shared" si="70"/>
        <v>2431845.1339336801</v>
      </c>
      <c r="CQ18" s="422">
        <f t="shared" si="21"/>
        <v>0</v>
      </c>
      <c r="CR18" s="422">
        <f t="shared" si="22"/>
        <v>269934.80986663792</v>
      </c>
      <c r="CS18" s="423">
        <f t="shared" si="23"/>
        <v>1</v>
      </c>
      <c r="CT18" s="413">
        <f t="shared" si="24"/>
        <v>0</v>
      </c>
      <c r="CV18" s="6">
        <f t="shared" si="25"/>
        <v>9000</v>
      </c>
      <c r="CW18" s="6">
        <f t="shared" si="26"/>
        <v>2431845.1339336801</v>
      </c>
      <c r="CX18" s="229">
        <f t="shared" si="71"/>
        <v>1</v>
      </c>
      <c r="CY18" s="229">
        <f t="shared" si="72"/>
        <v>0</v>
      </c>
      <c r="CZ18" s="6">
        <f t="shared" si="73"/>
        <v>9000</v>
      </c>
      <c r="DA18" s="6">
        <f t="shared" si="74"/>
        <v>2431845.1339336801</v>
      </c>
      <c r="DB18" s="425">
        <f t="shared" si="27"/>
        <v>0</v>
      </c>
      <c r="DC18" s="425">
        <f t="shared" si="28"/>
        <v>269934.80986663792</v>
      </c>
      <c r="DD18" s="426">
        <f t="shared" si="29"/>
        <v>1</v>
      </c>
      <c r="DE18" s="229">
        <f t="shared" si="30"/>
        <v>0</v>
      </c>
      <c r="DG18" s="6">
        <f t="shared" si="75"/>
        <v>5813.2879125970776</v>
      </c>
      <c r="DH18" s="6">
        <f t="shared" si="76"/>
        <v>1570779.5469338538</v>
      </c>
      <c r="DI18" s="229">
        <f t="shared" si="77"/>
        <v>1</v>
      </c>
      <c r="DJ18" s="229">
        <f t="shared" si="78"/>
        <v>0</v>
      </c>
      <c r="DK18" s="6">
        <f t="shared" si="79"/>
        <v>9000</v>
      </c>
      <c r="DL18" s="6">
        <f t="shared" si="80"/>
        <v>2431845.1339336801</v>
      </c>
      <c r="DM18" s="53">
        <f t="shared" si="31"/>
        <v>0.9</v>
      </c>
    </row>
    <row r="19" spans="1:117" s="424" customFormat="1" ht="13.8" customHeight="1" x14ac:dyDescent="0.3">
      <c r="A19" s="398">
        <v>0</v>
      </c>
      <c r="B19" s="399"/>
      <c r="C19" s="400"/>
      <c r="D19" s="401"/>
      <c r="E19" s="401"/>
      <c r="F19" s="402">
        <v>0.99429999999999996</v>
      </c>
      <c r="G19" s="403" t="s">
        <v>150</v>
      </c>
      <c r="H19" s="404">
        <f t="shared" si="32"/>
        <v>3593.91</v>
      </c>
      <c r="I19" s="405">
        <v>0.99429999999999996</v>
      </c>
      <c r="J19" s="404">
        <f t="shared" si="33"/>
        <v>2202.7199999999998</v>
      </c>
      <c r="K19" s="404">
        <f t="shared" si="34"/>
        <v>5776.1447129999997</v>
      </c>
      <c r="L19" s="406">
        <v>462.33</v>
      </c>
      <c r="M19" s="405">
        <v>0.99609999999999999</v>
      </c>
      <c r="N19" s="404">
        <f t="shared" si="35"/>
        <v>460.52691299999998</v>
      </c>
      <c r="O19" s="404">
        <f t="shared" si="0"/>
        <v>6236.6716259999994</v>
      </c>
      <c r="P19" s="432"/>
      <c r="Q19" s="407">
        <v>1</v>
      </c>
      <c r="R19" s="373">
        <f t="shared" si="36"/>
        <v>6.047333382585534E-2</v>
      </c>
      <c r="S19" s="408" t="s">
        <v>188</v>
      </c>
      <c r="T19" s="409">
        <f t="shared" si="37"/>
        <v>0</v>
      </c>
      <c r="U19" s="410">
        <f t="shared" si="1"/>
        <v>0</v>
      </c>
      <c r="V19" s="411">
        <v>0.99950000000000006</v>
      </c>
      <c r="W19" s="412">
        <f t="shared" si="38"/>
        <v>-4.9999999999994493E-4</v>
      </c>
      <c r="X19" s="413" t="s">
        <v>1</v>
      </c>
      <c r="Y19" s="410">
        <f t="shared" si="2"/>
        <v>0</v>
      </c>
      <c r="Z19" s="78">
        <v>0.54258664452658245</v>
      </c>
      <c r="AA19" s="53">
        <f t="shared" si="39"/>
        <v>0</v>
      </c>
      <c r="AB19" s="6">
        <v>21127.665258125959</v>
      </c>
      <c r="AC19" s="53">
        <f t="shared" si="40"/>
        <v>2.73120318473353E-2</v>
      </c>
      <c r="AD19" s="6">
        <v>15583.260478787814</v>
      </c>
      <c r="AE19" s="53">
        <f t="shared" si="41"/>
        <v>2.385048910609177E-2</v>
      </c>
      <c r="AF19" s="6">
        <v>2008.4205697270497</v>
      </c>
      <c r="AG19" s="53">
        <f t="shared" si="42"/>
        <v>2.7286765075712368E-2</v>
      </c>
      <c r="AH19" s="83">
        <f>IFERROR(VLOOKUP($B19,'[1]Public Option Sheet'!$A$9:$AQ$86,28,FALSE),0)</f>
        <v>0</v>
      </c>
      <c r="AI19" s="414">
        <f t="shared" si="43"/>
        <v>0.13842261985499485</v>
      </c>
      <c r="AJ19" s="433"/>
      <c r="AK19" s="415">
        <v>0</v>
      </c>
      <c r="AL19" s="405">
        <v>0</v>
      </c>
      <c r="AM19" s="405">
        <v>0</v>
      </c>
      <c r="AN19" s="404">
        <f t="shared" si="44"/>
        <v>0</v>
      </c>
      <c r="AO19" s="404">
        <f t="shared" si="3"/>
        <v>0</v>
      </c>
      <c r="AP19" s="416">
        <f t="shared" si="45"/>
        <v>7099.9680516462304</v>
      </c>
      <c r="AQ19" s="416">
        <f t="shared" si="46"/>
        <v>0</v>
      </c>
      <c r="AR19" s="417">
        <f t="shared" si="47"/>
        <v>7099.9680516462304</v>
      </c>
      <c r="AS19" s="434"/>
      <c r="AT19" s="381">
        <v>9550</v>
      </c>
      <c r="AU19" s="418">
        <f t="shared" si="4"/>
        <v>9549.0450000000001</v>
      </c>
      <c r="AV19" s="381">
        <f t="shared" si="5"/>
        <v>2195367.4626814704</v>
      </c>
      <c r="AW19" s="419">
        <v>258.10666469657866</v>
      </c>
      <c r="AX19" s="420">
        <v>0.89073407079646016</v>
      </c>
      <c r="AY19" s="417">
        <f t="shared" si="6"/>
        <v>1632313.8959615426</v>
      </c>
      <c r="AZ19" s="427" t="s">
        <v>4</v>
      </c>
      <c r="BA19" s="6">
        <v>9000</v>
      </c>
      <c r="BB19" s="381">
        <f t="shared" si="48"/>
        <v>8100</v>
      </c>
      <c r="BC19" s="381">
        <f t="shared" si="49"/>
        <v>9900</v>
      </c>
      <c r="BD19" s="421"/>
      <c r="BE19" s="381">
        <f t="shared" si="50"/>
        <v>5782.0846526121122</v>
      </c>
      <c r="BF19" s="381">
        <f t="shared" si="51"/>
        <v>1329326.7036457073</v>
      </c>
      <c r="BG19" s="413">
        <f t="shared" si="52"/>
        <v>1</v>
      </c>
      <c r="BH19" s="413">
        <f t="shared" si="53"/>
        <v>0</v>
      </c>
      <c r="BI19" s="381">
        <f t="shared" si="54"/>
        <v>8100</v>
      </c>
      <c r="BJ19" s="381">
        <f t="shared" si="55"/>
        <v>1862225.641173532</v>
      </c>
      <c r="BK19" s="422">
        <f t="shared" si="7"/>
        <v>0</v>
      </c>
      <c r="BL19" s="422">
        <f t="shared" si="8"/>
        <v>333141.82150793844</v>
      </c>
      <c r="BM19" s="423">
        <f t="shared" si="9"/>
        <v>1</v>
      </c>
      <c r="BO19" s="381">
        <f t="shared" si="10"/>
        <v>8100</v>
      </c>
      <c r="BP19" s="381">
        <f t="shared" si="56"/>
        <v>1862225.641173532</v>
      </c>
      <c r="BQ19" s="413">
        <f t="shared" si="57"/>
        <v>1</v>
      </c>
      <c r="BR19" s="413">
        <f t="shared" si="58"/>
        <v>0</v>
      </c>
      <c r="BS19" s="381">
        <f t="shared" si="59"/>
        <v>8100</v>
      </c>
      <c r="BT19" s="381">
        <f t="shared" si="60"/>
        <v>1862225.641173532</v>
      </c>
      <c r="BU19" s="422">
        <f t="shared" si="11"/>
        <v>0</v>
      </c>
      <c r="BV19" s="422">
        <f t="shared" si="12"/>
        <v>333141.82150793844</v>
      </c>
      <c r="BW19" s="423">
        <f t="shared" si="13"/>
        <v>1</v>
      </c>
      <c r="BX19" s="413">
        <f t="shared" si="14"/>
        <v>0</v>
      </c>
      <c r="BZ19" s="381">
        <f t="shared" si="15"/>
        <v>8100</v>
      </c>
      <c r="CA19" s="381">
        <f t="shared" si="61"/>
        <v>1862225.641173532</v>
      </c>
      <c r="CB19" s="413">
        <f t="shared" si="62"/>
        <v>1</v>
      </c>
      <c r="CC19" s="413">
        <f t="shared" si="63"/>
        <v>0</v>
      </c>
      <c r="CD19" s="381">
        <f t="shared" si="64"/>
        <v>8100</v>
      </c>
      <c r="CE19" s="381">
        <f t="shared" si="65"/>
        <v>1862225.641173532</v>
      </c>
      <c r="CF19" s="422">
        <f t="shared" si="16"/>
        <v>0</v>
      </c>
      <c r="CG19" s="422">
        <f t="shared" si="17"/>
        <v>333141.82150793844</v>
      </c>
      <c r="CH19" s="423">
        <f t="shared" si="18"/>
        <v>1</v>
      </c>
      <c r="CI19" s="413">
        <f t="shared" si="19"/>
        <v>0</v>
      </c>
      <c r="CK19" s="381">
        <f t="shared" si="20"/>
        <v>8100</v>
      </c>
      <c r="CL19" s="381">
        <f t="shared" si="66"/>
        <v>1862225.641173532</v>
      </c>
      <c r="CM19" s="413">
        <f t="shared" si="67"/>
        <v>1</v>
      </c>
      <c r="CN19" s="413">
        <f t="shared" si="68"/>
        <v>0</v>
      </c>
      <c r="CO19" s="381">
        <f t="shared" si="69"/>
        <v>8100</v>
      </c>
      <c r="CP19" s="381">
        <f t="shared" si="70"/>
        <v>1862225.641173532</v>
      </c>
      <c r="CQ19" s="422">
        <f t="shared" si="21"/>
        <v>0</v>
      </c>
      <c r="CR19" s="422">
        <f t="shared" si="22"/>
        <v>333141.82150793844</v>
      </c>
      <c r="CS19" s="423">
        <f t="shared" si="23"/>
        <v>1</v>
      </c>
      <c r="CT19" s="413">
        <f t="shared" si="24"/>
        <v>0</v>
      </c>
      <c r="CV19" s="6">
        <f t="shared" si="25"/>
        <v>8100</v>
      </c>
      <c r="CW19" s="6">
        <f t="shared" si="26"/>
        <v>1862225.641173532</v>
      </c>
      <c r="CX19" s="229">
        <f t="shared" si="71"/>
        <v>1</v>
      </c>
      <c r="CY19" s="229">
        <f t="shared" si="72"/>
        <v>0</v>
      </c>
      <c r="CZ19" s="6">
        <f t="shared" si="73"/>
        <v>8100</v>
      </c>
      <c r="DA19" s="6">
        <f t="shared" si="74"/>
        <v>1862225.641173532</v>
      </c>
      <c r="DB19" s="425">
        <f t="shared" si="27"/>
        <v>0</v>
      </c>
      <c r="DC19" s="425">
        <f t="shared" si="28"/>
        <v>333141.82150793844</v>
      </c>
      <c r="DD19" s="426">
        <f t="shared" si="29"/>
        <v>1</v>
      </c>
      <c r="DE19" s="229">
        <f t="shared" si="30"/>
        <v>0</v>
      </c>
      <c r="DG19" s="6">
        <f t="shared" si="75"/>
        <v>5779.6489034541064</v>
      </c>
      <c r="DH19" s="6">
        <f t="shared" si="76"/>
        <v>1328766.7141966326</v>
      </c>
      <c r="DI19" s="229">
        <f t="shared" si="77"/>
        <v>1</v>
      </c>
      <c r="DJ19" s="229">
        <f t="shared" si="78"/>
        <v>0</v>
      </c>
      <c r="DK19" s="6">
        <f t="shared" si="79"/>
        <v>8100</v>
      </c>
      <c r="DL19" s="6">
        <f t="shared" si="80"/>
        <v>1862225.641173532</v>
      </c>
      <c r="DM19" s="53">
        <f t="shared" si="31"/>
        <v>0.9</v>
      </c>
    </row>
    <row r="20" spans="1:117" s="424" customFormat="1" ht="13.8" customHeight="1" x14ac:dyDescent="0.3">
      <c r="A20" s="398">
        <v>0</v>
      </c>
      <c r="B20" s="399"/>
      <c r="C20" s="400"/>
      <c r="D20" s="401"/>
      <c r="E20" s="401"/>
      <c r="F20" s="402">
        <v>1.0444</v>
      </c>
      <c r="G20" s="403" t="s">
        <v>151</v>
      </c>
      <c r="H20" s="404">
        <f t="shared" si="32"/>
        <v>3959.1</v>
      </c>
      <c r="I20" s="405">
        <v>1.0444</v>
      </c>
      <c r="J20" s="404">
        <f t="shared" si="33"/>
        <v>1837.53</v>
      </c>
      <c r="K20" s="404">
        <f t="shared" si="34"/>
        <v>5972.4140399999997</v>
      </c>
      <c r="L20" s="406">
        <v>462.33</v>
      </c>
      <c r="M20" s="405">
        <v>1.0302</v>
      </c>
      <c r="N20" s="404">
        <f t="shared" si="35"/>
        <v>476.29236599999996</v>
      </c>
      <c r="O20" s="404">
        <f t="shared" si="0"/>
        <v>6448.7064059999993</v>
      </c>
      <c r="P20" s="432"/>
      <c r="Q20" s="407">
        <v>0</v>
      </c>
      <c r="R20" s="373">
        <f t="shared" si="36"/>
        <v>0</v>
      </c>
      <c r="S20" s="408" t="s">
        <v>5</v>
      </c>
      <c r="T20" s="409">
        <f t="shared" si="37"/>
        <v>0.1</v>
      </c>
      <c r="U20" s="410">
        <f t="shared" si="1"/>
        <v>0</v>
      </c>
      <c r="V20" s="411">
        <v>0.99309999999999998</v>
      </c>
      <c r="W20" s="412">
        <f t="shared" si="38"/>
        <v>-6.9000000000000172E-3</v>
      </c>
      <c r="X20" s="413" t="s">
        <v>2</v>
      </c>
      <c r="Y20" s="410">
        <f t="shared" si="2"/>
        <v>-0.01</v>
      </c>
      <c r="Z20" s="78">
        <v>0.58447675957786338</v>
      </c>
      <c r="AA20" s="53">
        <f t="shared" si="39"/>
        <v>1.731283560302386E-3</v>
      </c>
      <c r="AB20" s="6">
        <v>15794.902995511336</v>
      </c>
      <c r="AC20" s="53">
        <f t="shared" si="40"/>
        <v>0.05</v>
      </c>
      <c r="AD20" s="6">
        <v>13467.910773024285</v>
      </c>
      <c r="AE20" s="53">
        <f t="shared" si="41"/>
        <v>3.7016915688353413E-2</v>
      </c>
      <c r="AF20" s="6">
        <v>264.76862814626821</v>
      </c>
      <c r="AG20" s="53">
        <f t="shared" si="42"/>
        <v>0.05</v>
      </c>
      <c r="AH20" s="83">
        <f>IFERROR(VLOOKUP($B20,'[1]Public Option Sheet'!$A$9:$AQ$86,28,FALSE),0)</f>
        <v>0</v>
      </c>
      <c r="AI20" s="414">
        <f t="shared" si="43"/>
        <v>0.22184819924865579</v>
      </c>
      <c r="AJ20" s="433"/>
      <c r="AK20" s="415">
        <v>2.7277645850092735</v>
      </c>
      <c r="AL20" s="405">
        <v>0</v>
      </c>
      <c r="AM20" s="405">
        <v>0</v>
      </c>
      <c r="AN20" s="404">
        <f t="shared" si="44"/>
        <v>0</v>
      </c>
      <c r="AO20" s="404">
        <f t="shared" si="3"/>
        <v>0</v>
      </c>
      <c r="AP20" s="416">
        <f t="shared" si="45"/>
        <v>7879.3403096543707</v>
      </c>
      <c r="AQ20" s="416">
        <f t="shared" si="46"/>
        <v>2.7277645850092735</v>
      </c>
      <c r="AR20" s="417">
        <f t="shared" si="47"/>
        <v>7882.0680742393797</v>
      </c>
      <c r="AS20" s="434"/>
      <c r="AT20" s="381">
        <v>5300</v>
      </c>
      <c r="AU20" s="418">
        <f t="shared" si="4"/>
        <v>5299.47</v>
      </c>
      <c r="AV20" s="381">
        <f t="shared" si="5"/>
        <v>9011527.2921283096</v>
      </c>
      <c r="AW20" s="419">
        <v>1311.0904914675766</v>
      </c>
      <c r="AX20" s="420">
        <v>1.2969800522648083</v>
      </c>
      <c r="AY20" s="417">
        <f t="shared" si="6"/>
        <v>13403127.401310205</v>
      </c>
      <c r="AZ20" s="427" t="s">
        <v>4</v>
      </c>
      <c r="BA20" s="6">
        <v>5230</v>
      </c>
      <c r="BB20" s="381">
        <f t="shared" si="48"/>
        <v>4707</v>
      </c>
      <c r="BC20" s="381">
        <f t="shared" si="49"/>
        <v>5753.0000000000009</v>
      </c>
      <c r="BD20" s="421"/>
      <c r="BE20" s="381">
        <f t="shared" si="50"/>
        <v>6419.0126647592806</v>
      </c>
      <c r="BF20" s="381">
        <f t="shared" si="51"/>
        <v>10915262.812506819</v>
      </c>
      <c r="BG20" s="413">
        <f t="shared" si="52"/>
        <v>0</v>
      </c>
      <c r="BH20" s="413">
        <f t="shared" si="53"/>
        <v>1</v>
      </c>
      <c r="BI20" s="381">
        <f t="shared" si="54"/>
        <v>5753.0000000000009</v>
      </c>
      <c r="BJ20" s="381">
        <f t="shared" si="55"/>
        <v>9782736.1059906296</v>
      </c>
      <c r="BK20" s="422">
        <f t="shared" si="7"/>
        <v>13403127.401310205</v>
      </c>
      <c r="BL20" s="422">
        <f t="shared" si="8"/>
        <v>9011527.2921283096</v>
      </c>
      <c r="BM20" s="423">
        <f t="shared" si="9"/>
        <v>0</v>
      </c>
      <c r="BO20" s="381">
        <f t="shared" si="10"/>
        <v>6394.044168260647</v>
      </c>
      <c r="BP20" s="381">
        <f t="shared" si="56"/>
        <v>10872804.927540805</v>
      </c>
      <c r="BQ20" s="413">
        <f t="shared" si="57"/>
        <v>0</v>
      </c>
      <c r="BR20" s="413">
        <f t="shared" si="58"/>
        <v>1</v>
      </c>
      <c r="BS20" s="381">
        <f t="shared" si="59"/>
        <v>5753.0000000000009</v>
      </c>
      <c r="BT20" s="381">
        <f t="shared" si="60"/>
        <v>9782736.1059906296</v>
      </c>
      <c r="BU20" s="422">
        <f t="shared" si="11"/>
        <v>0</v>
      </c>
      <c r="BV20" s="422">
        <f t="shared" si="12"/>
        <v>-771208.81386232004</v>
      </c>
      <c r="BW20" s="423">
        <f t="shared" si="13"/>
        <v>1</v>
      </c>
      <c r="BX20" s="413">
        <f t="shared" si="14"/>
        <v>1</v>
      </c>
      <c r="BZ20" s="381">
        <f t="shared" si="15"/>
        <v>5753.0000000000009</v>
      </c>
      <c r="CA20" s="381">
        <f t="shared" si="61"/>
        <v>9782736.1059906296</v>
      </c>
      <c r="CB20" s="413">
        <f t="shared" si="62"/>
        <v>0</v>
      </c>
      <c r="CC20" s="413">
        <f t="shared" si="63"/>
        <v>1</v>
      </c>
      <c r="CD20" s="381">
        <f t="shared" si="64"/>
        <v>5753.0000000000009</v>
      </c>
      <c r="CE20" s="381">
        <f t="shared" si="65"/>
        <v>9782736.1059906296</v>
      </c>
      <c r="CF20" s="422">
        <f t="shared" si="16"/>
        <v>0</v>
      </c>
      <c r="CG20" s="422">
        <f t="shared" si="17"/>
        <v>-771208.81386232004</v>
      </c>
      <c r="CH20" s="423">
        <f t="shared" si="18"/>
        <v>1</v>
      </c>
      <c r="CI20" s="413">
        <f t="shared" si="19"/>
        <v>0</v>
      </c>
      <c r="CK20" s="381">
        <f t="shared" si="20"/>
        <v>5753.0000000000009</v>
      </c>
      <c r="CL20" s="381">
        <f t="shared" si="66"/>
        <v>9782736.1059906296</v>
      </c>
      <c r="CM20" s="413">
        <f t="shared" si="67"/>
        <v>0</v>
      </c>
      <c r="CN20" s="413">
        <f t="shared" si="68"/>
        <v>1</v>
      </c>
      <c r="CO20" s="381">
        <f t="shared" si="69"/>
        <v>5753.0000000000009</v>
      </c>
      <c r="CP20" s="381">
        <f t="shared" si="70"/>
        <v>9782736.1059906296</v>
      </c>
      <c r="CQ20" s="422">
        <f t="shared" si="21"/>
        <v>0</v>
      </c>
      <c r="CR20" s="422">
        <f t="shared" si="22"/>
        <v>-771208.81386232004</v>
      </c>
      <c r="CS20" s="423">
        <f t="shared" si="23"/>
        <v>1</v>
      </c>
      <c r="CT20" s="413">
        <f t="shared" si="24"/>
        <v>0</v>
      </c>
      <c r="CV20" s="6">
        <f t="shared" si="25"/>
        <v>5753.0000000000009</v>
      </c>
      <c r="CW20" s="6">
        <f t="shared" si="26"/>
        <v>9782736.1059906296</v>
      </c>
      <c r="CX20" s="229">
        <f t="shared" si="71"/>
        <v>0</v>
      </c>
      <c r="CY20" s="229">
        <f t="shared" si="72"/>
        <v>1</v>
      </c>
      <c r="CZ20" s="6">
        <f t="shared" si="73"/>
        <v>5753.0000000000009</v>
      </c>
      <c r="DA20" s="6">
        <f t="shared" si="74"/>
        <v>9782736.1059906296</v>
      </c>
      <c r="DB20" s="425">
        <f t="shared" si="27"/>
        <v>0</v>
      </c>
      <c r="DC20" s="425">
        <f t="shared" si="28"/>
        <v>-771208.81386232004</v>
      </c>
      <c r="DD20" s="426">
        <f t="shared" si="29"/>
        <v>1</v>
      </c>
      <c r="DE20" s="229">
        <f t="shared" si="30"/>
        <v>0</v>
      </c>
      <c r="DG20" s="6">
        <f t="shared" si="75"/>
        <v>6416.3086046092176</v>
      </c>
      <c r="DH20" s="6">
        <f t="shared" si="76"/>
        <v>10910664.671213096</v>
      </c>
      <c r="DI20" s="229">
        <f t="shared" si="77"/>
        <v>0</v>
      </c>
      <c r="DJ20" s="229">
        <f t="shared" si="78"/>
        <v>1</v>
      </c>
      <c r="DK20" s="6">
        <f t="shared" si="79"/>
        <v>5753.0000000000009</v>
      </c>
      <c r="DL20" s="6">
        <f t="shared" si="80"/>
        <v>9782736.1059906296</v>
      </c>
      <c r="DM20" s="53">
        <f t="shared" si="31"/>
        <v>1.1000000000000001</v>
      </c>
    </row>
    <row r="21" spans="1:117" s="424" customFormat="1" ht="13.8" customHeight="1" x14ac:dyDescent="0.3">
      <c r="A21" s="398">
        <v>0</v>
      </c>
      <c r="B21" s="399"/>
      <c r="C21" s="400"/>
      <c r="D21" s="401"/>
      <c r="E21" s="401"/>
      <c r="F21" s="402">
        <v>0.99429999999999996</v>
      </c>
      <c r="G21" s="403" t="s">
        <v>152</v>
      </c>
      <c r="H21" s="404">
        <f t="shared" si="32"/>
        <v>3593.91</v>
      </c>
      <c r="I21" s="405">
        <v>0.99429999999999996</v>
      </c>
      <c r="J21" s="404">
        <f t="shared" si="33"/>
        <v>2202.7199999999998</v>
      </c>
      <c r="K21" s="404">
        <f t="shared" si="34"/>
        <v>5776.1447129999997</v>
      </c>
      <c r="L21" s="406">
        <v>462.33</v>
      </c>
      <c r="M21" s="405">
        <v>0.99609999999999999</v>
      </c>
      <c r="N21" s="404">
        <f t="shared" si="35"/>
        <v>460.52691299999998</v>
      </c>
      <c r="O21" s="404">
        <f t="shared" si="0"/>
        <v>6236.6716259999994</v>
      </c>
      <c r="P21" s="432"/>
      <c r="Q21" s="407">
        <v>0</v>
      </c>
      <c r="R21" s="373">
        <f t="shared" si="36"/>
        <v>0</v>
      </c>
      <c r="S21" s="408" t="s">
        <v>188</v>
      </c>
      <c r="T21" s="409">
        <f t="shared" si="37"/>
        <v>0</v>
      </c>
      <c r="U21" s="410">
        <f t="shared" si="1"/>
        <v>0</v>
      </c>
      <c r="V21" s="411">
        <v>0.99819999999999998</v>
      </c>
      <c r="W21" s="412">
        <f t="shared" si="38"/>
        <v>-1.8000000000000238E-3</v>
      </c>
      <c r="X21" s="413" t="s">
        <v>2</v>
      </c>
      <c r="Y21" s="410">
        <f t="shared" si="2"/>
        <v>-0.01</v>
      </c>
      <c r="Z21" s="78">
        <v>0.62976325505823083</v>
      </c>
      <c r="AA21" s="53">
        <f t="shared" si="39"/>
        <v>2.538481980846622E-2</v>
      </c>
      <c r="AB21" s="6">
        <v>36700.115578350291</v>
      </c>
      <c r="AC21" s="53">
        <f t="shared" si="40"/>
        <v>0</v>
      </c>
      <c r="AD21" s="6">
        <v>23463.237771442782</v>
      </c>
      <c r="AE21" s="53">
        <f t="shared" si="41"/>
        <v>0</v>
      </c>
      <c r="AF21" s="6">
        <v>16564.204596588857</v>
      </c>
      <c r="AG21" s="53">
        <f t="shared" si="42"/>
        <v>0</v>
      </c>
      <c r="AH21" s="83">
        <f>IFERROR(VLOOKUP($B21,'[1]Public Option Sheet'!$A$9:$AQ$86,28,FALSE),0)</f>
        <v>0</v>
      </c>
      <c r="AI21" s="414">
        <f t="shared" si="43"/>
        <v>1.3584819808466196E-2</v>
      </c>
      <c r="AJ21" s="433"/>
      <c r="AK21" s="415">
        <v>62.925104987160069</v>
      </c>
      <c r="AL21" s="405">
        <v>5.4629999999999998E-2</v>
      </c>
      <c r="AM21" s="405">
        <v>4.5100000000000001E-2</v>
      </c>
      <c r="AN21" s="404">
        <f t="shared" si="44"/>
        <v>315.55078567119</v>
      </c>
      <c r="AO21" s="404">
        <f t="shared" si="3"/>
        <v>20.7697637763</v>
      </c>
      <c r="AP21" s="416">
        <f t="shared" si="45"/>
        <v>6321.3956862437835</v>
      </c>
      <c r="AQ21" s="416">
        <f t="shared" si="46"/>
        <v>399.24565443465008</v>
      </c>
      <c r="AR21" s="417">
        <f t="shared" si="47"/>
        <v>6720.6413406784341</v>
      </c>
      <c r="AS21" s="434"/>
      <c r="AT21" s="381">
        <v>5900</v>
      </c>
      <c r="AU21" s="418">
        <f t="shared" si="4"/>
        <v>5899.41</v>
      </c>
      <c r="AV21" s="381">
        <f t="shared" si="5"/>
        <v>44618294.460099548</v>
      </c>
      <c r="AW21" s="419">
        <v>3623.7718897444429</v>
      </c>
      <c r="AX21" s="420">
        <v>2.0871013236684526</v>
      </c>
      <c r="AY21" s="417">
        <f t="shared" si="6"/>
        <v>50829414.1785549</v>
      </c>
      <c r="AZ21" s="427" t="s">
        <v>4</v>
      </c>
      <c r="BA21" s="6">
        <v>5800</v>
      </c>
      <c r="BB21" s="381">
        <f t="shared" si="48"/>
        <v>5220</v>
      </c>
      <c r="BC21" s="381">
        <f t="shared" si="49"/>
        <v>6380.0000000000009</v>
      </c>
      <c r="BD21" s="421"/>
      <c r="BE21" s="381">
        <f t="shared" si="50"/>
        <v>5473.1678887818616</v>
      </c>
      <c r="BF21" s="381">
        <f t="shared" si="51"/>
        <v>41394549.029687792</v>
      </c>
      <c r="BG21" s="413">
        <f t="shared" si="52"/>
        <v>0</v>
      </c>
      <c r="BH21" s="413">
        <f t="shared" si="53"/>
        <v>0</v>
      </c>
      <c r="BI21" s="381">
        <f t="shared" si="54"/>
        <v>5473.1678887818616</v>
      </c>
      <c r="BJ21" s="381">
        <f t="shared" si="55"/>
        <v>41394549.029687792</v>
      </c>
      <c r="BK21" s="422">
        <f t="shared" si="7"/>
        <v>50829414.1785549</v>
      </c>
      <c r="BL21" s="422">
        <f t="shared" si="8"/>
        <v>44618294.460099548</v>
      </c>
      <c r="BM21" s="423">
        <f t="shared" si="9"/>
        <v>0</v>
      </c>
      <c r="BO21" s="381">
        <f t="shared" si="10"/>
        <v>5451.8785129222788</v>
      </c>
      <c r="BP21" s="381">
        <f t="shared" si="56"/>
        <v>41233533.666969381</v>
      </c>
      <c r="BQ21" s="413">
        <f t="shared" si="57"/>
        <v>0</v>
      </c>
      <c r="BR21" s="413">
        <f t="shared" si="58"/>
        <v>0</v>
      </c>
      <c r="BS21" s="381">
        <f t="shared" si="59"/>
        <v>5451.8785129222788</v>
      </c>
      <c r="BT21" s="381">
        <f t="shared" si="60"/>
        <v>41233533.666969381</v>
      </c>
      <c r="BU21" s="422">
        <f t="shared" si="11"/>
        <v>50829414.1785549</v>
      </c>
      <c r="BV21" s="422">
        <f t="shared" si="12"/>
        <v>44618294.460099548</v>
      </c>
      <c r="BW21" s="423">
        <f t="shared" si="13"/>
        <v>0</v>
      </c>
      <c r="BX21" s="413">
        <f t="shared" si="14"/>
        <v>0</v>
      </c>
      <c r="BZ21" s="381">
        <f t="shared" si="15"/>
        <v>5470.862273268137</v>
      </c>
      <c r="CA21" s="381">
        <f t="shared" si="61"/>
        <v>41377111.246603869</v>
      </c>
      <c r="CB21" s="413">
        <f t="shared" si="62"/>
        <v>0</v>
      </c>
      <c r="CC21" s="413">
        <f t="shared" si="63"/>
        <v>0</v>
      </c>
      <c r="CD21" s="381">
        <f t="shared" si="64"/>
        <v>5470.862273268137</v>
      </c>
      <c r="CE21" s="381">
        <f t="shared" si="65"/>
        <v>41377111.246603869</v>
      </c>
      <c r="CF21" s="422">
        <f t="shared" si="16"/>
        <v>50829414.1785549</v>
      </c>
      <c r="CG21" s="422">
        <f t="shared" si="17"/>
        <v>44618294.460099548</v>
      </c>
      <c r="CH21" s="423">
        <f t="shared" si="18"/>
        <v>0</v>
      </c>
      <c r="CI21" s="413">
        <f t="shared" si="19"/>
        <v>0</v>
      </c>
      <c r="CK21" s="381">
        <f t="shared" si="20"/>
        <v>5470.862273268137</v>
      </c>
      <c r="CL21" s="381">
        <f t="shared" si="66"/>
        <v>41377111.246603869</v>
      </c>
      <c r="CM21" s="413">
        <f t="shared" si="67"/>
        <v>0</v>
      </c>
      <c r="CN21" s="413">
        <f t="shared" si="68"/>
        <v>0</v>
      </c>
      <c r="CO21" s="381">
        <f t="shared" si="69"/>
        <v>5470.862273268137</v>
      </c>
      <c r="CP21" s="381">
        <f t="shared" si="70"/>
        <v>41377111.246603869</v>
      </c>
      <c r="CQ21" s="422">
        <f t="shared" si="21"/>
        <v>50829414.1785549</v>
      </c>
      <c r="CR21" s="422">
        <f t="shared" si="22"/>
        <v>44618294.460099548</v>
      </c>
      <c r="CS21" s="423">
        <f t="shared" si="23"/>
        <v>0</v>
      </c>
      <c r="CT21" s="413">
        <f t="shared" si="24"/>
        <v>0</v>
      </c>
      <c r="CV21" s="6">
        <f t="shared" si="25"/>
        <v>5470.862273268137</v>
      </c>
      <c r="CW21" s="6">
        <f t="shared" si="26"/>
        <v>41377111.246603869</v>
      </c>
      <c r="CX21" s="229">
        <f t="shared" si="71"/>
        <v>0</v>
      </c>
      <c r="CY21" s="229">
        <f t="shared" si="72"/>
        <v>0</v>
      </c>
      <c r="CZ21" s="6">
        <f t="shared" si="73"/>
        <v>5470.862273268137</v>
      </c>
      <c r="DA21" s="6">
        <f t="shared" si="74"/>
        <v>41377111.246603869</v>
      </c>
      <c r="DB21" s="425">
        <f t="shared" si="27"/>
        <v>50829414.1785549</v>
      </c>
      <c r="DC21" s="425">
        <f t="shared" si="28"/>
        <v>44618294.460099548</v>
      </c>
      <c r="DD21" s="426">
        <f t="shared" si="29"/>
        <v>0</v>
      </c>
      <c r="DE21" s="229">
        <f t="shared" si="30"/>
        <v>0</v>
      </c>
      <c r="DG21" s="6">
        <f t="shared" si="75"/>
        <v>5470.862273268137</v>
      </c>
      <c r="DH21" s="6">
        <f t="shared" si="76"/>
        <v>41377111.246603869</v>
      </c>
      <c r="DI21" s="229">
        <f t="shared" si="77"/>
        <v>0</v>
      </c>
      <c r="DJ21" s="229">
        <f t="shared" si="78"/>
        <v>0</v>
      </c>
      <c r="DK21" s="6">
        <f t="shared" si="79"/>
        <v>5470.862273268137</v>
      </c>
      <c r="DL21" s="6">
        <f t="shared" si="80"/>
        <v>41377111.246603869</v>
      </c>
      <c r="DM21" s="53">
        <f t="shared" si="31"/>
        <v>0.94325211608071324</v>
      </c>
    </row>
    <row r="22" spans="1:117" s="424" customFormat="1" ht="13.8" customHeight="1" x14ac:dyDescent="0.3">
      <c r="A22" s="398">
        <v>13</v>
      </c>
      <c r="B22" s="399"/>
      <c r="C22" s="400"/>
      <c r="D22" s="401"/>
      <c r="E22" s="401"/>
      <c r="F22" s="402">
        <v>0</v>
      </c>
      <c r="G22" s="403" t="s">
        <v>153</v>
      </c>
      <c r="H22" s="404">
        <f t="shared" si="32"/>
        <v>3593.91</v>
      </c>
      <c r="I22" s="405">
        <v>1</v>
      </c>
      <c r="J22" s="404">
        <f t="shared" si="33"/>
        <v>2202.7199999999998</v>
      </c>
      <c r="K22" s="404">
        <f t="shared" si="34"/>
        <v>5796.6299999999992</v>
      </c>
      <c r="L22" s="406">
        <v>462.33</v>
      </c>
      <c r="M22" s="405">
        <v>1</v>
      </c>
      <c r="N22" s="404">
        <f t="shared" si="35"/>
        <v>462.33</v>
      </c>
      <c r="O22" s="404">
        <f t="shared" si="0"/>
        <v>6258.9599999999991</v>
      </c>
      <c r="P22" s="432"/>
      <c r="Q22" s="407">
        <v>0</v>
      </c>
      <c r="R22" s="373">
        <f t="shared" si="36"/>
        <v>0.1</v>
      </c>
      <c r="S22" s="408" t="s">
        <v>5</v>
      </c>
      <c r="T22" s="409">
        <f t="shared" si="37"/>
        <v>0.1</v>
      </c>
      <c r="U22" s="410">
        <f t="shared" si="1"/>
        <v>0</v>
      </c>
      <c r="V22" s="411">
        <v>0</v>
      </c>
      <c r="W22" s="412">
        <f t="shared" si="38"/>
        <v>0</v>
      </c>
      <c r="X22" s="413">
        <v>0</v>
      </c>
      <c r="Y22" s="410">
        <f t="shared" si="2"/>
        <v>0</v>
      </c>
      <c r="Z22" s="78">
        <v>0.79118454916560188</v>
      </c>
      <c r="AA22" s="53">
        <f t="shared" si="39"/>
        <v>0.1</v>
      </c>
      <c r="AB22" s="6">
        <v>27264.321612666012</v>
      </c>
      <c r="AC22" s="53">
        <f t="shared" si="40"/>
        <v>8.8339666001024638E-4</v>
      </c>
      <c r="AD22" s="6">
        <v>21973.737313598987</v>
      </c>
      <c r="AE22" s="53">
        <f t="shared" si="41"/>
        <v>0</v>
      </c>
      <c r="AF22" s="6">
        <v>910.03127311921753</v>
      </c>
      <c r="AG22" s="53">
        <f t="shared" si="42"/>
        <v>4.9215736527779413E-2</v>
      </c>
      <c r="AH22" s="83">
        <f>IFERROR(VLOOKUP($B22,'[1]Public Option Sheet'!$A$9:$AQ$86,28,FALSE),0)</f>
        <v>0</v>
      </c>
      <c r="AI22" s="414">
        <f t="shared" si="43"/>
        <v>0.35009913318778974</v>
      </c>
      <c r="AJ22" s="433"/>
      <c r="AK22" s="415">
        <v>0</v>
      </c>
      <c r="AL22" s="405" t="s">
        <v>4</v>
      </c>
      <c r="AM22" s="405" t="s">
        <v>4</v>
      </c>
      <c r="AN22" s="404">
        <f t="shared" si="44"/>
        <v>0</v>
      </c>
      <c r="AO22" s="404">
        <f t="shared" si="3"/>
        <v>0</v>
      </c>
      <c r="AP22" s="416">
        <f t="shared" si="45"/>
        <v>8450.2164706570475</v>
      </c>
      <c r="AQ22" s="416">
        <f t="shared" si="46"/>
        <v>0</v>
      </c>
      <c r="AR22" s="417">
        <f t="shared" si="47"/>
        <v>8450.2164706570475</v>
      </c>
      <c r="AS22" s="434"/>
      <c r="AT22" s="381">
        <v>5500</v>
      </c>
      <c r="AU22" s="418">
        <f t="shared" si="4"/>
        <v>5499.45</v>
      </c>
      <c r="AV22" s="381">
        <f t="shared" si="5"/>
        <v>362442.64196373883</v>
      </c>
      <c r="AW22" s="419">
        <v>93.649320819112617</v>
      </c>
      <c r="AX22" s="420">
        <v>0.70374512195121952</v>
      </c>
      <c r="AY22" s="417">
        <f t="shared" si="6"/>
        <v>556913.65187254013</v>
      </c>
      <c r="AZ22" s="427" t="s">
        <v>4</v>
      </c>
      <c r="BA22" s="6">
        <v>5500</v>
      </c>
      <c r="BB22" s="381">
        <f t="shared" si="48"/>
        <v>4950</v>
      </c>
      <c r="BC22" s="381">
        <f t="shared" si="49"/>
        <v>6050.0000000000009</v>
      </c>
      <c r="BD22" s="421"/>
      <c r="BE22" s="381">
        <f t="shared" si="50"/>
        <v>6881.702369760289</v>
      </c>
      <c r="BF22" s="381">
        <f t="shared" si="51"/>
        <v>453540.33368864912</v>
      </c>
      <c r="BG22" s="413">
        <f t="shared" si="52"/>
        <v>0</v>
      </c>
      <c r="BH22" s="413">
        <f t="shared" si="53"/>
        <v>1</v>
      </c>
      <c r="BI22" s="381">
        <f t="shared" si="54"/>
        <v>6050.0000000000009</v>
      </c>
      <c r="BJ22" s="381">
        <f t="shared" si="55"/>
        <v>398726.77883799654</v>
      </c>
      <c r="BK22" s="422">
        <f t="shared" si="7"/>
        <v>556913.65187254013</v>
      </c>
      <c r="BL22" s="422">
        <f t="shared" si="8"/>
        <v>362442.64196373883</v>
      </c>
      <c r="BM22" s="423">
        <f t="shared" si="9"/>
        <v>0</v>
      </c>
      <c r="BO22" s="381">
        <f t="shared" si="10"/>
        <v>6854.9341157471245</v>
      </c>
      <c r="BP22" s="381">
        <f t="shared" si="56"/>
        <v>451776.1651435605</v>
      </c>
      <c r="BQ22" s="413">
        <f t="shared" si="57"/>
        <v>0</v>
      </c>
      <c r="BR22" s="413">
        <f t="shared" si="58"/>
        <v>1</v>
      </c>
      <c r="BS22" s="381">
        <f t="shared" si="59"/>
        <v>6050.0000000000009</v>
      </c>
      <c r="BT22" s="381">
        <f t="shared" si="60"/>
        <v>398726.77883799654</v>
      </c>
      <c r="BU22" s="422">
        <f t="shared" si="11"/>
        <v>0</v>
      </c>
      <c r="BV22" s="422">
        <f t="shared" si="12"/>
        <v>-36284.136874257703</v>
      </c>
      <c r="BW22" s="423">
        <f t="shared" si="13"/>
        <v>1</v>
      </c>
      <c r="BX22" s="413">
        <f t="shared" si="14"/>
        <v>1</v>
      </c>
      <c r="BZ22" s="381">
        <f t="shared" si="15"/>
        <v>6050.0000000000009</v>
      </c>
      <c r="CA22" s="381">
        <f t="shared" si="61"/>
        <v>398726.77883799654</v>
      </c>
      <c r="CB22" s="413">
        <f t="shared" si="62"/>
        <v>0</v>
      </c>
      <c r="CC22" s="413">
        <f t="shared" si="63"/>
        <v>1</v>
      </c>
      <c r="CD22" s="381">
        <f t="shared" si="64"/>
        <v>6050.0000000000009</v>
      </c>
      <c r="CE22" s="381">
        <f t="shared" si="65"/>
        <v>398726.77883799654</v>
      </c>
      <c r="CF22" s="422">
        <f t="shared" si="16"/>
        <v>0</v>
      </c>
      <c r="CG22" s="422">
        <f t="shared" si="17"/>
        <v>-36284.136874257703</v>
      </c>
      <c r="CH22" s="423">
        <f t="shared" si="18"/>
        <v>1</v>
      </c>
      <c r="CI22" s="413">
        <f t="shared" si="19"/>
        <v>0</v>
      </c>
      <c r="CK22" s="381">
        <f t="shared" si="20"/>
        <v>6050.0000000000009</v>
      </c>
      <c r="CL22" s="381">
        <f t="shared" si="66"/>
        <v>398726.77883799654</v>
      </c>
      <c r="CM22" s="413">
        <f t="shared" si="67"/>
        <v>0</v>
      </c>
      <c r="CN22" s="413">
        <f t="shared" si="68"/>
        <v>1</v>
      </c>
      <c r="CO22" s="381">
        <f t="shared" si="69"/>
        <v>6050.0000000000009</v>
      </c>
      <c r="CP22" s="381">
        <f t="shared" si="70"/>
        <v>398726.77883799654</v>
      </c>
      <c r="CQ22" s="422">
        <f t="shared" si="21"/>
        <v>0</v>
      </c>
      <c r="CR22" s="422">
        <f t="shared" si="22"/>
        <v>-36284.136874257703</v>
      </c>
      <c r="CS22" s="423">
        <f t="shared" si="23"/>
        <v>1</v>
      </c>
      <c r="CT22" s="413">
        <f t="shared" si="24"/>
        <v>0</v>
      </c>
      <c r="CV22" s="6">
        <f t="shared" si="25"/>
        <v>6050.0000000000009</v>
      </c>
      <c r="CW22" s="6">
        <f t="shared" si="26"/>
        <v>398726.77883799654</v>
      </c>
      <c r="CX22" s="229">
        <f t="shared" si="71"/>
        <v>0</v>
      </c>
      <c r="CY22" s="229">
        <f t="shared" si="72"/>
        <v>1</v>
      </c>
      <c r="CZ22" s="6">
        <f t="shared" si="73"/>
        <v>6050.0000000000009</v>
      </c>
      <c r="DA22" s="6">
        <f t="shared" si="74"/>
        <v>398726.77883799654</v>
      </c>
      <c r="DB22" s="425">
        <f t="shared" si="27"/>
        <v>0</v>
      </c>
      <c r="DC22" s="425">
        <f t="shared" si="28"/>
        <v>-36284.136874257703</v>
      </c>
      <c r="DD22" s="426">
        <f t="shared" si="29"/>
        <v>1</v>
      </c>
      <c r="DE22" s="229">
        <f t="shared" si="30"/>
        <v>0</v>
      </c>
      <c r="DG22" s="6">
        <f t="shared" si="75"/>
        <v>6878.803397891169</v>
      </c>
      <c r="DH22" s="6">
        <f t="shared" si="76"/>
        <v>453349.27621504315</v>
      </c>
      <c r="DI22" s="229">
        <f t="shared" si="77"/>
        <v>0</v>
      </c>
      <c r="DJ22" s="229">
        <f t="shared" si="78"/>
        <v>1</v>
      </c>
      <c r="DK22" s="6">
        <f t="shared" si="79"/>
        <v>6050.0000000000009</v>
      </c>
      <c r="DL22" s="6">
        <f t="shared" si="80"/>
        <v>398726.77883799654</v>
      </c>
      <c r="DM22" s="53">
        <f t="shared" si="31"/>
        <v>1.1000000000000001</v>
      </c>
    </row>
    <row r="23" spans="1:117" s="339" customFormat="1" ht="13.8" customHeight="1" x14ac:dyDescent="0.3">
      <c r="A23" s="268">
        <v>1</v>
      </c>
      <c r="B23" s="238"/>
      <c r="C23" s="239"/>
      <c r="D23" s="240"/>
      <c r="E23" s="240"/>
      <c r="F23" s="241">
        <v>0.99429999999999996</v>
      </c>
      <c r="G23" s="171" t="s">
        <v>154</v>
      </c>
      <c r="H23" s="242">
        <f t="shared" si="32"/>
        <v>3593.91</v>
      </c>
      <c r="I23" s="243">
        <v>0.99429999999999996</v>
      </c>
      <c r="J23" s="242">
        <f t="shared" si="33"/>
        <v>2202.7199999999998</v>
      </c>
      <c r="K23" s="242">
        <f t="shared" si="34"/>
        <v>5776.1447129999997</v>
      </c>
      <c r="L23" s="244">
        <v>462.33</v>
      </c>
      <c r="M23" s="243">
        <v>0.99609999999999999</v>
      </c>
      <c r="N23" s="242">
        <f t="shared" si="35"/>
        <v>460.52691299999998</v>
      </c>
      <c r="O23" s="242">
        <f t="shared" si="0"/>
        <v>6236.6716259999994</v>
      </c>
      <c r="P23" s="245"/>
      <c r="Q23" s="394">
        <v>0</v>
      </c>
      <c r="R23" s="393">
        <f t="shared" si="36"/>
        <v>0.1</v>
      </c>
      <c r="S23" s="247" t="s">
        <v>5</v>
      </c>
      <c r="T23" s="246">
        <f t="shared" si="37"/>
        <v>0.1</v>
      </c>
      <c r="U23" s="248">
        <f t="shared" si="1"/>
        <v>0</v>
      </c>
      <c r="V23" s="249">
        <v>1</v>
      </c>
      <c r="W23" s="250">
        <f t="shared" si="38"/>
        <v>0</v>
      </c>
      <c r="X23" s="237" t="s">
        <v>1</v>
      </c>
      <c r="Y23" s="248">
        <f t="shared" si="2"/>
        <v>0</v>
      </c>
      <c r="Z23" s="251">
        <v>0.57121806298276889</v>
      </c>
      <c r="AA23" s="250">
        <f t="shared" si="39"/>
        <v>0</v>
      </c>
      <c r="AB23" s="252">
        <v>10435.245541821761</v>
      </c>
      <c r="AC23" s="250">
        <f t="shared" si="40"/>
        <v>0.05</v>
      </c>
      <c r="AD23" s="252">
        <v>6689.6575690973332</v>
      </c>
      <c r="AE23" s="250">
        <f t="shared" si="41"/>
        <v>0.05</v>
      </c>
      <c r="AF23" s="252">
        <v>752.90094797095253</v>
      </c>
      <c r="AG23" s="250">
        <f t="shared" si="42"/>
        <v>0.05</v>
      </c>
      <c r="AH23" s="252">
        <f>IFERROR(VLOOKUP($B23,'[1]Public Option Sheet'!$A$9:$AQ$86,28,FALSE),0)</f>
        <v>0</v>
      </c>
      <c r="AI23" s="253">
        <f t="shared" si="43"/>
        <v>0.35</v>
      </c>
      <c r="AJ23" s="254"/>
      <c r="AK23" s="255">
        <v>452.39860642820634</v>
      </c>
      <c r="AL23" s="243">
        <v>0</v>
      </c>
      <c r="AM23" s="243">
        <v>0.52698999999999996</v>
      </c>
      <c r="AN23" s="242">
        <f t="shared" si="44"/>
        <v>0</v>
      </c>
      <c r="AO23" s="242">
        <f t="shared" si="3"/>
        <v>242.69307788186998</v>
      </c>
      <c r="AP23" s="314">
        <f t="shared" si="45"/>
        <v>8419.506695099999</v>
      </c>
      <c r="AQ23" s="314">
        <f t="shared" si="46"/>
        <v>695.09168431007629</v>
      </c>
      <c r="AR23" s="256">
        <f t="shared" si="47"/>
        <v>9114.5983794100757</v>
      </c>
      <c r="AS23" s="257"/>
      <c r="AT23" s="252">
        <v>5950</v>
      </c>
      <c r="AU23" s="315">
        <f t="shared" si="4"/>
        <v>5949.4049999999997</v>
      </c>
      <c r="AV23" s="252">
        <f t="shared" si="5"/>
        <v>142693.92918000001</v>
      </c>
      <c r="AW23" s="258">
        <v>30</v>
      </c>
      <c r="AX23" s="316">
        <v>0.79948571428571436</v>
      </c>
      <c r="AY23" s="256">
        <f t="shared" si="6"/>
        <v>218609.73587370236</v>
      </c>
      <c r="AZ23" s="237"/>
      <c r="BA23" s="252">
        <v>5400</v>
      </c>
      <c r="BB23" s="252">
        <f t="shared" si="48"/>
        <v>4860</v>
      </c>
      <c r="BC23" s="252">
        <f t="shared" si="49"/>
        <v>5940.0000000000009</v>
      </c>
      <c r="BD23" s="340"/>
      <c r="BE23" s="252">
        <f t="shared" si="50"/>
        <v>7422.7628942767778</v>
      </c>
      <c r="BF23" s="252">
        <f t="shared" si="51"/>
        <v>178031.78683513097</v>
      </c>
      <c r="BG23" s="237">
        <f t="shared" si="52"/>
        <v>0</v>
      </c>
      <c r="BH23" s="237">
        <f t="shared" si="53"/>
        <v>1</v>
      </c>
      <c r="BI23" s="252">
        <f t="shared" si="54"/>
        <v>5940.0000000000009</v>
      </c>
      <c r="BJ23" s="252">
        <f t="shared" si="55"/>
        <v>142468.35428571433</v>
      </c>
      <c r="BK23" s="396">
        <f t="shared" si="7"/>
        <v>218609.73587370236</v>
      </c>
      <c r="BL23" s="396">
        <f t="shared" si="8"/>
        <v>142693.92918000001</v>
      </c>
      <c r="BM23" s="397">
        <f t="shared" si="9"/>
        <v>0</v>
      </c>
      <c r="BO23" s="252">
        <f t="shared" si="10"/>
        <v>7393.8900381203421</v>
      </c>
      <c r="BP23" s="252">
        <f t="shared" si="56"/>
        <v>177339.28375430009</v>
      </c>
      <c r="BQ23" s="237">
        <f t="shared" si="57"/>
        <v>0</v>
      </c>
      <c r="BR23" s="237">
        <f t="shared" si="58"/>
        <v>1</v>
      </c>
      <c r="BS23" s="252">
        <f t="shared" si="59"/>
        <v>5940.0000000000009</v>
      </c>
      <c r="BT23" s="252">
        <f t="shared" si="60"/>
        <v>142468.35428571433</v>
      </c>
      <c r="BU23" s="396">
        <f t="shared" si="11"/>
        <v>0</v>
      </c>
      <c r="BV23" s="396">
        <f t="shared" si="12"/>
        <v>225.57489428567351</v>
      </c>
      <c r="BW23" s="397">
        <f t="shared" si="13"/>
        <v>1</v>
      </c>
      <c r="BX23" s="237">
        <f t="shared" si="14"/>
        <v>1</v>
      </c>
      <c r="BZ23" s="252">
        <f t="shared" si="15"/>
        <v>5940.0000000000009</v>
      </c>
      <c r="CA23" s="252">
        <f t="shared" si="61"/>
        <v>142468.35428571433</v>
      </c>
      <c r="CB23" s="237">
        <f t="shared" si="62"/>
        <v>0</v>
      </c>
      <c r="CC23" s="237">
        <f t="shared" si="63"/>
        <v>1</v>
      </c>
      <c r="CD23" s="252">
        <f t="shared" si="64"/>
        <v>5940.0000000000009</v>
      </c>
      <c r="CE23" s="252">
        <f t="shared" si="65"/>
        <v>142468.35428571433</v>
      </c>
      <c r="CF23" s="396">
        <f t="shared" si="16"/>
        <v>0</v>
      </c>
      <c r="CG23" s="396">
        <f t="shared" si="17"/>
        <v>225.57489428567351</v>
      </c>
      <c r="CH23" s="397">
        <f t="shared" si="18"/>
        <v>1</v>
      </c>
      <c r="CI23" s="237">
        <f t="shared" si="19"/>
        <v>0</v>
      </c>
      <c r="CK23" s="252">
        <f t="shared" si="20"/>
        <v>5940.0000000000009</v>
      </c>
      <c r="CL23" s="252">
        <f t="shared" si="66"/>
        <v>142468.35428571433</v>
      </c>
      <c r="CM23" s="237">
        <f t="shared" si="67"/>
        <v>0</v>
      </c>
      <c r="CN23" s="237">
        <f t="shared" si="68"/>
        <v>1</v>
      </c>
      <c r="CO23" s="252">
        <f t="shared" si="69"/>
        <v>5940.0000000000009</v>
      </c>
      <c r="CP23" s="252">
        <f t="shared" si="70"/>
        <v>142468.35428571433</v>
      </c>
      <c r="CQ23" s="396">
        <f t="shared" si="21"/>
        <v>0</v>
      </c>
      <c r="CR23" s="396">
        <f t="shared" si="22"/>
        <v>225.57489428567351</v>
      </c>
      <c r="CS23" s="397">
        <f t="shared" si="23"/>
        <v>1</v>
      </c>
      <c r="CT23" s="237">
        <f t="shared" si="24"/>
        <v>0</v>
      </c>
      <c r="CV23" s="252">
        <f t="shared" si="25"/>
        <v>5940.0000000000009</v>
      </c>
      <c r="CW23" s="252">
        <f t="shared" si="26"/>
        <v>142468.35428571433</v>
      </c>
      <c r="CX23" s="237">
        <f t="shared" si="71"/>
        <v>0</v>
      </c>
      <c r="CY23" s="237">
        <f t="shared" si="72"/>
        <v>1</v>
      </c>
      <c r="CZ23" s="252">
        <f t="shared" si="73"/>
        <v>5940.0000000000009</v>
      </c>
      <c r="DA23" s="252">
        <f t="shared" si="74"/>
        <v>142468.35428571433</v>
      </c>
      <c r="DB23" s="396">
        <f t="shared" si="27"/>
        <v>0</v>
      </c>
      <c r="DC23" s="396">
        <f t="shared" si="28"/>
        <v>225.57489428567351</v>
      </c>
      <c r="DD23" s="397">
        <f t="shared" si="29"/>
        <v>1</v>
      </c>
      <c r="DE23" s="237">
        <f t="shared" si="30"/>
        <v>0</v>
      </c>
      <c r="DG23" s="252">
        <f t="shared" si="75"/>
        <v>7419.6359963574178</v>
      </c>
      <c r="DH23" s="252">
        <f t="shared" si="76"/>
        <v>177956.78952863422</v>
      </c>
      <c r="DI23" s="237">
        <f t="shared" si="77"/>
        <v>0</v>
      </c>
      <c r="DJ23" s="237">
        <f t="shared" si="78"/>
        <v>1</v>
      </c>
      <c r="DK23" s="252">
        <f t="shared" si="79"/>
        <v>5940.0000000000009</v>
      </c>
      <c r="DL23" s="252">
        <f t="shared" si="80"/>
        <v>142468.35428571433</v>
      </c>
      <c r="DM23" s="250">
        <f t="shared" si="31"/>
        <v>1.1000000000000001</v>
      </c>
    </row>
    <row r="24" spans="1:117" s="8" customFormat="1" ht="13.8" customHeight="1" x14ac:dyDescent="0.3">
      <c r="A24" s="267">
        <v>0</v>
      </c>
      <c r="B24" s="89"/>
      <c r="C24" s="4"/>
      <c r="D24" s="5"/>
      <c r="E24" s="5"/>
      <c r="F24" s="369">
        <v>0.99429999999999996</v>
      </c>
      <c r="G24" s="29" t="s">
        <v>155</v>
      </c>
      <c r="H24" s="148">
        <f t="shared" ref="H24:H26" si="81">IF(F24&lt;1,$F$8,$F$3)</f>
        <v>3593.91</v>
      </c>
      <c r="I24" s="157">
        <v>0.99429999999999996</v>
      </c>
      <c r="J24" s="148">
        <f t="shared" ref="J24:J26" si="82">IF(F24&lt;1,$F$11,$F$5)</f>
        <v>2202.7199999999998</v>
      </c>
      <c r="K24" s="148">
        <f t="shared" ref="K24:K26" si="83">IFERROR((H24*I24)+J24," ")</f>
        <v>5776.1447129999997</v>
      </c>
      <c r="L24" s="161">
        <v>462.33</v>
      </c>
      <c r="M24" s="157">
        <v>0.99609999999999999</v>
      </c>
      <c r="N24" s="148">
        <f t="shared" ref="N24:N26" si="84">IFERROR(L24*M24," ")</f>
        <v>460.52691299999998</v>
      </c>
      <c r="O24" s="148">
        <f t="shared" ref="O24:O26" si="85">K24+N24</f>
        <v>6236.6716259999994</v>
      </c>
      <c r="P24" s="149"/>
      <c r="Q24" s="9">
        <v>0</v>
      </c>
      <c r="R24" s="373">
        <f t="shared" ref="R24:R26" si="86">IF(OR(A24=13,AW24&lt;R$5),R$3,IF((AW24&lt;R$4),(((AW24-R$4)/(R$5-R$4))*R$3),0))</f>
        <v>0</v>
      </c>
      <c r="S24" s="408" t="s">
        <v>188</v>
      </c>
      <c r="T24" s="51">
        <f t="shared" ref="T24:T26" si="87">IF((S24&lt;&gt;""),0,T$3)</f>
        <v>0</v>
      </c>
      <c r="U24" s="49">
        <f t="shared" ref="U24" si="88">IF(A24=33,$U$3,0)</f>
        <v>0</v>
      </c>
      <c r="V24" s="28">
        <v>0.99829999999999997</v>
      </c>
      <c r="W24" s="53">
        <f t="shared" ref="W24:W26" si="89">IF($A24&gt;=13,0,V24-1)</f>
        <v>-1.7000000000000348E-3</v>
      </c>
      <c r="X24" s="229" t="s">
        <v>1</v>
      </c>
      <c r="Y24" s="49">
        <f t="shared" ref="Y24" si="90">IF(X24="Y",-0.01,0)</f>
        <v>0</v>
      </c>
      <c r="Z24" s="78">
        <v>0.63979266225843467</v>
      </c>
      <c r="AA24" s="53">
        <f t="shared" ref="AA24:AA26" si="91">IF(Z24&gt;=Z$4,Z$3,IF(Z24&lt;=Z$5,0,((Z24-Z$5)/(Z$4-Z$5))*Z$3))</f>
        <v>3.0623267699857178E-2</v>
      </c>
      <c r="AB24" s="6">
        <v>19409.21020674739</v>
      </c>
      <c r="AC24" s="53">
        <f t="shared" ref="AC24:AC26" si="92">IF(AB24&gt;=AB$4,0,IF(AB24&lt;=AB$5,AB$3,((AB$4-AB24)/(AB$4-AB$5))*AB$3))</f>
        <v>3.4712873448168938E-2</v>
      </c>
      <c r="AD24" s="6">
        <v>14352.813081447062</v>
      </c>
      <c r="AE24" s="53">
        <f t="shared" ref="AE24:AE26" si="93">IF(AD24&gt;=AD$4,0,IF(AD24&lt;=AD$5,AD$3,((AD$4-AD24)/(AD$4-AD$5))*AD$3))</f>
        <v>3.1509078736109641E-2</v>
      </c>
      <c r="AF24" s="6">
        <v>2269.9996475717885</v>
      </c>
      <c r="AG24" s="53">
        <f t="shared" ref="AG24:AG26" si="94">IF(AF24&gt;=AF$4,0,IF(AF24&lt;=AF$5,AF$3,((AF$4-AF24)/(AF$4-AF$5))*AF$3))</f>
        <v>2.2064427104803191E-2</v>
      </c>
      <c r="AH24" s="83">
        <f>IFERROR(VLOOKUP($B24,'[1]Public Option Sheet'!$A$9:$AQ$86,28,FALSE),0)</f>
        <v>0</v>
      </c>
      <c r="AI24" s="199">
        <f t="shared" ref="AI24:AI26" si="95">SUM(R24,T24,U24,W24,Y24,AA24,AC24,AE24,AG24)</f>
        <v>0.11720964698893892</v>
      </c>
      <c r="AJ24" s="181"/>
      <c r="AK24" s="207">
        <v>84.883215041241371</v>
      </c>
      <c r="AL24" s="157">
        <v>0.10331</v>
      </c>
      <c r="AM24" s="157">
        <v>9.9339999999999998E-2</v>
      </c>
      <c r="AN24" s="148">
        <f t="shared" ref="AN24:AN26" si="96">IFERROR((K24*AL24),0)</f>
        <v>596.73351030002993</v>
      </c>
      <c r="AO24" s="148">
        <f t="shared" ref="AO24:AO25" si="97">IFERROR(N24*AM24,0)</f>
        <v>45.748743537419998</v>
      </c>
      <c r="AP24" s="326">
        <f t="shared" ref="AP24:AP26" si="98">($O24*(1+$AI24))</f>
        <v>6967.6697056693911</v>
      </c>
      <c r="AQ24" s="326">
        <f t="shared" ref="AQ24:AQ26" si="99">$AK24+$AN24+$AO24</f>
        <v>727.36546887869122</v>
      </c>
      <c r="AR24" s="116">
        <f t="shared" ref="AR24:AR26" si="100">AP24+AQ24</f>
        <v>7695.0351745480821</v>
      </c>
      <c r="AS24" s="185"/>
      <c r="AT24" s="6">
        <v>6200</v>
      </c>
      <c r="AU24" s="327">
        <f t="shared" ref="AU24:AU26" si="101">AT24*$AU$14</f>
        <v>6199.38</v>
      </c>
      <c r="AV24" s="6">
        <f t="shared" ref="AV24:AV26" si="102">AU24*AW24*AX24</f>
        <v>41327212.340202168</v>
      </c>
      <c r="AW24" s="236">
        <v>4575.1119414800623</v>
      </c>
      <c r="AX24" s="328">
        <v>1.457089166250624</v>
      </c>
      <c r="AY24" s="116">
        <f t="shared" ref="AY24:AY26" si="103">AR24*$AW24*$AX24</f>
        <v>51297767.296709217</v>
      </c>
      <c r="AZ24" s="229"/>
      <c r="BA24" s="6">
        <v>6150</v>
      </c>
      <c r="BB24" s="6">
        <f t="shared" ref="BB24:BB26" si="104">BA24*(1-$BB$3)</f>
        <v>5535</v>
      </c>
      <c r="BC24" s="6">
        <f t="shared" ref="BC24:BC26" si="105">BA24*(1+$BB$3)</f>
        <v>6765.0000000000009</v>
      </c>
      <c r="BD24" s="55"/>
      <c r="BE24" s="6">
        <f t="shared" ref="BE24:BE26" si="106">$AR24*BE$3</f>
        <v>6266.6964781268853</v>
      </c>
      <c r="BF24" s="6">
        <f t="shared" ref="BF24:BF26" si="107">BE24*$AW24*$AX24</f>
        <v>41775967.277880505</v>
      </c>
      <c r="BG24" s="229">
        <f t="shared" ref="BG24:BG26" si="108">IF(BE24&lt;=$BB24,1,0)</f>
        <v>0</v>
      </c>
      <c r="BH24" s="229">
        <f t="shared" ref="BH24:BH26" si="109">IF(BE24&gt;=$BC24,1,0)</f>
        <v>0</v>
      </c>
      <c r="BI24" s="6">
        <f t="shared" ref="BI24:BI26" si="110">MAX(MIN(BE24,$BC24),$BB24)</f>
        <v>6266.6964781268853</v>
      </c>
      <c r="BJ24" s="6">
        <f t="shared" ref="BJ24:BJ26" si="111">BI24*$AW24*$AX24</f>
        <v>41775967.277880505</v>
      </c>
      <c r="BK24" s="425">
        <f t="shared" si="7"/>
        <v>51297767.296709217</v>
      </c>
      <c r="BL24" s="425">
        <f t="shared" si="8"/>
        <v>41327212.340202168</v>
      </c>
      <c r="BM24" s="426">
        <f t="shared" si="9"/>
        <v>0</v>
      </c>
      <c r="BO24" s="6">
        <f t="shared" ref="BO24:BO26" si="112">IF(BM24=1,BI24,$AR24*BO$3)</f>
        <v>6242.3204568843757</v>
      </c>
      <c r="BP24" s="6">
        <f t="shared" ref="BP24:BP26" si="113">BO24*$AW24*$AX24</f>
        <v>41613468.28509438</v>
      </c>
      <c r="BQ24" s="229">
        <f t="shared" ref="BQ24:BQ26" si="114">IF(BO24&lt;=$BB24,1,0)</f>
        <v>0</v>
      </c>
      <c r="BR24" s="229">
        <f t="shared" ref="BR24:BR26" si="115">IF(BO24&gt;=$BC24,1,0)</f>
        <v>0</v>
      </c>
      <c r="BS24" s="6">
        <f t="shared" ref="BS24:BS26" si="116">MAX(MIN(BO24,$BC24),$BB24)</f>
        <v>6242.3204568843757</v>
      </c>
      <c r="BT24" s="6">
        <f t="shared" ref="BT24:BT26" si="117">BS24*$AW24*$AX24</f>
        <v>41613468.28509438</v>
      </c>
      <c r="BU24" s="425">
        <f t="shared" si="11"/>
        <v>51297767.296709217</v>
      </c>
      <c r="BV24" s="425">
        <f t="shared" si="12"/>
        <v>41327212.340202168</v>
      </c>
      <c r="BW24" s="426">
        <f t="shared" si="13"/>
        <v>0</v>
      </c>
      <c r="BX24" s="229">
        <f t="shared" ref="BX24:BX26" si="118">IF(BW24=BM24,0,1)</f>
        <v>0</v>
      </c>
      <c r="BZ24" s="6">
        <f t="shared" ref="BZ24:BZ26" si="119">IF(BW24=1,BS24,$AR24*BZ$3)</f>
        <v>6264.056582382158</v>
      </c>
      <c r="CA24" s="6">
        <f t="shared" ref="CA24:CA26" si="120">BZ24*$AW24*$AX24</f>
        <v>41758368.819325238</v>
      </c>
      <c r="CB24" s="229">
        <f t="shared" ref="CB24:CB26" si="121">IF(BZ24&lt;=$BB24,1,0)</f>
        <v>0</v>
      </c>
      <c r="CC24" s="229">
        <f t="shared" ref="CC24:CC26" si="122">IF(BZ24&gt;=$BC24,1,0)</f>
        <v>0</v>
      </c>
      <c r="CD24" s="6">
        <f t="shared" ref="CD24:CD26" si="123">MAX(MIN(BZ24,$BC24),$BB24)</f>
        <v>6264.056582382158</v>
      </c>
      <c r="CE24" s="6">
        <f t="shared" ref="CE24:CE26" si="124">CD24*$AW24*$AX24</f>
        <v>41758368.819325238</v>
      </c>
      <c r="CF24" s="425">
        <f t="shared" si="16"/>
        <v>51297767.296709217</v>
      </c>
      <c r="CG24" s="425">
        <f t="shared" si="17"/>
        <v>41327212.340202168</v>
      </c>
      <c r="CH24" s="426">
        <f t="shared" si="18"/>
        <v>0</v>
      </c>
      <c r="CI24" s="229">
        <f t="shared" ref="CI24:CI26" si="125">IF(CH24=BW24,0,1)</f>
        <v>0</v>
      </c>
      <c r="CK24" s="6">
        <f t="shared" ref="CK24:CK26" si="126">IF(CH24=1,CD24,$AR24*CK$3)</f>
        <v>6264.056582382158</v>
      </c>
      <c r="CL24" s="6">
        <f t="shared" ref="CL24:CL26" si="127">CK24*$AW24*$AX24</f>
        <v>41758368.819325238</v>
      </c>
      <c r="CM24" s="229">
        <f t="shared" ref="CM24:CM26" si="128">IF(CK24&lt;=$BB24,1,0)</f>
        <v>0</v>
      </c>
      <c r="CN24" s="229">
        <f t="shared" ref="CN24:CN26" si="129">IF(CK24&gt;=$BC24,1,0)</f>
        <v>0</v>
      </c>
      <c r="CO24" s="6">
        <f t="shared" ref="CO24:CO26" si="130">MAX(MIN(CK24,$BC24),$BB24)</f>
        <v>6264.056582382158</v>
      </c>
      <c r="CP24" s="6">
        <f t="shared" ref="CP24:CP26" si="131">CO24*$AW24*$AX24</f>
        <v>41758368.819325238</v>
      </c>
      <c r="CQ24" s="425">
        <f t="shared" si="21"/>
        <v>51297767.296709217</v>
      </c>
      <c r="CR24" s="425">
        <f t="shared" si="22"/>
        <v>41327212.340202168</v>
      </c>
      <c r="CS24" s="426">
        <f t="shared" si="23"/>
        <v>0</v>
      </c>
      <c r="CT24" s="229">
        <f t="shared" ref="CT24:CT26" si="132">IF(CS24=CH24,0,1)</f>
        <v>0</v>
      </c>
      <c r="CV24" s="6">
        <f t="shared" ref="CV24:CV26" si="133">IF(CS24=1,CO24,$AR24*CV$3)</f>
        <v>6264.056582382158</v>
      </c>
      <c r="CW24" s="6">
        <f t="shared" ref="CW24:CW26" si="134">CV24*$AW24*$AX24</f>
        <v>41758368.819325238</v>
      </c>
      <c r="CX24" s="229">
        <f t="shared" ref="CX24:CX26" si="135">IF(CV24&lt;=$BB24,1,0)</f>
        <v>0</v>
      </c>
      <c r="CY24" s="229">
        <f t="shared" ref="CY24:CY26" si="136">IF(CV24&gt;=$BC24,1,0)</f>
        <v>0</v>
      </c>
      <c r="CZ24" s="6">
        <f t="shared" ref="CZ24:CZ26" si="137">MAX(MIN(CV24,$BC24),$BB24)</f>
        <v>6264.056582382158</v>
      </c>
      <c r="DA24" s="6">
        <f t="shared" ref="DA24:DA26" si="138">CZ24*$AW24*$AX24</f>
        <v>41758368.819325238</v>
      </c>
      <c r="DB24" s="425">
        <f t="shared" si="27"/>
        <v>51297767.296709217</v>
      </c>
      <c r="DC24" s="425">
        <f t="shared" si="28"/>
        <v>41327212.340202168</v>
      </c>
      <c r="DD24" s="426">
        <f t="shared" si="29"/>
        <v>0</v>
      </c>
      <c r="DE24" s="229">
        <f t="shared" ref="DE24:DE26" si="139">IF(DD24=CS24,0,1)</f>
        <v>0</v>
      </c>
      <c r="DG24" s="6">
        <f t="shared" ref="DG24:DG26" si="140">$AR24*DG$3</f>
        <v>6264.056582382158</v>
      </c>
      <c r="DH24" s="6">
        <f t="shared" ref="DH24:DH26" si="141">DG24*$AW24*$AX24</f>
        <v>41758368.819325238</v>
      </c>
      <c r="DI24" s="229">
        <f t="shared" ref="DI24:DI26" si="142">IF(DG24&lt;=$BB24,1,0)</f>
        <v>0</v>
      </c>
      <c r="DJ24" s="229">
        <f t="shared" ref="DJ24:DJ26" si="143">IF(DG24&gt;=$BC24,1,0)</f>
        <v>0</v>
      </c>
      <c r="DK24" s="6">
        <f t="shared" ref="DK24:DK26" si="144">MAX(MIN(DG24,$BC24),$BB24)</f>
        <v>6264.056582382158</v>
      </c>
      <c r="DL24" s="6">
        <f t="shared" ref="DL24:DL26" si="145">DK24*$AW24*$AX24</f>
        <v>41758368.819325238</v>
      </c>
      <c r="DM24" s="53">
        <f t="shared" ref="DM24:DM26" si="146">DK24/BA24</f>
        <v>1.0185457857531963</v>
      </c>
    </row>
    <row r="25" spans="1:117" s="8" customFormat="1" ht="13.8" customHeight="1" x14ac:dyDescent="0.3">
      <c r="A25" s="267">
        <v>0</v>
      </c>
      <c r="B25" s="89"/>
      <c r="C25" s="4"/>
      <c r="D25" s="5"/>
      <c r="E25" s="5"/>
      <c r="F25" s="369">
        <v>0.99429999999999996</v>
      </c>
      <c r="G25" s="29" t="s">
        <v>156</v>
      </c>
      <c r="H25" s="148">
        <f t="shared" si="81"/>
        <v>3593.91</v>
      </c>
      <c r="I25" s="157">
        <v>0.99429999999999996</v>
      </c>
      <c r="J25" s="148">
        <f t="shared" si="82"/>
        <v>2202.7199999999998</v>
      </c>
      <c r="K25" s="148">
        <f t="shared" si="83"/>
        <v>5776.1447129999997</v>
      </c>
      <c r="L25" s="161">
        <v>462.33</v>
      </c>
      <c r="M25" s="157">
        <v>0.99609999999999999</v>
      </c>
      <c r="N25" s="148">
        <f t="shared" si="84"/>
        <v>460.52691299999998</v>
      </c>
      <c r="O25" s="148">
        <f t="shared" si="85"/>
        <v>6236.6716259999994</v>
      </c>
      <c r="P25" s="149"/>
      <c r="Q25" s="9">
        <v>0</v>
      </c>
      <c r="R25" s="373">
        <f t="shared" si="86"/>
        <v>0</v>
      </c>
      <c r="S25" s="27" t="s">
        <v>5</v>
      </c>
      <c r="T25" s="51">
        <f t="shared" si="87"/>
        <v>0.1</v>
      </c>
      <c r="U25" s="49">
        <f>IF(A25=33,$U$3,0)</f>
        <v>0</v>
      </c>
      <c r="V25" s="28">
        <v>0.99909999999999999</v>
      </c>
      <c r="W25" s="53">
        <f t="shared" si="89"/>
        <v>-9.000000000000119E-4</v>
      </c>
      <c r="X25" s="229" t="s">
        <v>1</v>
      </c>
      <c r="Y25" s="49">
        <f>IF(X25="Y",-0.01,0)</f>
        <v>0</v>
      </c>
      <c r="Z25" s="78">
        <v>0.77045080616022366</v>
      </c>
      <c r="AA25" s="53">
        <f t="shared" si="91"/>
        <v>9.8867169333591978E-2</v>
      </c>
      <c r="AB25" s="6">
        <v>26157.216828515859</v>
      </c>
      <c r="AC25" s="53">
        <f t="shared" si="92"/>
        <v>5.6513462996865662E-3</v>
      </c>
      <c r="AD25" s="6">
        <v>12471.272936553534</v>
      </c>
      <c r="AE25" s="53">
        <f t="shared" si="93"/>
        <v>4.3220220450324115E-2</v>
      </c>
      <c r="AF25" s="6">
        <v>957.1751769326338</v>
      </c>
      <c r="AG25" s="53">
        <f t="shared" si="94"/>
        <v>4.8274524405578167E-2</v>
      </c>
      <c r="AH25" s="19">
        <f>IFERROR(VLOOKUP($B25,'[1]Public Option Sheet'!$A$9:$AQ$86,28,FALSE),0)</f>
        <v>0</v>
      </c>
      <c r="AI25" s="199">
        <f t="shared" si="95"/>
        <v>0.29511326048918085</v>
      </c>
      <c r="AJ25" s="181"/>
      <c r="AK25" s="207">
        <v>64.490116074696161</v>
      </c>
      <c r="AL25" s="157">
        <v>0.20227000000000001</v>
      </c>
      <c r="AM25" s="157">
        <v>0.19026000000000001</v>
      </c>
      <c r="AN25" s="148">
        <f t="shared" si="96"/>
        <v>1168.34079109851</v>
      </c>
      <c r="AO25" s="148">
        <f t="shared" si="97"/>
        <v>87.619850467380004</v>
      </c>
      <c r="AP25" s="326">
        <f t="shared" si="98"/>
        <v>8077.1961241492199</v>
      </c>
      <c r="AQ25" s="326">
        <f>$AK25+$AN25+$AO25</f>
        <v>1320.4507576405861</v>
      </c>
      <c r="AR25" s="116">
        <f t="shared" si="100"/>
        <v>9397.6468817898058</v>
      </c>
      <c r="AS25" s="185"/>
      <c r="AT25" s="6">
        <v>7100</v>
      </c>
      <c r="AU25" s="327">
        <f t="shared" si="101"/>
        <v>7099.29</v>
      </c>
      <c r="AV25" s="6">
        <f t="shared" si="102"/>
        <v>110919310.80761336</v>
      </c>
      <c r="AW25" s="236">
        <v>9230.1684251227816</v>
      </c>
      <c r="AX25" s="328">
        <v>1.6927102326156891</v>
      </c>
      <c r="AY25" s="116">
        <f t="shared" si="103"/>
        <v>146828839.97434139</v>
      </c>
      <c r="AZ25" s="428" t="s">
        <v>4</v>
      </c>
      <c r="BA25" s="6">
        <v>7150</v>
      </c>
      <c r="BB25" s="6">
        <f t="shared" si="104"/>
        <v>6435</v>
      </c>
      <c r="BC25" s="6">
        <f t="shared" si="105"/>
        <v>7865.0000000000009</v>
      </c>
      <c r="BD25" s="55"/>
      <c r="BE25" s="6">
        <f t="shared" si="106"/>
        <v>7653.2724387775042</v>
      </c>
      <c r="BF25" s="6">
        <f t="shared" si="107"/>
        <v>119574732.73131582</v>
      </c>
      <c r="BG25" s="229">
        <f t="shared" si="108"/>
        <v>0</v>
      </c>
      <c r="BH25" s="229">
        <f t="shared" si="109"/>
        <v>0</v>
      </c>
      <c r="BI25" s="6">
        <f t="shared" si="110"/>
        <v>7653.2724387775042</v>
      </c>
      <c r="BJ25" s="6">
        <f t="shared" si="111"/>
        <v>119574732.73131582</v>
      </c>
      <c r="BK25" s="425">
        <f t="shared" si="7"/>
        <v>146828839.97434139</v>
      </c>
      <c r="BL25" s="425">
        <f t="shared" si="8"/>
        <v>110919310.80761336</v>
      </c>
      <c r="BM25" s="426">
        <f t="shared" si="9"/>
        <v>0</v>
      </c>
      <c r="BO25" s="6">
        <f t="shared" si="112"/>
        <v>7623.5029530215716</v>
      </c>
      <c r="BP25" s="6">
        <f t="shared" si="113"/>
        <v>119109614.26973091</v>
      </c>
      <c r="BQ25" s="229">
        <f t="shared" si="114"/>
        <v>0</v>
      </c>
      <c r="BR25" s="229">
        <f t="shared" si="115"/>
        <v>0</v>
      </c>
      <c r="BS25" s="6">
        <f t="shared" si="116"/>
        <v>7623.5029530215716</v>
      </c>
      <c r="BT25" s="6">
        <f t="shared" si="117"/>
        <v>119109614.26973091</v>
      </c>
      <c r="BU25" s="425">
        <f t="shared" si="11"/>
        <v>146828839.97434139</v>
      </c>
      <c r="BV25" s="425">
        <f t="shared" si="12"/>
        <v>110919310.80761336</v>
      </c>
      <c r="BW25" s="426">
        <f t="shared" si="13"/>
        <v>0</v>
      </c>
      <c r="BX25" s="229">
        <f t="shared" si="118"/>
        <v>0</v>
      </c>
      <c r="BZ25" s="6">
        <f t="shared" si="119"/>
        <v>7650.0484368787556</v>
      </c>
      <c r="CA25" s="6">
        <f t="shared" si="120"/>
        <v>119524360.92390245</v>
      </c>
      <c r="CB25" s="229">
        <f t="shared" si="121"/>
        <v>0</v>
      </c>
      <c r="CC25" s="229">
        <f t="shared" si="122"/>
        <v>0</v>
      </c>
      <c r="CD25" s="6">
        <f t="shared" si="123"/>
        <v>7650.0484368787556</v>
      </c>
      <c r="CE25" s="6">
        <f t="shared" si="124"/>
        <v>119524360.92390245</v>
      </c>
      <c r="CF25" s="425">
        <f t="shared" si="16"/>
        <v>146828839.97434139</v>
      </c>
      <c r="CG25" s="425">
        <f t="shared" si="17"/>
        <v>110919310.80761336</v>
      </c>
      <c r="CH25" s="426">
        <f t="shared" si="18"/>
        <v>0</v>
      </c>
      <c r="CI25" s="229">
        <f t="shared" si="125"/>
        <v>0</v>
      </c>
      <c r="CK25" s="6">
        <f t="shared" si="126"/>
        <v>7650.0484368787556</v>
      </c>
      <c r="CL25" s="6">
        <f t="shared" si="127"/>
        <v>119524360.92390245</v>
      </c>
      <c r="CM25" s="229">
        <f t="shared" si="128"/>
        <v>0</v>
      </c>
      <c r="CN25" s="229">
        <f t="shared" si="129"/>
        <v>0</v>
      </c>
      <c r="CO25" s="6">
        <f t="shared" si="130"/>
        <v>7650.0484368787556</v>
      </c>
      <c r="CP25" s="6">
        <f t="shared" si="131"/>
        <v>119524360.92390245</v>
      </c>
      <c r="CQ25" s="425">
        <f t="shared" si="21"/>
        <v>146828839.97434139</v>
      </c>
      <c r="CR25" s="425">
        <f t="shared" si="22"/>
        <v>110919310.80761336</v>
      </c>
      <c r="CS25" s="426">
        <f t="shared" si="23"/>
        <v>0</v>
      </c>
      <c r="CT25" s="229">
        <f t="shared" si="132"/>
        <v>0</v>
      </c>
      <c r="CV25" s="6">
        <f t="shared" si="133"/>
        <v>7650.0484368787556</v>
      </c>
      <c r="CW25" s="6">
        <f t="shared" si="134"/>
        <v>119524360.92390245</v>
      </c>
      <c r="CX25" s="229">
        <f t="shared" si="135"/>
        <v>0</v>
      </c>
      <c r="CY25" s="229">
        <f t="shared" si="136"/>
        <v>0</v>
      </c>
      <c r="CZ25" s="6">
        <f t="shared" si="137"/>
        <v>7650.0484368787556</v>
      </c>
      <c r="DA25" s="6">
        <f t="shared" si="138"/>
        <v>119524360.92390245</v>
      </c>
      <c r="DB25" s="425">
        <f t="shared" si="27"/>
        <v>146828839.97434139</v>
      </c>
      <c r="DC25" s="425">
        <f t="shared" si="28"/>
        <v>110919310.80761336</v>
      </c>
      <c r="DD25" s="426">
        <f t="shared" si="29"/>
        <v>0</v>
      </c>
      <c r="DE25" s="229">
        <f t="shared" si="139"/>
        <v>0</v>
      </c>
      <c r="DG25" s="6">
        <f t="shared" si="140"/>
        <v>7650.0484368787556</v>
      </c>
      <c r="DH25" s="6">
        <f t="shared" si="141"/>
        <v>119524360.92390245</v>
      </c>
      <c r="DI25" s="229">
        <f t="shared" si="142"/>
        <v>0</v>
      </c>
      <c r="DJ25" s="229">
        <f t="shared" si="143"/>
        <v>0</v>
      </c>
      <c r="DK25" s="6">
        <f t="shared" si="144"/>
        <v>7650.0484368787556</v>
      </c>
      <c r="DL25" s="6">
        <f t="shared" si="145"/>
        <v>119524360.92390245</v>
      </c>
      <c r="DM25" s="53">
        <f t="shared" si="146"/>
        <v>1.0699368443187072</v>
      </c>
    </row>
    <row r="26" spans="1:117" s="8" customFormat="1" ht="13.8" customHeight="1" x14ac:dyDescent="0.3">
      <c r="A26" s="267">
        <v>0</v>
      </c>
      <c r="B26" s="89"/>
      <c r="C26" s="4"/>
      <c r="D26" s="5"/>
      <c r="E26" s="5"/>
      <c r="F26" s="369">
        <v>0.99429999999999996</v>
      </c>
      <c r="G26" s="29" t="s">
        <v>157</v>
      </c>
      <c r="H26" s="148">
        <f t="shared" si="81"/>
        <v>3593.91</v>
      </c>
      <c r="I26" s="157">
        <v>0.99429999999999996</v>
      </c>
      <c r="J26" s="148">
        <f t="shared" si="82"/>
        <v>2202.7199999999998</v>
      </c>
      <c r="K26" s="148">
        <f t="shared" si="83"/>
        <v>5776.1447129999997</v>
      </c>
      <c r="L26" s="161">
        <v>462.33</v>
      </c>
      <c r="M26" s="157">
        <v>0.99609999999999999</v>
      </c>
      <c r="N26" s="148">
        <f t="shared" si="84"/>
        <v>460.52691299999998</v>
      </c>
      <c r="O26" s="148">
        <f t="shared" si="85"/>
        <v>6236.6716259999994</v>
      </c>
      <c r="P26" s="149"/>
      <c r="Q26" s="9">
        <v>0</v>
      </c>
      <c r="R26" s="373">
        <f t="shared" si="86"/>
        <v>0</v>
      </c>
      <c r="S26" s="408" t="s">
        <v>188</v>
      </c>
      <c r="T26" s="51">
        <f t="shared" si="87"/>
        <v>0</v>
      </c>
      <c r="U26" s="49">
        <f>IF(A26=33,$U$3,0)</f>
        <v>0</v>
      </c>
      <c r="V26" s="28">
        <v>0.99909999999999999</v>
      </c>
      <c r="W26" s="53">
        <f t="shared" si="89"/>
        <v>-9.000000000000119E-4</v>
      </c>
      <c r="X26" s="229" t="s">
        <v>2</v>
      </c>
      <c r="Y26" s="49">
        <f>IF(X26="Y",-0.01,0)</f>
        <v>-0.01</v>
      </c>
      <c r="Z26" s="78">
        <v>0.66414917550974861</v>
      </c>
      <c r="AA26" s="53">
        <f t="shared" si="91"/>
        <v>4.3344889520176538E-2</v>
      </c>
      <c r="AB26" s="6">
        <v>28084.810705471114</v>
      </c>
      <c r="AC26" s="53">
        <f t="shared" si="92"/>
        <v>0</v>
      </c>
      <c r="AD26" s="6">
        <v>18562.270656560548</v>
      </c>
      <c r="AE26" s="53">
        <f t="shared" si="93"/>
        <v>5.3084396820238348E-3</v>
      </c>
      <c r="AF26" s="6">
        <v>6690.6959160992601</v>
      </c>
      <c r="AG26" s="53">
        <f t="shared" si="94"/>
        <v>0</v>
      </c>
      <c r="AH26" s="19">
        <f>IFERROR(VLOOKUP($B26,'[1]Public Option Sheet'!$A$9:$AQ$86,28,FALSE),0)</f>
        <v>0</v>
      </c>
      <c r="AI26" s="199">
        <f t="shared" si="95"/>
        <v>3.7753329202200356E-2</v>
      </c>
      <c r="AJ26" s="181"/>
      <c r="AK26" s="207">
        <v>76.735952119645376</v>
      </c>
      <c r="AL26" s="157">
        <v>0.22500000000000001</v>
      </c>
      <c r="AM26" s="157">
        <v>0.20912</v>
      </c>
      <c r="AN26" s="148">
        <f t="shared" si="96"/>
        <v>1299.6325604250001</v>
      </c>
      <c r="AO26" s="148">
        <f>IFERROR(N26*AM26,0)</f>
        <v>96.305388046559997</v>
      </c>
      <c r="AP26" s="326">
        <f t="shared" si="98"/>
        <v>6472.1267430223988</v>
      </c>
      <c r="AQ26" s="326">
        <f t="shared" si="99"/>
        <v>1472.6739005912054</v>
      </c>
      <c r="AR26" s="116">
        <f t="shared" si="100"/>
        <v>7944.8006436136038</v>
      </c>
      <c r="AS26" s="185"/>
      <c r="AT26" s="6">
        <v>6750</v>
      </c>
      <c r="AU26" s="327">
        <f t="shared" si="101"/>
        <v>6749.3249999999998</v>
      </c>
      <c r="AV26" s="6">
        <f t="shared" si="102"/>
        <v>144301359.62828621</v>
      </c>
      <c r="AW26" s="236">
        <v>10789.086997294597</v>
      </c>
      <c r="AX26" s="328">
        <v>1.9816428601672489</v>
      </c>
      <c r="AY26" s="116">
        <f t="shared" si="103"/>
        <v>169860769.01751307</v>
      </c>
      <c r="AZ26" s="428" t="s">
        <v>4</v>
      </c>
      <c r="BA26" s="6">
        <v>6530</v>
      </c>
      <c r="BB26" s="6">
        <f t="shared" si="104"/>
        <v>5877</v>
      </c>
      <c r="BC26" s="6">
        <f t="shared" si="105"/>
        <v>7183.0000000000009</v>
      </c>
      <c r="BD26" s="55"/>
      <c r="BE26" s="6">
        <f t="shared" si="106"/>
        <v>6470.1009265597713</v>
      </c>
      <c r="BF26" s="6">
        <f t="shared" si="107"/>
        <v>138331516.20862967</v>
      </c>
      <c r="BG26" s="229">
        <f t="shared" si="108"/>
        <v>0</v>
      </c>
      <c r="BH26" s="229">
        <f t="shared" si="109"/>
        <v>0</v>
      </c>
      <c r="BI26" s="6">
        <f t="shared" si="110"/>
        <v>6470.1009265597713</v>
      </c>
      <c r="BJ26" s="6">
        <f t="shared" si="111"/>
        <v>138331516.20862967</v>
      </c>
      <c r="BK26" s="425">
        <f t="shared" si="7"/>
        <v>169860769.01751307</v>
      </c>
      <c r="BL26" s="425">
        <f t="shared" si="8"/>
        <v>144301359.62828621</v>
      </c>
      <c r="BM26" s="426">
        <f t="shared" si="9"/>
        <v>0</v>
      </c>
      <c r="BO26" s="6">
        <f t="shared" si="112"/>
        <v>6444.9337083647488</v>
      </c>
      <c r="BP26" s="6">
        <f t="shared" si="113"/>
        <v>137793438.13362163</v>
      </c>
      <c r="BQ26" s="229">
        <f t="shared" si="114"/>
        <v>0</v>
      </c>
      <c r="BR26" s="229">
        <f t="shared" si="115"/>
        <v>0</v>
      </c>
      <c r="BS26" s="6">
        <f t="shared" si="116"/>
        <v>6444.9337083647488</v>
      </c>
      <c r="BT26" s="6">
        <f t="shared" si="117"/>
        <v>137793438.13362163</v>
      </c>
      <c r="BU26" s="425">
        <f t="shared" si="11"/>
        <v>169860769.01751307</v>
      </c>
      <c r="BV26" s="425">
        <f t="shared" si="12"/>
        <v>144301359.62828621</v>
      </c>
      <c r="BW26" s="426">
        <f t="shared" si="13"/>
        <v>0</v>
      </c>
      <c r="BX26" s="229">
        <f t="shared" si="118"/>
        <v>0</v>
      </c>
      <c r="BZ26" s="6">
        <f t="shared" si="119"/>
        <v>6467.3753450730037</v>
      </c>
      <c r="CA26" s="6">
        <f t="shared" si="120"/>
        <v>138273242.95696104</v>
      </c>
      <c r="CB26" s="229">
        <f t="shared" si="121"/>
        <v>0</v>
      </c>
      <c r="CC26" s="229">
        <f t="shared" si="122"/>
        <v>0</v>
      </c>
      <c r="CD26" s="6">
        <f t="shared" si="123"/>
        <v>6467.3753450730037</v>
      </c>
      <c r="CE26" s="6">
        <f t="shared" si="124"/>
        <v>138273242.95696104</v>
      </c>
      <c r="CF26" s="425">
        <f t="shared" si="16"/>
        <v>169860769.01751307</v>
      </c>
      <c r="CG26" s="425">
        <f t="shared" si="17"/>
        <v>144301359.62828621</v>
      </c>
      <c r="CH26" s="426">
        <f t="shared" si="18"/>
        <v>0</v>
      </c>
      <c r="CI26" s="229">
        <f t="shared" si="125"/>
        <v>0</v>
      </c>
      <c r="CK26" s="6">
        <f t="shared" si="126"/>
        <v>6467.3753450730037</v>
      </c>
      <c r="CL26" s="6">
        <f t="shared" si="127"/>
        <v>138273242.95696104</v>
      </c>
      <c r="CM26" s="229">
        <f t="shared" si="128"/>
        <v>0</v>
      </c>
      <c r="CN26" s="229">
        <f t="shared" si="129"/>
        <v>0</v>
      </c>
      <c r="CO26" s="6">
        <f t="shared" si="130"/>
        <v>6467.3753450730037</v>
      </c>
      <c r="CP26" s="6">
        <f t="shared" si="131"/>
        <v>138273242.95696104</v>
      </c>
      <c r="CQ26" s="425">
        <f t="shared" si="21"/>
        <v>169860769.01751307</v>
      </c>
      <c r="CR26" s="425">
        <f t="shared" si="22"/>
        <v>144301359.62828621</v>
      </c>
      <c r="CS26" s="426">
        <f t="shared" si="23"/>
        <v>0</v>
      </c>
      <c r="CT26" s="229">
        <f t="shared" si="132"/>
        <v>0</v>
      </c>
      <c r="CV26" s="6">
        <f t="shared" si="133"/>
        <v>6467.3753450730037</v>
      </c>
      <c r="CW26" s="6">
        <f t="shared" si="134"/>
        <v>138273242.95696104</v>
      </c>
      <c r="CX26" s="229">
        <f t="shared" si="135"/>
        <v>0</v>
      </c>
      <c r="CY26" s="229">
        <f t="shared" si="136"/>
        <v>0</v>
      </c>
      <c r="CZ26" s="6">
        <f t="shared" si="137"/>
        <v>6467.3753450730037</v>
      </c>
      <c r="DA26" s="6">
        <f t="shared" si="138"/>
        <v>138273242.95696104</v>
      </c>
      <c r="DB26" s="425">
        <f t="shared" si="27"/>
        <v>169860769.01751307</v>
      </c>
      <c r="DC26" s="425">
        <f t="shared" si="28"/>
        <v>144301359.62828621</v>
      </c>
      <c r="DD26" s="426">
        <f t="shared" si="29"/>
        <v>0</v>
      </c>
      <c r="DE26" s="229">
        <f t="shared" si="139"/>
        <v>0</v>
      </c>
      <c r="DG26" s="6">
        <f t="shared" si="140"/>
        <v>6467.3753450730037</v>
      </c>
      <c r="DH26" s="6">
        <f t="shared" si="141"/>
        <v>138273242.95696104</v>
      </c>
      <c r="DI26" s="229">
        <f t="shared" si="142"/>
        <v>0</v>
      </c>
      <c r="DJ26" s="229">
        <f t="shared" si="143"/>
        <v>0</v>
      </c>
      <c r="DK26" s="6">
        <f t="shared" si="144"/>
        <v>6467.3753450730037</v>
      </c>
      <c r="DL26" s="6">
        <f t="shared" si="145"/>
        <v>138273242.95696104</v>
      </c>
      <c r="DM26" s="53">
        <f t="shared" si="146"/>
        <v>0.99040970062373712</v>
      </c>
    </row>
    <row r="27" spans="1:117" s="307" customFormat="1" x14ac:dyDescent="0.3">
      <c r="A27" s="341"/>
      <c r="C27" s="342"/>
      <c r="G27" s="329"/>
      <c r="P27" s="48"/>
      <c r="R27" s="306"/>
      <c r="S27" s="329"/>
      <c r="T27" s="306"/>
      <c r="W27" s="308"/>
      <c r="Y27" s="309"/>
      <c r="AA27" s="308"/>
      <c r="AC27" s="308"/>
      <c r="AE27" s="382"/>
      <c r="AH27" s="310"/>
      <c r="AJ27" s="311"/>
      <c r="AK27" s="343"/>
      <c r="AR27" s="330"/>
      <c r="AS27" s="331"/>
      <c r="AV27" s="332">
        <f>SUM(AV15:AV26)</f>
        <v>361097212.5097506</v>
      </c>
      <c r="AW27" s="333">
        <f>SUM(AW15:AW26)</f>
        <v>31124.164954632477</v>
      </c>
      <c r="AX27" s="334">
        <v>94.320270039838633</v>
      </c>
      <c r="AY27" s="335">
        <f>SUM(AY15:AY26)</f>
        <v>443400404.24685359</v>
      </c>
      <c r="BE27" s="336"/>
      <c r="BF27" s="337">
        <f>SUM(BF15:BF26)</f>
        <v>361097212.5097506</v>
      </c>
      <c r="BG27" s="336"/>
      <c r="BH27" s="336"/>
      <c r="BI27" s="336"/>
      <c r="BJ27" s="337">
        <f>SUM(BJ15:BJ26)</f>
        <v>361243107.7716192</v>
      </c>
      <c r="BK27" s="337">
        <f>SUM(BK15:BK26)</f>
        <v>439838477.5343169</v>
      </c>
      <c r="BL27" s="337">
        <f>SUM(BL15:BL26)</f>
        <v>356803141.73464334</v>
      </c>
      <c r="BM27" s="338">
        <f>SUM(BM15:BM26)</f>
        <v>2</v>
      </c>
      <c r="BO27" s="336"/>
      <c r="BP27" s="337">
        <f>SUM(BP15:BP26)</f>
        <v>361097212.50975049</v>
      </c>
      <c r="BQ27" s="336"/>
      <c r="BR27" s="336"/>
      <c r="BS27" s="336"/>
      <c r="BT27" s="337">
        <f>SUM(BT15:BT26)</f>
        <v>359895953.81313527</v>
      </c>
      <c r="BU27" s="337">
        <f>SUM(BU15:BU26)</f>
        <v>425270268.3893019</v>
      </c>
      <c r="BV27" s="337">
        <f>SUM(BV15:BV26)</f>
        <v>346186464.85288894</v>
      </c>
      <c r="BW27" s="336"/>
      <c r="BX27" s="336">
        <f>SUM(BX15:BX26)</f>
        <v>4</v>
      </c>
      <c r="BZ27" s="336"/>
      <c r="CA27" s="337">
        <f>SUM(CA15:CA26)</f>
        <v>361097212.50975049</v>
      </c>
      <c r="CB27" s="336"/>
      <c r="CC27" s="336"/>
      <c r="CD27" s="336"/>
      <c r="CE27" s="337">
        <f>SUM(CE15:CE26)</f>
        <v>361097212.50975049</v>
      </c>
      <c r="CF27" s="337">
        <f>SUM(CF15:CF26)</f>
        <v>425270268.3893019</v>
      </c>
      <c r="CG27" s="337">
        <f>SUM(CG15:CG26)</f>
        <v>346186464.85288894</v>
      </c>
      <c r="CH27" s="336"/>
      <c r="CI27" s="336">
        <f>SUM(CI15:CI26)</f>
        <v>0</v>
      </c>
      <c r="CK27" s="336"/>
      <c r="CL27" s="337">
        <f>SUM(CL15:CL26)</f>
        <v>361097212.50975049</v>
      </c>
      <c r="CM27" s="336"/>
      <c r="CN27" s="336"/>
      <c r="CO27" s="336"/>
      <c r="CP27" s="337">
        <f>SUM(CP15:CP26)</f>
        <v>361097212.50975049</v>
      </c>
      <c r="CQ27" s="337">
        <f>SUM(CQ15:CQ26)</f>
        <v>425270268.3893019</v>
      </c>
      <c r="CR27" s="337">
        <f>SUM(CR15:CR26)</f>
        <v>346186464.85288894</v>
      </c>
      <c r="CS27" s="336">
        <f>SUM(CS15:CS26)</f>
        <v>6</v>
      </c>
      <c r="CT27" s="336">
        <f>SUM(CT15:CT26)</f>
        <v>0</v>
      </c>
      <c r="CV27" s="336"/>
      <c r="CW27" s="337">
        <f>SUM(CW15:CW26)</f>
        <v>361097212.50975049</v>
      </c>
      <c r="CX27" s="336"/>
      <c r="CY27" s="336"/>
      <c r="CZ27" s="336"/>
      <c r="DA27" s="337">
        <f>SUM(DA15:DA26)</f>
        <v>361097212.50975049</v>
      </c>
      <c r="DB27" s="337">
        <f>SUM(DB15:DB26)</f>
        <v>425270268.3893019</v>
      </c>
      <c r="DC27" s="337">
        <f>SUM(DC15:DC26)</f>
        <v>346186464.85288894</v>
      </c>
      <c r="DD27" s="336">
        <f>SUM(DD15:DD26)</f>
        <v>6</v>
      </c>
      <c r="DE27" s="336">
        <f>SUM(DE15:DE26)</f>
        <v>0</v>
      </c>
      <c r="DG27" s="336"/>
      <c r="DH27" s="337">
        <f>SUM(DH15:DH26)</f>
        <v>360945097.43635195</v>
      </c>
      <c r="DI27" s="336"/>
      <c r="DJ27" s="336"/>
      <c r="DK27" s="336"/>
      <c r="DL27" s="337">
        <f>SUM(DL15:DL26)</f>
        <v>361097212.50975049</v>
      </c>
      <c r="DM27" s="336"/>
    </row>
    <row r="28" spans="1:117" ht="31.8" customHeight="1" x14ac:dyDescent="0.3">
      <c r="G28" s="446" t="s">
        <v>159</v>
      </c>
      <c r="H28" s="437" t="s">
        <v>163</v>
      </c>
      <c r="BC28" s="235" t="s">
        <v>4</v>
      </c>
    </row>
    <row r="29" spans="1:117" ht="31.8" customHeight="1" x14ac:dyDescent="0.3">
      <c r="G29" s="446"/>
      <c r="H29" s="438" t="s">
        <v>162</v>
      </c>
      <c r="S29" s="377"/>
      <c r="T29" s="230"/>
      <c r="U29" s="106"/>
      <c r="V29" s="106"/>
    </row>
    <row r="30" spans="1:117" ht="31.8" customHeight="1" x14ac:dyDescent="0.3">
      <c r="G30" s="446"/>
      <c r="H30" s="439" t="s">
        <v>160</v>
      </c>
      <c r="Q30" s="227"/>
      <c r="R30" s="122"/>
      <c r="S30" s="380"/>
      <c r="T30" s="122"/>
      <c r="U30" s="284"/>
      <c r="V30" s="106"/>
      <c r="AP30" s="122"/>
      <c r="AQ30" s="122"/>
      <c r="AX30" s="289"/>
    </row>
    <row r="31" spans="1:117" ht="29.4" customHeight="1" x14ac:dyDescent="0.3">
      <c r="G31" s="446"/>
      <c r="H31" s="436" t="s">
        <v>205</v>
      </c>
      <c r="Q31" s="228"/>
      <c r="R31" s="123"/>
      <c r="S31" s="224"/>
      <c r="T31" s="225"/>
      <c r="U31" s="226"/>
      <c r="V31" s="106"/>
      <c r="AP31" s="123"/>
      <c r="AQ31" s="123"/>
      <c r="AY31" s="297"/>
    </row>
  </sheetData>
  <mergeCells count="5">
    <mergeCell ref="BB2:BC2"/>
    <mergeCell ref="BB3:BC3"/>
    <mergeCell ref="V3:W3"/>
    <mergeCell ref="X3:Y3"/>
    <mergeCell ref="G28:G31"/>
  </mergeCells>
  <hyperlinks>
    <hyperlink ref="V1" r:id="rId1" xr:uid="{B6692675-2A00-4297-BA69-F0D536D2EC3F}"/>
    <hyperlink ref="X1" r:id="rId2" display="HAC REDUCTION" xr:uid="{5C6B726D-1E73-488A-87B1-DD7F36F3366E}"/>
    <hyperlink ref="AW14" r:id="rId3" display="https://www.colorado.gov/pacific/sites/default/files/FY 2020-21%2C S-01A BA-1A%2C Medical Services Premiums Exhibit B.pdff" xr:uid="{70473206-9352-429C-9985-C8E588F41F77}"/>
    <hyperlink ref="AL2" r:id="rId4" xr:uid="{D8D79D92-08E6-41E0-B073-638E729210E2}"/>
  </hyperlinks>
  <pageMargins left="0.7" right="0.7" top="0.75" bottom="0.75" header="0.3" footer="0.3"/>
  <pageSetup orientation="portrait"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06C5C-9F4E-4569-8CAF-854734A58F1F}">
  <dimension ref="A1:N25"/>
  <sheetViews>
    <sheetView topLeftCell="C1" workbookViewId="0">
      <selection activeCell="M19" sqref="M19"/>
    </sheetView>
  </sheetViews>
  <sheetFormatPr defaultRowHeight="14.4" x14ac:dyDescent="0.3"/>
  <cols>
    <col min="1" max="1" width="31.77734375" style="10" customWidth="1"/>
    <col min="2" max="2" width="22.5546875" style="10" customWidth="1"/>
    <col min="3" max="3" width="11.77734375" style="10" customWidth="1"/>
    <col min="4" max="4" width="14.5546875" style="10" customWidth="1"/>
    <col min="5" max="5" width="12.21875" style="10" customWidth="1"/>
    <col min="6" max="6" width="14.77734375" style="10" customWidth="1"/>
    <col min="7" max="7" width="12.21875" style="10" customWidth="1"/>
    <col min="8" max="8" width="13.5546875" style="10" customWidth="1"/>
    <col min="9" max="9" width="0.88671875" style="10" customWidth="1"/>
    <col min="10" max="10" width="0.88671875" customWidth="1"/>
    <col min="11" max="11" width="23.5546875" customWidth="1"/>
    <col min="12" max="12" width="16.21875" customWidth="1"/>
    <col min="13" max="13" width="17.44140625" customWidth="1"/>
    <col min="14" max="14" width="24.88671875" customWidth="1"/>
  </cols>
  <sheetData>
    <row r="1" spans="1:14" x14ac:dyDescent="0.3">
      <c r="A1" s="142" t="s">
        <v>99</v>
      </c>
      <c r="B1" s="142"/>
      <c r="C1" s="142"/>
      <c r="D1" s="142"/>
      <c r="E1" s="142"/>
      <c r="F1" s="142"/>
      <c r="G1" s="142"/>
      <c r="H1" s="142"/>
    </row>
    <row r="2" spans="1:14" ht="52.8" customHeight="1" x14ac:dyDescent="0.3">
      <c r="A2" s="452" t="s">
        <v>100</v>
      </c>
      <c r="B2" s="453"/>
      <c r="C2" s="143"/>
      <c r="D2" s="143"/>
      <c r="E2" s="143"/>
      <c r="F2" s="143"/>
      <c r="G2" s="143"/>
      <c r="H2" s="143"/>
    </row>
    <row r="3" spans="1:14" ht="14.4" customHeight="1" x14ac:dyDescent="0.3">
      <c r="A3" s="144" t="s">
        <v>101</v>
      </c>
      <c r="B3" s="145"/>
      <c r="C3" s="449" t="s">
        <v>102</v>
      </c>
      <c r="D3" s="449"/>
      <c r="E3" s="449" t="s">
        <v>103</v>
      </c>
      <c r="F3" s="449"/>
      <c r="G3" s="449" t="s">
        <v>104</v>
      </c>
      <c r="H3" s="449"/>
    </row>
    <row r="4" spans="1:14" ht="27" customHeight="1" x14ac:dyDescent="0.3">
      <c r="A4" s="125" t="s">
        <v>10</v>
      </c>
      <c r="B4" s="125" t="s">
        <v>11</v>
      </c>
      <c r="C4" s="124" t="s">
        <v>10</v>
      </c>
      <c r="D4" s="124" t="s">
        <v>11</v>
      </c>
      <c r="E4" s="124" t="s">
        <v>10</v>
      </c>
      <c r="F4" s="124" t="s">
        <v>11</v>
      </c>
      <c r="G4" s="124" t="s">
        <v>10</v>
      </c>
      <c r="H4" s="124" t="s">
        <v>11</v>
      </c>
    </row>
    <row r="5" spans="1:14" x14ac:dyDescent="0.3">
      <c r="A5" s="126">
        <v>3959.1</v>
      </c>
      <c r="B5" s="126">
        <v>1837.53</v>
      </c>
      <c r="C5" s="11">
        <v>3872.28</v>
      </c>
      <c r="D5" s="11">
        <v>1797.23</v>
      </c>
      <c r="E5" s="11">
        <v>3930.16</v>
      </c>
      <c r="F5" s="11">
        <v>1824.1</v>
      </c>
      <c r="G5" s="11">
        <v>3843.34</v>
      </c>
      <c r="H5" s="11">
        <v>1783.8</v>
      </c>
    </row>
    <row r="6" spans="1:14" x14ac:dyDescent="0.3">
      <c r="A6" s="127"/>
      <c r="B6" s="127"/>
      <c r="C6" s="127"/>
      <c r="D6" s="127"/>
      <c r="E6" s="127"/>
      <c r="F6" s="127"/>
      <c r="G6" s="127"/>
      <c r="H6" s="127"/>
    </row>
    <row r="7" spans="1:14" ht="67.8" customHeight="1" x14ac:dyDescent="0.3">
      <c r="A7" s="450" t="s">
        <v>105</v>
      </c>
      <c r="B7" s="451"/>
      <c r="C7" s="143"/>
      <c r="D7" s="143"/>
      <c r="E7" s="143"/>
      <c r="F7" s="143"/>
      <c r="G7" s="143"/>
      <c r="H7" s="143"/>
    </row>
    <row r="8" spans="1:14" x14ac:dyDescent="0.3">
      <c r="A8" s="448" t="s">
        <v>101</v>
      </c>
      <c r="B8" s="448"/>
      <c r="C8" s="449" t="s">
        <v>102</v>
      </c>
      <c r="D8" s="449"/>
      <c r="E8" s="449" t="s">
        <v>103</v>
      </c>
      <c r="F8" s="449"/>
      <c r="G8" s="449" t="s">
        <v>104</v>
      </c>
      <c r="H8" s="449"/>
    </row>
    <row r="9" spans="1:14" ht="27" x14ac:dyDescent="0.3">
      <c r="A9" s="125" t="s">
        <v>10</v>
      </c>
      <c r="B9" s="125" t="s">
        <v>11</v>
      </c>
      <c r="C9" s="124" t="s">
        <v>10</v>
      </c>
      <c r="D9" s="124" t="s">
        <v>11</v>
      </c>
      <c r="E9" s="124" t="s">
        <v>10</v>
      </c>
      <c r="F9" s="124" t="s">
        <v>11</v>
      </c>
      <c r="G9" s="124" t="s">
        <v>10</v>
      </c>
      <c r="H9" s="124" t="s">
        <v>11</v>
      </c>
    </row>
    <row r="10" spans="1:14" ht="19.2" customHeight="1" x14ac:dyDescent="0.3">
      <c r="A10" s="128">
        <v>3593.91</v>
      </c>
      <c r="B10" s="128">
        <v>2202.7199999999998</v>
      </c>
      <c r="C10" s="129">
        <v>3515.1</v>
      </c>
      <c r="D10" s="130" t="s">
        <v>106</v>
      </c>
      <c r="E10" s="129">
        <v>3567.64</v>
      </c>
      <c r="F10" s="129">
        <v>2186.62</v>
      </c>
      <c r="G10" s="129">
        <v>3488.83</v>
      </c>
      <c r="H10" s="131">
        <v>2138.31</v>
      </c>
      <c r="K10" s="447" t="s">
        <v>118</v>
      </c>
      <c r="L10" s="447"/>
      <c r="M10" s="447"/>
      <c r="N10" s="222" t="s">
        <v>158</v>
      </c>
    </row>
    <row r="11" spans="1:14" x14ac:dyDescent="0.3">
      <c r="A11" s="132"/>
      <c r="B11" s="132"/>
      <c r="C11" s="132"/>
      <c r="D11" s="132"/>
      <c r="E11" s="133"/>
      <c r="K11" s="68"/>
      <c r="L11" s="140" t="s">
        <v>115</v>
      </c>
      <c r="M11" s="140" t="s">
        <v>116</v>
      </c>
      <c r="N11" s="223" t="s">
        <v>161</v>
      </c>
    </row>
    <row r="12" spans="1:14" x14ac:dyDescent="0.3">
      <c r="A12" s="454" t="s">
        <v>107</v>
      </c>
      <c r="B12" s="454"/>
      <c r="C12" s="454"/>
      <c r="D12" s="454"/>
      <c r="E12" s="454"/>
      <c r="K12" s="67" t="s">
        <v>119</v>
      </c>
      <c r="L12" s="221">
        <f>A5</f>
        <v>3959.1</v>
      </c>
      <c r="M12" s="146">
        <f>A10</f>
        <v>3593.91</v>
      </c>
      <c r="N12" s="221">
        <v>3959.1</v>
      </c>
    </row>
    <row r="13" spans="1:14" x14ac:dyDescent="0.3">
      <c r="A13" s="12"/>
      <c r="B13" s="449" t="s">
        <v>12</v>
      </c>
      <c r="C13" s="449"/>
      <c r="D13" s="449" t="s">
        <v>13</v>
      </c>
      <c r="E13" s="449"/>
      <c r="K13" s="67" t="s">
        <v>117</v>
      </c>
      <c r="L13" s="146">
        <f>B5</f>
        <v>1837.53</v>
      </c>
      <c r="M13" s="146">
        <f>B10</f>
        <v>2202.7199999999998</v>
      </c>
      <c r="N13" s="146">
        <v>1837.53</v>
      </c>
    </row>
    <row r="14" spans="1:14" x14ac:dyDescent="0.3">
      <c r="A14" s="12"/>
      <c r="B14" s="124" t="s">
        <v>14</v>
      </c>
      <c r="C14" s="124" t="s">
        <v>15</v>
      </c>
      <c r="D14" s="134" t="s">
        <v>14</v>
      </c>
      <c r="E14" s="134" t="s">
        <v>15</v>
      </c>
      <c r="K14" s="67" t="s">
        <v>120</v>
      </c>
      <c r="L14" s="221">
        <f>B20</f>
        <v>462.33</v>
      </c>
      <c r="M14" s="146">
        <f>B20</f>
        <v>462.33</v>
      </c>
      <c r="N14" s="221">
        <v>462.33</v>
      </c>
    </row>
    <row r="15" spans="1:14" ht="13.2" customHeight="1" x14ac:dyDescent="0.3">
      <c r="A15" s="12" t="s">
        <v>16</v>
      </c>
      <c r="B15" s="11" t="s">
        <v>17</v>
      </c>
      <c r="C15" s="135" t="s">
        <v>17</v>
      </c>
      <c r="D15" s="128">
        <v>3593.91</v>
      </c>
      <c r="E15" s="128">
        <v>2202.7199999999998</v>
      </c>
      <c r="F15" s="138">
        <f>SUM(D15:E15)</f>
        <v>5796.6299999999992</v>
      </c>
      <c r="K15" s="141" t="s">
        <v>114</v>
      </c>
      <c r="L15" s="147">
        <f>SUM(L12:L14)</f>
        <v>6258.96</v>
      </c>
      <c r="M15" s="147">
        <f>SUM(M12:M14)</f>
        <v>6258.9599999999991</v>
      </c>
      <c r="N15" s="147">
        <v>6258.96</v>
      </c>
    </row>
    <row r="16" spans="1:14" x14ac:dyDescent="0.3">
      <c r="A16" s="455" t="s">
        <v>108</v>
      </c>
      <c r="B16" s="455"/>
      <c r="C16" s="455"/>
      <c r="D16" s="457"/>
      <c r="E16" s="457"/>
    </row>
    <row r="17" spans="1:6" x14ac:dyDescent="0.3">
      <c r="A17" s="136"/>
      <c r="B17" s="136"/>
    </row>
    <row r="18" spans="1:6" x14ac:dyDescent="0.3">
      <c r="A18" s="458" t="s">
        <v>109</v>
      </c>
      <c r="B18" s="458"/>
    </row>
    <row r="19" spans="1:6" x14ac:dyDescent="0.3">
      <c r="A19" s="137"/>
      <c r="B19" s="124" t="s">
        <v>18</v>
      </c>
    </row>
    <row r="20" spans="1:6" x14ac:dyDescent="0.3">
      <c r="A20" s="12" t="s">
        <v>19</v>
      </c>
      <c r="B20" s="139">
        <v>462.33</v>
      </c>
      <c r="F20" s="138">
        <f>SUM(F15,B20)</f>
        <v>6258.9599999999991</v>
      </c>
    </row>
    <row r="21" spans="1:6" x14ac:dyDescent="0.3">
      <c r="A21" s="459"/>
      <c r="B21" s="459"/>
      <c r="C21" s="459"/>
      <c r="D21" s="459"/>
      <c r="E21" s="459"/>
      <c r="F21" s="459"/>
    </row>
    <row r="22" spans="1:6" x14ac:dyDescent="0.3">
      <c r="A22" s="458" t="s">
        <v>110</v>
      </c>
      <c r="B22" s="458"/>
      <c r="C22" s="458"/>
      <c r="D22" s="458"/>
      <c r="E22" s="458"/>
      <c r="F22" s="458"/>
    </row>
    <row r="23" spans="1:6" ht="40.200000000000003" x14ac:dyDescent="0.3">
      <c r="A23" s="449"/>
      <c r="B23" s="449"/>
      <c r="C23" s="449"/>
      <c r="D23" s="449"/>
      <c r="E23" s="124" t="s">
        <v>111</v>
      </c>
      <c r="F23" s="124" t="s">
        <v>112</v>
      </c>
    </row>
    <row r="24" spans="1:6" x14ac:dyDescent="0.3">
      <c r="A24" s="455" t="s">
        <v>20</v>
      </c>
      <c r="B24" s="455"/>
      <c r="C24" s="455"/>
      <c r="D24" s="455"/>
      <c r="E24" s="76">
        <v>42677.64</v>
      </c>
      <c r="F24" s="76">
        <v>41844.9</v>
      </c>
    </row>
    <row r="25" spans="1:6" x14ac:dyDescent="0.3">
      <c r="A25" s="456" t="s">
        <v>113</v>
      </c>
      <c r="B25" s="456"/>
      <c r="C25" s="456"/>
      <c r="D25" s="456"/>
      <c r="E25" s="456"/>
      <c r="F25" s="456"/>
    </row>
  </sheetData>
  <mergeCells count="20">
    <mergeCell ref="A12:E12"/>
    <mergeCell ref="A23:D23"/>
    <mergeCell ref="A24:D24"/>
    <mergeCell ref="A25:F25"/>
    <mergeCell ref="B13:C13"/>
    <mergeCell ref="D13:E13"/>
    <mergeCell ref="A16:E16"/>
    <mergeCell ref="A18:B18"/>
    <mergeCell ref="A21:F21"/>
    <mergeCell ref="A22:F22"/>
    <mergeCell ref="A7:B7"/>
    <mergeCell ref="C3:D3"/>
    <mergeCell ref="E3:F3"/>
    <mergeCell ref="G3:H3"/>
    <mergeCell ref="A2:B2"/>
    <mergeCell ref="K10:M10"/>
    <mergeCell ref="A8:B8"/>
    <mergeCell ref="C8:D8"/>
    <mergeCell ref="E8:F8"/>
    <mergeCell ref="G8:H8"/>
  </mergeCells>
  <phoneticPr fontId="1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40905-A1E7-4A68-B17D-F0EEE1E347A0}">
  <dimension ref="A1:U64"/>
  <sheetViews>
    <sheetView topLeftCell="A7" workbookViewId="0">
      <selection activeCell="G21" sqref="G21"/>
    </sheetView>
  </sheetViews>
  <sheetFormatPr defaultRowHeight="14.4" x14ac:dyDescent="0.3"/>
  <cols>
    <col min="1" max="1" width="30.5546875" bestFit="1" customWidth="1"/>
    <col min="2" max="3" width="20.21875" customWidth="1"/>
    <col min="4" max="4" width="16.88671875" customWidth="1"/>
    <col min="5" max="5" width="18.5546875" style="33" customWidth="1"/>
    <col min="6" max="6" width="8.77734375" style="33"/>
    <col min="7" max="7" width="28.33203125" style="33" customWidth="1"/>
    <col min="8" max="21" width="8.77734375" style="33"/>
  </cols>
  <sheetData>
    <row r="1" spans="1:7" ht="46.95" customHeight="1" x14ac:dyDescent="0.3">
      <c r="A1" s="31" t="s">
        <v>25</v>
      </c>
      <c r="B1" s="32" t="s">
        <v>36</v>
      </c>
      <c r="C1" s="69" t="s">
        <v>26</v>
      </c>
      <c r="D1" s="460" t="s">
        <v>37</v>
      </c>
      <c r="E1" s="461"/>
    </row>
    <row r="2" spans="1:7" x14ac:dyDescent="0.3">
      <c r="A2" s="34" t="s">
        <v>34</v>
      </c>
      <c r="B2" s="466">
        <v>5979.74</v>
      </c>
      <c r="C2" s="14">
        <v>0.1</v>
      </c>
      <c r="D2" s="462"/>
      <c r="E2" s="463"/>
    </row>
    <row r="3" spans="1:7" x14ac:dyDescent="0.3">
      <c r="A3" s="35" t="s">
        <v>38</v>
      </c>
      <c r="B3" s="466"/>
      <c r="C3" s="15">
        <v>50</v>
      </c>
      <c r="D3" s="462"/>
      <c r="E3" s="463"/>
    </row>
    <row r="4" spans="1:7" x14ac:dyDescent="0.3">
      <c r="A4" s="35" t="s">
        <v>39</v>
      </c>
      <c r="B4" s="466"/>
      <c r="C4" s="15">
        <v>21</v>
      </c>
      <c r="D4" s="462"/>
      <c r="E4" s="463"/>
    </row>
    <row r="5" spans="1:7" x14ac:dyDescent="0.3">
      <c r="A5" s="35" t="s">
        <v>33</v>
      </c>
      <c r="B5" s="466"/>
      <c r="C5" s="15" t="s">
        <v>1</v>
      </c>
      <c r="D5" s="462"/>
      <c r="E5" s="463"/>
    </row>
    <row r="6" spans="1:7" x14ac:dyDescent="0.3">
      <c r="A6" s="35" t="s">
        <v>31</v>
      </c>
      <c r="B6" s="466"/>
      <c r="C6" s="15" t="s">
        <v>1</v>
      </c>
      <c r="D6" s="462"/>
      <c r="E6" s="463"/>
    </row>
    <row r="7" spans="1:7" x14ac:dyDescent="0.3">
      <c r="A7" s="35" t="s">
        <v>32</v>
      </c>
      <c r="B7" s="466"/>
      <c r="C7" s="15" t="s">
        <v>1</v>
      </c>
      <c r="D7" s="464"/>
      <c r="E7" s="465"/>
    </row>
    <row r="8" spans="1:7" ht="61.95" customHeight="1" x14ac:dyDescent="0.3">
      <c r="A8" s="24" t="s">
        <v>3</v>
      </c>
      <c r="B8" s="36" t="s">
        <v>36</v>
      </c>
      <c r="C8" s="23" t="s">
        <v>85</v>
      </c>
      <c r="D8" s="23" t="s">
        <v>40</v>
      </c>
      <c r="E8" s="23" t="s">
        <v>41</v>
      </c>
    </row>
    <row r="9" spans="1:7" ht="27.6" x14ac:dyDescent="0.35">
      <c r="A9" s="26" t="s">
        <v>42</v>
      </c>
      <c r="B9" s="37" t="s">
        <v>43</v>
      </c>
      <c r="C9" s="1"/>
      <c r="D9" s="16"/>
      <c r="E9" s="16"/>
      <c r="G9" s="71" t="s">
        <v>86</v>
      </c>
    </row>
    <row r="10" spans="1:7" x14ac:dyDescent="0.3">
      <c r="A10" s="38" t="s">
        <v>44</v>
      </c>
      <c r="B10" s="39">
        <f>$B$2</f>
        <v>5979.74</v>
      </c>
      <c r="C10" s="40">
        <v>3</v>
      </c>
      <c r="D10" s="41">
        <f>IF(C10&gt;=C$3,0,IF(C10&lt;=C$4,C$2,((C$3-C10)/(C$3-C$4))*C$2))</f>
        <v>0.1</v>
      </c>
      <c r="E10" s="72">
        <f>B10*D10</f>
        <v>597.97400000000005</v>
      </c>
      <c r="G10" s="73" t="s">
        <v>21</v>
      </c>
    </row>
    <row r="11" spans="1:7" x14ac:dyDescent="0.3">
      <c r="A11" s="38" t="s">
        <v>45</v>
      </c>
      <c r="B11" s="39">
        <f>$B$2</f>
        <v>5979.74</v>
      </c>
      <c r="C11" s="43">
        <v>15</v>
      </c>
      <c r="D11" s="41">
        <f t="shared" ref="D11:D45" si="0">IF(C11&gt;=C$3,0,IF(C11&lt;=C$4,C$2,((C$3-C11)/(C$3-C$4))*C$2))</f>
        <v>0.1</v>
      </c>
      <c r="E11" s="72">
        <f t="shared" ref="E11:E45" si="1">B11*D11</f>
        <v>597.97400000000005</v>
      </c>
      <c r="G11" s="73" t="s">
        <v>22</v>
      </c>
    </row>
    <row r="12" spans="1:7" x14ac:dyDescent="0.3">
      <c r="A12" s="38" t="s">
        <v>46</v>
      </c>
      <c r="B12" s="39">
        <f>$B$2</f>
        <v>5979.74</v>
      </c>
      <c r="C12" s="43">
        <v>21</v>
      </c>
      <c r="D12" s="41">
        <f t="shared" si="0"/>
        <v>0.1</v>
      </c>
      <c r="E12" s="72">
        <f t="shared" si="1"/>
        <v>597.97400000000005</v>
      </c>
      <c r="G12" s="73" t="s">
        <v>23</v>
      </c>
    </row>
    <row r="13" spans="1:7" x14ac:dyDescent="0.3">
      <c r="A13" s="29" t="s">
        <v>47</v>
      </c>
      <c r="B13" s="25">
        <f>$B$2</f>
        <v>5979.74</v>
      </c>
      <c r="C13" s="45">
        <v>22</v>
      </c>
      <c r="D13" s="17">
        <f t="shared" si="0"/>
        <v>9.6551724137931047E-2</v>
      </c>
      <c r="E13" s="13">
        <f t="shared" si="1"/>
        <v>577.35420689655177</v>
      </c>
      <c r="G13" s="74" t="s">
        <v>24</v>
      </c>
    </row>
    <row r="14" spans="1:7" x14ac:dyDescent="0.3">
      <c r="A14" s="29" t="s">
        <v>48</v>
      </c>
      <c r="B14" s="25">
        <f t="shared" ref="B14:B45" si="2">$B$2</f>
        <v>5979.74</v>
      </c>
      <c r="C14" s="45">
        <v>23</v>
      </c>
      <c r="D14" s="17">
        <f t="shared" si="0"/>
        <v>9.3103448275862075E-2</v>
      </c>
      <c r="E14" s="13">
        <f t="shared" si="1"/>
        <v>556.7344137931035</v>
      </c>
      <c r="G14" s="74" t="s">
        <v>191</v>
      </c>
    </row>
    <row r="15" spans="1:7" x14ac:dyDescent="0.3">
      <c r="A15" s="29" t="s">
        <v>49</v>
      </c>
      <c r="B15" s="25">
        <f t="shared" si="2"/>
        <v>5979.74</v>
      </c>
      <c r="C15" s="45">
        <v>24</v>
      </c>
      <c r="D15" s="17">
        <f t="shared" si="0"/>
        <v>8.9655172413793116E-2</v>
      </c>
      <c r="E15" s="13">
        <f t="shared" si="1"/>
        <v>536.11462068965523</v>
      </c>
    </row>
    <row r="16" spans="1:7" x14ac:dyDescent="0.3">
      <c r="A16" s="29" t="s">
        <v>50</v>
      </c>
      <c r="B16" s="25">
        <f t="shared" si="2"/>
        <v>5979.74</v>
      </c>
      <c r="C16" s="45">
        <v>25</v>
      </c>
      <c r="D16" s="17">
        <f t="shared" si="0"/>
        <v>8.6206896551724144E-2</v>
      </c>
      <c r="E16" s="13">
        <f t="shared" si="1"/>
        <v>515.49482758620695</v>
      </c>
      <c r="G16" s="44"/>
    </row>
    <row r="17" spans="1:7" x14ac:dyDescent="0.3">
      <c r="A17" s="29" t="s">
        <v>51</v>
      </c>
      <c r="B17" s="25">
        <f t="shared" si="2"/>
        <v>5979.74</v>
      </c>
      <c r="C17" s="45">
        <v>26</v>
      </c>
      <c r="D17" s="17">
        <f t="shared" si="0"/>
        <v>8.2758620689655171E-2</v>
      </c>
      <c r="E17" s="13">
        <f t="shared" si="1"/>
        <v>494.87503448275862</v>
      </c>
      <c r="G17" s="46"/>
    </row>
    <row r="18" spans="1:7" x14ac:dyDescent="0.3">
      <c r="A18" s="29" t="s">
        <v>52</v>
      </c>
      <c r="B18" s="25">
        <f t="shared" si="2"/>
        <v>5979.74</v>
      </c>
      <c r="C18" s="45">
        <v>27</v>
      </c>
      <c r="D18" s="17">
        <f t="shared" si="0"/>
        <v>7.9310344827586213E-2</v>
      </c>
      <c r="E18" s="13">
        <f t="shared" si="1"/>
        <v>474.25524137931035</v>
      </c>
      <c r="G18" s="42"/>
    </row>
    <row r="19" spans="1:7" x14ac:dyDescent="0.3">
      <c r="A19" s="29" t="s">
        <v>53</v>
      </c>
      <c r="B19" s="25">
        <f t="shared" si="2"/>
        <v>5979.74</v>
      </c>
      <c r="C19" s="45">
        <v>28</v>
      </c>
      <c r="D19" s="17">
        <f t="shared" si="0"/>
        <v>7.586206896551724E-2</v>
      </c>
      <c r="E19" s="13">
        <f t="shared" si="1"/>
        <v>453.63544827586202</v>
      </c>
      <c r="G19" s="42"/>
    </row>
    <row r="20" spans="1:7" x14ac:dyDescent="0.3">
      <c r="A20" s="29" t="s">
        <v>54</v>
      </c>
      <c r="B20" s="25">
        <f t="shared" si="2"/>
        <v>5979.74</v>
      </c>
      <c r="C20" s="45">
        <v>29</v>
      </c>
      <c r="D20" s="17">
        <f t="shared" si="0"/>
        <v>7.2413793103448282E-2</v>
      </c>
      <c r="E20" s="13">
        <f t="shared" si="1"/>
        <v>433.0156551724138</v>
      </c>
      <c r="G20" s="42"/>
    </row>
    <row r="21" spans="1:7" x14ac:dyDescent="0.3">
      <c r="A21" s="29" t="s">
        <v>55</v>
      </c>
      <c r="B21" s="25">
        <f t="shared" si="2"/>
        <v>5979.74</v>
      </c>
      <c r="C21" s="45">
        <v>30</v>
      </c>
      <c r="D21" s="17">
        <f t="shared" si="0"/>
        <v>6.8965517241379323E-2</v>
      </c>
      <c r="E21" s="13">
        <f t="shared" si="1"/>
        <v>412.39586206896558</v>
      </c>
      <c r="G21" s="47"/>
    </row>
    <row r="22" spans="1:7" x14ac:dyDescent="0.3">
      <c r="A22" s="29" t="s">
        <v>56</v>
      </c>
      <c r="B22" s="25">
        <f t="shared" si="2"/>
        <v>5979.74</v>
      </c>
      <c r="C22" s="45">
        <v>31</v>
      </c>
      <c r="D22" s="17">
        <f t="shared" si="0"/>
        <v>6.5517241379310351E-2</v>
      </c>
      <c r="E22" s="13">
        <f t="shared" si="1"/>
        <v>391.77606896551725</v>
      </c>
    </row>
    <row r="23" spans="1:7" x14ac:dyDescent="0.3">
      <c r="A23" s="29" t="s">
        <v>57</v>
      </c>
      <c r="B23" s="25">
        <f t="shared" si="2"/>
        <v>5979.74</v>
      </c>
      <c r="C23" s="45">
        <v>32</v>
      </c>
      <c r="D23" s="17">
        <f t="shared" si="0"/>
        <v>6.2068965517241385E-2</v>
      </c>
      <c r="E23" s="13">
        <f t="shared" si="1"/>
        <v>371.15627586206898</v>
      </c>
    </row>
    <row r="24" spans="1:7" x14ac:dyDescent="0.3">
      <c r="A24" s="29" t="s">
        <v>58</v>
      </c>
      <c r="B24" s="25">
        <f t="shared" si="2"/>
        <v>5979.74</v>
      </c>
      <c r="C24" s="45">
        <v>33</v>
      </c>
      <c r="D24" s="17">
        <f t="shared" si="0"/>
        <v>5.8620689655172413E-2</v>
      </c>
      <c r="E24" s="13">
        <f t="shared" si="1"/>
        <v>350.53648275862065</v>
      </c>
    </row>
    <row r="25" spans="1:7" x14ac:dyDescent="0.3">
      <c r="A25" s="29" t="s">
        <v>59</v>
      </c>
      <c r="B25" s="25">
        <f t="shared" si="2"/>
        <v>5979.74</v>
      </c>
      <c r="C25" s="45">
        <v>34</v>
      </c>
      <c r="D25" s="17">
        <f t="shared" si="0"/>
        <v>5.5172413793103448E-2</v>
      </c>
      <c r="E25" s="13">
        <f t="shared" si="1"/>
        <v>329.91668965517238</v>
      </c>
    </row>
    <row r="26" spans="1:7" x14ac:dyDescent="0.3">
      <c r="A26" s="29" t="s">
        <v>60</v>
      </c>
      <c r="B26" s="25">
        <f t="shared" si="2"/>
        <v>5979.74</v>
      </c>
      <c r="C26" s="45">
        <v>35</v>
      </c>
      <c r="D26" s="17">
        <f t="shared" si="0"/>
        <v>5.1724137931034489E-2</v>
      </c>
      <c r="E26" s="13">
        <f t="shared" si="1"/>
        <v>309.29689655172416</v>
      </c>
    </row>
    <row r="27" spans="1:7" x14ac:dyDescent="0.3">
      <c r="A27" s="29" t="s">
        <v>61</v>
      </c>
      <c r="B27" s="25">
        <f t="shared" si="2"/>
        <v>5979.74</v>
      </c>
      <c r="C27" s="45">
        <v>36</v>
      </c>
      <c r="D27" s="17">
        <f t="shared" si="0"/>
        <v>4.8275862068965524E-2</v>
      </c>
      <c r="E27" s="13">
        <f t="shared" si="1"/>
        <v>288.67710344827589</v>
      </c>
    </row>
    <row r="28" spans="1:7" s="33" customFormat="1" x14ac:dyDescent="0.3">
      <c r="A28" s="29" t="s">
        <v>62</v>
      </c>
      <c r="B28" s="25">
        <f t="shared" si="2"/>
        <v>5979.74</v>
      </c>
      <c r="C28" s="45">
        <v>37</v>
      </c>
      <c r="D28" s="17">
        <f t="shared" si="0"/>
        <v>4.4827586206896558E-2</v>
      </c>
      <c r="E28" s="13">
        <f t="shared" si="1"/>
        <v>268.05731034482761</v>
      </c>
    </row>
    <row r="29" spans="1:7" s="33" customFormat="1" x14ac:dyDescent="0.3">
      <c r="A29" s="29" t="s">
        <v>63</v>
      </c>
      <c r="B29" s="25">
        <f t="shared" si="2"/>
        <v>5979.74</v>
      </c>
      <c r="C29" s="45">
        <v>38</v>
      </c>
      <c r="D29" s="17">
        <f t="shared" si="0"/>
        <v>4.1379310344827586E-2</v>
      </c>
      <c r="E29" s="13">
        <f t="shared" si="1"/>
        <v>247.43751724137931</v>
      </c>
    </row>
    <row r="30" spans="1:7" s="33" customFormat="1" x14ac:dyDescent="0.3">
      <c r="A30" s="29" t="s">
        <v>64</v>
      </c>
      <c r="B30" s="25">
        <f t="shared" si="2"/>
        <v>5979.74</v>
      </c>
      <c r="C30" s="45">
        <v>39</v>
      </c>
      <c r="D30" s="17">
        <f t="shared" si="0"/>
        <v>3.793103448275862E-2</v>
      </c>
      <c r="E30" s="13">
        <f t="shared" si="1"/>
        <v>226.81772413793101</v>
      </c>
    </row>
    <row r="31" spans="1:7" s="33" customFormat="1" x14ac:dyDescent="0.3">
      <c r="A31" s="29" t="s">
        <v>65</v>
      </c>
      <c r="B31" s="25">
        <f t="shared" si="2"/>
        <v>5979.74</v>
      </c>
      <c r="C31" s="45">
        <v>40</v>
      </c>
      <c r="D31" s="17">
        <f t="shared" si="0"/>
        <v>3.4482758620689662E-2</v>
      </c>
      <c r="E31" s="13">
        <f t="shared" si="1"/>
        <v>206.19793103448279</v>
      </c>
    </row>
    <row r="32" spans="1:7" s="33" customFormat="1" x14ac:dyDescent="0.3">
      <c r="A32" s="29" t="s">
        <v>66</v>
      </c>
      <c r="B32" s="25">
        <f t="shared" si="2"/>
        <v>5979.74</v>
      </c>
      <c r="C32" s="45">
        <v>41</v>
      </c>
      <c r="D32" s="17">
        <f t="shared" si="0"/>
        <v>3.1034482758620693E-2</v>
      </c>
      <c r="E32" s="13">
        <f t="shared" si="1"/>
        <v>185.57813793103449</v>
      </c>
    </row>
    <row r="33" spans="1:5" s="33" customFormat="1" x14ac:dyDescent="0.3">
      <c r="A33" s="29" t="s">
        <v>67</v>
      </c>
      <c r="B33" s="25">
        <f t="shared" si="2"/>
        <v>5979.74</v>
      </c>
      <c r="C33" s="45">
        <v>42</v>
      </c>
      <c r="D33" s="17">
        <f t="shared" si="0"/>
        <v>2.7586206896551724E-2</v>
      </c>
      <c r="E33" s="13">
        <f t="shared" si="1"/>
        <v>164.95834482758619</v>
      </c>
    </row>
    <row r="34" spans="1:5" s="33" customFormat="1" x14ac:dyDescent="0.3">
      <c r="A34" s="29" t="s">
        <v>68</v>
      </c>
      <c r="B34" s="25">
        <f t="shared" si="2"/>
        <v>5979.74</v>
      </c>
      <c r="C34" s="45">
        <v>43</v>
      </c>
      <c r="D34" s="17">
        <f t="shared" si="0"/>
        <v>2.4137931034482762E-2</v>
      </c>
      <c r="E34" s="13">
        <f t="shared" si="1"/>
        <v>144.33855172413794</v>
      </c>
    </row>
    <row r="35" spans="1:5" s="33" customFormat="1" x14ac:dyDescent="0.3">
      <c r="A35" s="29" t="s">
        <v>69</v>
      </c>
      <c r="B35" s="25">
        <f t="shared" si="2"/>
        <v>5979.74</v>
      </c>
      <c r="C35" s="45">
        <v>44</v>
      </c>
      <c r="D35" s="17">
        <f t="shared" si="0"/>
        <v>2.0689655172413793E-2</v>
      </c>
      <c r="E35" s="13">
        <f t="shared" si="1"/>
        <v>123.71875862068966</v>
      </c>
    </row>
    <row r="36" spans="1:5" s="33" customFormat="1" x14ac:dyDescent="0.3">
      <c r="A36" s="29" t="s">
        <v>70</v>
      </c>
      <c r="B36" s="25">
        <f t="shared" si="2"/>
        <v>5979.74</v>
      </c>
      <c r="C36" s="45">
        <v>45</v>
      </c>
      <c r="D36" s="17">
        <f t="shared" si="0"/>
        <v>1.7241379310344831E-2</v>
      </c>
      <c r="E36" s="13">
        <f t="shared" si="1"/>
        <v>103.0989655172414</v>
      </c>
    </row>
    <row r="37" spans="1:5" s="33" customFormat="1" x14ac:dyDescent="0.3">
      <c r="A37" s="29" t="s">
        <v>71</v>
      </c>
      <c r="B37" s="25">
        <f t="shared" si="2"/>
        <v>5979.74</v>
      </c>
      <c r="C37" s="45">
        <v>46</v>
      </c>
      <c r="D37" s="17">
        <f t="shared" si="0"/>
        <v>1.3793103448275862E-2</v>
      </c>
      <c r="E37" s="13">
        <f t="shared" si="1"/>
        <v>82.479172413793094</v>
      </c>
    </row>
    <row r="38" spans="1:5" s="33" customFormat="1" x14ac:dyDescent="0.3">
      <c r="A38" s="29" t="s">
        <v>72</v>
      </c>
      <c r="B38" s="25">
        <f t="shared" si="2"/>
        <v>5979.74</v>
      </c>
      <c r="C38" s="45">
        <v>47</v>
      </c>
      <c r="D38" s="17">
        <f t="shared" si="0"/>
        <v>1.0344827586206896E-2</v>
      </c>
      <c r="E38" s="13">
        <f t="shared" si="1"/>
        <v>61.859379310344828</v>
      </c>
    </row>
    <row r="39" spans="1:5" s="33" customFormat="1" x14ac:dyDescent="0.3">
      <c r="A39" s="29" t="s">
        <v>73</v>
      </c>
      <c r="B39" s="25">
        <f t="shared" si="2"/>
        <v>5979.74</v>
      </c>
      <c r="C39" s="45">
        <v>48</v>
      </c>
      <c r="D39" s="17">
        <f t="shared" si="0"/>
        <v>6.8965517241379309E-3</v>
      </c>
      <c r="E39" s="13">
        <f t="shared" si="1"/>
        <v>41.239586206896547</v>
      </c>
    </row>
    <row r="40" spans="1:5" s="33" customFormat="1" x14ac:dyDescent="0.3">
      <c r="A40" s="29" t="s">
        <v>74</v>
      </c>
      <c r="B40" s="25">
        <f t="shared" si="2"/>
        <v>5979.74</v>
      </c>
      <c r="C40" s="45">
        <v>49</v>
      </c>
      <c r="D40" s="17">
        <f t="shared" si="0"/>
        <v>3.4482758620689655E-3</v>
      </c>
      <c r="E40" s="13">
        <f t="shared" si="1"/>
        <v>20.619793103448274</v>
      </c>
    </row>
    <row r="41" spans="1:5" s="33" customFormat="1" x14ac:dyDescent="0.3">
      <c r="A41" s="38" t="s">
        <v>75</v>
      </c>
      <c r="B41" s="39">
        <f t="shared" si="2"/>
        <v>5979.74</v>
      </c>
      <c r="C41" s="43">
        <v>50</v>
      </c>
      <c r="D41" s="41">
        <f t="shared" si="0"/>
        <v>0</v>
      </c>
      <c r="E41" s="72">
        <f t="shared" si="1"/>
        <v>0</v>
      </c>
    </row>
    <row r="42" spans="1:5" s="33" customFormat="1" x14ac:dyDescent="0.3">
      <c r="A42" s="38" t="s">
        <v>76</v>
      </c>
      <c r="B42" s="39">
        <f t="shared" si="2"/>
        <v>5979.74</v>
      </c>
      <c r="C42" s="43">
        <v>51</v>
      </c>
      <c r="D42" s="41">
        <f t="shared" si="0"/>
        <v>0</v>
      </c>
      <c r="E42" s="72">
        <f t="shared" si="1"/>
        <v>0</v>
      </c>
    </row>
    <row r="43" spans="1:5" s="33" customFormat="1" x14ac:dyDescent="0.3">
      <c r="A43" s="38" t="s">
        <v>77</v>
      </c>
      <c r="B43" s="39">
        <f t="shared" si="2"/>
        <v>5979.74</v>
      </c>
      <c r="C43" s="43">
        <v>52</v>
      </c>
      <c r="D43" s="41">
        <f t="shared" si="0"/>
        <v>0</v>
      </c>
      <c r="E43" s="72">
        <f t="shared" si="1"/>
        <v>0</v>
      </c>
    </row>
    <row r="44" spans="1:5" s="33" customFormat="1" x14ac:dyDescent="0.3">
      <c r="A44" s="38" t="s">
        <v>78</v>
      </c>
      <c r="B44" s="39">
        <f t="shared" si="2"/>
        <v>5979.74</v>
      </c>
      <c r="C44" s="43">
        <v>53</v>
      </c>
      <c r="D44" s="41">
        <f t="shared" si="0"/>
        <v>0</v>
      </c>
      <c r="E44" s="72">
        <f t="shared" si="1"/>
        <v>0</v>
      </c>
    </row>
    <row r="45" spans="1:5" s="33" customFormat="1" x14ac:dyDescent="0.3">
      <c r="A45" s="38" t="s">
        <v>79</v>
      </c>
      <c r="B45" s="39">
        <f t="shared" si="2"/>
        <v>5979.74</v>
      </c>
      <c r="C45" s="43">
        <v>54</v>
      </c>
      <c r="D45" s="41">
        <f t="shared" si="0"/>
        <v>0</v>
      </c>
      <c r="E45" s="72">
        <f t="shared" si="1"/>
        <v>0</v>
      </c>
    </row>
    <row r="46" spans="1:5" s="33" customFormat="1" x14ac:dyDescent="0.3"/>
    <row r="47" spans="1:5" s="33" customFormat="1" x14ac:dyDescent="0.3"/>
    <row r="48" spans="1:5" s="33" customFormat="1" x14ac:dyDescent="0.3"/>
    <row r="49" s="33" customFormat="1" x14ac:dyDescent="0.3"/>
    <row r="50" s="33" customFormat="1" x14ac:dyDescent="0.3"/>
    <row r="51" s="33" customFormat="1" x14ac:dyDescent="0.3"/>
    <row r="52" s="33" customFormat="1" x14ac:dyDescent="0.3"/>
    <row r="53" s="33" customFormat="1" x14ac:dyDescent="0.3"/>
    <row r="54" s="33" customFormat="1" x14ac:dyDescent="0.3"/>
    <row r="55" s="33" customFormat="1" x14ac:dyDescent="0.3"/>
    <row r="56" s="33" customFormat="1" x14ac:dyDescent="0.3"/>
    <row r="57" s="33" customFormat="1" x14ac:dyDescent="0.3"/>
    <row r="58" s="33" customFormat="1" x14ac:dyDescent="0.3"/>
    <row r="59" s="33" customFormat="1" x14ac:dyDescent="0.3"/>
    <row r="60" s="33" customFormat="1" x14ac:dyDescent="0.3"/>
    <row r="61" s="33" customFormat="1" x14ac:dyDescent="0.3"/>
    <row r="62" s="33" customFormat="1" x14ac:dyDescent="0.3"/>
    <row r="63" s="33" customFormat="1" x14ac:dyDescent="0.3"/>
    <row r="64" s="33" customFormat="1" x14ac:dyDescent="0.3"/>
  </sheetData>
  <mergeCells count="2">
    <mergeCell ref="D1:E7"/>
    <mergeCell ref="B2: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Stakeholder Review May 2021</vt:lpstr>
      <vt:lpstr>FFY2020 Fed Base Rate</vt:lpstr>
      <vt:lpstr>How Ceiling-Floor Works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 Diana</dc:creator>
  <cp:lastModifiedBy>Jackson, Nicola</cp:lastModifiedBy>
  <dcterms:created xsi:type="dcterms:W3CDTF">2020-08-14T14:52:19Z</dcterms:created>
  <dcterms:modified xsi:type="dcterms:W3CDTF">2021-05-06T22:45:43Z</dcterms:modified>
</cp:coreProperties>
</file>